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7485" activeTab="10"/>
  </bookViews>
  <sheets>
    <sheet name="март" sheetId="4" r:id="rId1"/>
    <sheet name="ИТОГ март" sheetId="5" r:id="rId2"/>
    <sheet name="апрель" sheetId="6" r:id="rId3"/>
    <sheet name="май" sheetId="7" r:id="rId4"/>
    <sheet name="Сводная" sheetId="8" r:id="rId5"/>
    <sheet name="июнь" sheetId="10" r:id="rId6"/>
    <sheet name="июль" sheetId="11" r:id="rId7"/>
    <sheet name="Лист2" sheetId="2" r:id="rId8"/>
    <sheet name="итог июнь" sheetId="3" r:id="rId9"/>
    <sheet name="май (2)" sheetId="9" r:id="rId10"/>
    <sheet name="август" sheetId="12" r:id="rId11"/>
  </sheets>
  <externalReferences>
    <externalReference r:id="rId12"/>
    <externalReference r:id="rId13"/>
    <externalReference r:id="rId14"/>
  </externalReferences>
  <definedNames>
    <definedName name="Excel_BuiltIn__FilterDatabase">Сводная!$A$1:$HM$149</definedName>
    <definedName name="Excel_BuiltIn_Print_A_1" localSheetId="10">#REF!</definedName>
    <definedName name="Excel_BuiltIn_Print_A_1" localSheetId="6">#REF!</definedName>
    <definedName name="Excel_BuiltIn_Print_A_1" localSheetId="5">#REF!</definedName>
    <definedName name="Excel_BuiltIn_Print_A_1">#REF!</definedName>
    <definedName name="Excel_BuiltIn_Print_Area_10" localSheetId="10">#REF!</definedName>
    <definedName name="Excel_BuiltIn_Print_Area_10" localSheetId="6">#REF!</definedName>
    <definedName name="Excel_BuiltIn_Print_Area_10" localSheetId="5">#REF!</definedName>
    <definedName name="Excel_BuiltIn_Print_Area_10">#REF!</definedName>
    <definedName name="Excel_BuiltIn_Print_Area_10_1" localSheetId="10">#REF!</definedName>
    <definedName name="Excel_BuiltIn_Print_Area_10_1" localSheetId="6">#REF!</definedName>
    <definedName name="Excel_BuiltIn_Print_Area_10_1" localSheetId="5">#REF!</definedName>
    <definedName name="Excel_BuiltIn_Print_Area_10_1">#REF!</definedName>
    <definedName name="Excel_BuiltIn_Print_Area_11_1" localSheetId="10">#REF!</definedName>
    <definedName name="Excel_BuiltIn_Print_Area_11_1" localSheetId="6">#REF!</definedName>
    <definedName name="Excel_BuiltIn_Print_Area_11_1" localSheetId="5">#REF!</definedName>
    <definedName name="Excel_BuiltIn_Print_Area_11_1">#REF!</definedName>
    <definedName name="Excel_BuiltIn_Print_Area_13" localSheetId="10">#REF!</definedName>
    <definedName name="Excel_BuiltIn_Print_Area_13" localSheetId="6">#REF!</definedName>
    <definedName name="Excel_BuiltIn_Print_Area_13" localSheetId="5">#REF!</definedName>
    <definedName name="Excel_BuiltIn_Print_Area_13">#REF!</definedName>
    <definedName name="Excel_BuiltIn_Print_Area_14" localSheetId="10">#REF!</definedName>
    <definedName name="Excel_BuiltIn_Print_Area_14" localSheetId="6">#REF!</definedName>
    <definedName name="Excel_BuiltIn_Print_Area_14" localSheetId="5">#REF!</definedName>
    <definedName name="Excel_BuiltIn_Print_Area_14">#REF!</definedName>
    <definedName name="Excel_BuiltIn_Print_Area_16_1_1" localSheetId="10">#REF!</definedName>
    <definedName name="Excel_BuiltIn_Print_Area_16_1_1" localSheetId="6">#REF!</definedName>
    <definedName name="Excel_BuiltIn_Print_Area_16_1_1" localSheetId="5">#REF!</definedName>
    <definedName name="Excel_BuiltIn_Print_Area_16_1_1">#REF!</definedName>
    <definedName name="Excel_BuiltIn_Print_Area_20" localSheetId="10">#REF!</definedName>
    <definedName name="Excel_BuiltIn_Print_Area_20" localSheetId="6">#REF!</definedName>
    <definedName name="Excel_BuiltIn_Print_Area_20" localSheetId="5">#REF!</definedName>
    <definedName name="Excel_BuiltIn_Print_Area_20" localSheetId="9">#REF!</definedName>
    <definedName name="Excel_BuiltIn_Print_Area_20">#REF!</definedName>
    <definedName name="Excel_BuiltIn_Print_Area_21" localSheetId="10">#REF!</definedName>
    <definedName name="Excel_BuiltIn_Print_Area_21" localSheetId="6">#REF!</definedName>
    <definedName name="Excel_BuiltIn_Print_Area_21" localSheetId="5">#REF!</definedName>
    <definedName name="Excel_BuiltIn_Print_Area_21">#REF!</definedName>
    <definedName name="Excel_BuiltIn_Print_Area_21_1" localSheetId="10">#REF!</definedName>
    <definedName name="Excel_BuiltIn_Print_Area_21_1" localSheetId="6">#REF!</definedName>
    <definedName name="Excel_BuiltIn_Print_Area_21_1" localSheetId="5">#REF!</definedName>
    <definedName name="Excel_BuiltIn_Print_Area_21_1">#REF!</definedName>
    <definedName name="Excel_BuiltIn_Print_Area_21_1_1" localSheetId="10">#REF!</definedName>
    <definedName name="Excel_BuiltIn_Print_Area_21_1_1" localSheetId="6">#REF!</definedName>
    <definedName name="Excel_BuiltIn_Print_Area_21_1_1" localSheetId="5">#REF!</definedName>
    <definedName name="Excel_BuiltIn_Print_Area_21_1_1">#REF!</definedName>
    <definedName name="Excel_BuiltIn_Print_Area_24" localSheetId="10">#REF!</definedName>
    <definedName name="Excel_BuiltIn_Print_Area_24" localSheetId="6">#REF!</definedName>
    <definedName name="Excel_BuiltIn_Print_Area_24" localSheetId="5">#REF!</definedName>
    <definedName name="Excel_BuiltIn_Print_Area_24" localSheetId="9">#REF!</definedName>
    <definedName name="Excel_BuiltIn_Print_Area_24">#REF!</definedName>
    <definedName name="Excel_BuiltIn_Print_Titles_10" localSheetId="10">#REF!</definedName>
    <definedName name="Excel_BuiltIn_Print_Titles_10" localSheetId="6">#REF!</definedName>
    <definedName name="Excel_BuiltIn_Print_Titles_10" localSheetId="5">#REF!</definedName>
    <definedName name="Excel_BuiltIn_Print_Titles_10">#REF!</definedName>
    <definedName name="Excel_BuiltIn_Print_Titles_12" localSheetId="10">#REF!</definedName>
    <definedName name="Excel_BuiltIn_Print_Titles_12" localSheetId="6">#REF!</definedName>
    <definedName name="Excel_BuiltIn_Print_Titles_12" localSheetId="5">#REF!</definedName>
    <definedName name="Excel_BuiltIn_Print_Titles_12">#REF!</definedName>
    <definedName name="Excel_BuiltIn_Print_Titles_13" localSheetId="10">#REF!</definedName>
    <definedName name="Excel_BuiltIn_Print_Titles_13" localSheetId="6">#REF!</definedName>
    <definedName name="Excel_BuiltIn_Print_Titles_13" localSheetId="5">#REF!</definedName>
    <definedName name="Excel_BuiltIn_Print_Titles_13">#REF!</definedName>
    <definedName name="Excel_BuiltIn_Print_Titles_14" localSheetId="10">#REF!</definedName>
    <definedName name="Excel_BuiltIn_Print_Titles_14" localSheetId="6">#REF!</definedName>
    <definedName name="Excel_BuiltIn_Print_Titles_14" localSheetId="5">#REF!</definedName>
    <definedName name="Excel_BuiltIn_Print_Titles_14">#REF!</definedName>
    <definedName name="Excel_BuiltIn_Print_Titles_15" localSheetId="10">#REF!</definedName>
    <definedName name="Excel_BuiltIn_Print_Titles_15" localSheetId="6">#REF!</definedName>
    <definedName name="Excel_BuiltIn_Print_Titles_15" localSheetId="5">#REF!</definedName>
    <definedName name="Excel_BuiltIn_Print_Titles_15">#REF!</definedName>
    <definedName name="Excel_BuiltIn_Print_Titles_16" localSheetId="10">#REF!</definedName>
    <definedName name="Excel_BuiltIn_Print_Titles_16" localSheetId="6">#REF!</definedName>
    <definedName name="Excel_BuiltIn_Print_Titles_16" localSheetId="5">#REF!</definedName>
    <definedName name="Excel_BuiltIn_Print_Titles_16">#REF!</definedName>
    <definedName name="Excel_BuiltIn_Print_Titles_16_1" localSheetId="10">(#REF!,#REF!)</definedName>
    <definedName name="Excel_BuiltIn_Print_Titles_16_1" localSheetId="6">(#REF!,#REF!)</definedName>
    <definedName name="Excel_BuiltIn_Print_Titles_16_1" localSheetId="5">(#REF!,#REF!)</definedName>
    <definedName name="Excel_BuiltIn_Print_Titles_16_1">(#REF!,#REF!)</definedName>
    <definedName name="Excel_BuiltIn_Print_Titles_21" localSheetId="10">#REF!</definedName>
    <definedName name="Excel_BuiltIn_Print_Titles_21" localSheetId="6">#REF!</definedName>
    <definedName name="Excel_BuiltIn_Print_Titles_21" localSheetId="5">#REF!</definedName>
    <definedName name="Excel_BuiltIn_Print_Titles_21">#REF!</definedName>
    <definedName name="Excel_BuiltIn_Print_Titles_21_1" localSheetId="10">#REF!</definedName>
    <definedName name="Excel_BuiltIn_Print_Titles_21_1" localSheetId="6">#REF!</definedName>
    <definedName name="Excel_BuiltIn_Print_Titles_21_1" localSheetId="5">#REF!</definedName>
    <definedName name="Excel_BuiltIn_Print_Titles_21_1">#REF!</definedName>
    <definedName name="Excel_BuiltIn_Print_Titles_21_1_1" localSheetId="10">(#REF!,#REF!)</definedName>
    <definedName name="Excel_BuiltIn_Print_Titles_21_1_1" localSheetId="6">(#REF!,#REF!)</definedName>
    <definedName name="Excel_BuiltIn_Print_Titles_21_1_1" localSheetId="5">(#REF!,#REF!)</definedName>
    <definedName name="Excel_BuiltIn_Print_Titles_21_1_1">(#REF!,#REF!)</definedName>
    <definedName name="_xlnm.Print_Titles" localSheetId="4">Сводная!$A$1:$D$65536</definedName>
    <definedName name="_xlnm.Print_Area" localSheetId="2">апрель!$A$1:$DF$66</definedName>
    <definedName name="_xlnm.Print_Area" localSheetId="1">'ИТОГ март'!$A$1:$DG$69</definedName>
    <definedName name="_xlnm.Print_Area" localSheetId="6">июль!$A$1:$DJ$66</definedName>
    <definedName name="_xlnm.Print_Area" localSheetId="5">июнь!$A$1:$DJ$66</definedName>
    <definedName name="_xlnm.Print_Area" localSheetId="3">май!$A$1:$DJ$66</definedName>
    <definedName name="_xlnm.Print_Area" localSheetId="9">'май (2)'!$A$1:$DJ$63</definedName>
    <definedName name="_xlnm.Print_Area" localSheetId="0">март!$A$1:$DF$66</definedName>
    <definedName name="_xlnm.Print_Area" localSheetId="4">Сводная!$A$1:$HJ$149</definedName>
  </definedNames>
  <calcPr calcId="125725"/>
</workbook>
</file>

<file path=xl/calcChain.xml><?xml version="1.0" encoding="utf-8"?>
<calcChain xmlns="http://schemas.openxmlformats.org/spreadsheetml/2006/main">
  <c r="U20" i="3"/>
  <c r="J20"/>
  <c r="H20"/>
  <c r="F20"/>
  <c r="J69"/>
  <c r="H69"/>
  <c r="F69"/>
  <c r="J67"/>
  <c r="H67"/>
  <c r="F67"/>
  <c r="AJ65"/>
  <c r="J65"/>
  <c r="H65"/>
  <c r="F65"/>
  <c r="U17"/>
  <c r="J17"/>
  <c r="H17"/>
  <c r="F17"/>
  <c r="AJ59" s="1"/>
  <c r="AJ11"/>
  <c r="J11"/>
  <c r="H11"/>
  <c r="F11"/>
  <c r="J59"/>
  <c r="H59"/>
  <c r="F59"/>
  <c r="J57"/>
  <c r="H57"/>
  <c r="F57"/>
  <c r="AI14"/>
  <c r="J14" s="1"/>
  <c r="H14"/>
  <c r="AJ16"/>
  <c r="U16"/>
  <c r="J16"/>
  <c r="H16"/>
  <c r="F16"/>
  <c r="AJ14" s="1"/>
  <c r="J7"/>
  <c r="H7"/>
  <c r="F7"/>
  <c r="U22"/>
  <c r="J22"/>
  <c r="H22"/>
  <c r="F22"/>
  <c r="AJ57" s="1"/>
  <c r="U10"/>
  <c r="J10"/>
  <c r="H10"/>
  <c r="F10"/>
  <c r="AJ13"/>
  <c r="AI13"/>
  <c r="J13" s="1"/>
  <c r="H13"/>
  <c r="AJ12"/>
  <c r="J12"/>
  <c r="H12"/>
  <c r="F12"/>
  <c r="AJ10" s="1"/>
  <c r="J8"/>
  <c r="H8"/>
  <c r="F8"/>
  <c r="AJ7" s="1"/>
  <c r="AJ21"/>
  <c r="U21"/>
  <c r="J21"/>
  <c r="H21"/>
  <c r="F21"/>
  <c r="AJ6"/>
  <c r="J6"/>
  <c r="H6"/>
  <c r="F6"/>
  <c r="AJ9"/>
  <c r="J9"/>
  <c r="H9"/>
  <c r="F9"/>
  <c r="AJ8" s="1"/>
  <c r="J23"/>
  <c r="H23"/>
  <c r="F23"/>
  <c r="AJ22" s="1"/>
  <c r="AJ19"/>
  <c r="AI19"/>
  <c r="H19" s="1"/>
  <c r="U19"/>
  <c r="J19"/>
  <c r="U24"/>
  <c r="J24"/>
  <c r="H24"/>
  <c r="F24"/>
  <c r="AJ23" s="1"/>
  <c r="H28"/>
  <c r="AJ18" s="1"/>
  <c r="U18"/>
  <c r="J18"/>
  <c r="H18"/>
  <c r="F18"/>
  <c r="AJ17" s="1"/>
  <c r="AJ25"/>
  <c r="U25"/>
  <c r="J25"/>
  <c r="H25"/>
  <c r="F25"/>
  <c r="AJ24" s="1"/>
  <c r="AJ66" i="11"/>
  <c r="AJ64"/>
  <c r="AJ62"/>
  <c r="AJ60"/>
  <c r="J59"/>
  <c r="H59"/>
  <c r="F59"/>
  <c r="AJ58"/>
  <c r="J57"/>
  <c r="H57"/>
  <c r="F57"/>
  <c r="AJ55"/>
  <c r="J55"/>
  <c r="H55"/>
  <c r="F55"/>
  <c r="AJ53"/>
  <c r="J53"/>
  <c r="H53"/>
  <c r="F53"/>
  <c r="AJ51"/>
  <c r="J51"/>
  <c r="H51"/>
  <c r="F51"/>
  <c r="AJ49"/>
  <c r="J49"/>
  <c r="H49"/>
  <c r="F49"/>
  <c r="AJ47"/>
  <c r="AI47"/>
  <c r="J47"/>
  <c r="H47"/>
  <c r="F47"/>
  <c r="AJ45"/>
  <c r="J45"/>
  <c r="H45"/>
  <c r="F45"/>
  <c r="AJ43"/>
  <c r="J43"/>
  <c r="H43"/>
  <c r="F43"/>
  <c r="AJ41"/>
  <c r="J41"/>
  <c r="H41"/>
  <c r="F41"/>
  <c r="AJ39"/>
  <c r="J39"/>
  <c r="H39"/>
  <c r="F39"/>
  <c r="AJ37"/>
  <c r="J37"/>
  <c r="H37"/>
  <c r="F37"/>
  <c r="AJ35"/>
  <c r="U35"/>
  <c r="J35"/>
  <c r="H35"/>
  <c r="F35"/>
  <c r="AJ33"/>
  <c r="AI33"/>
  <c r="J33"/>
  <c r="H33"/>
  <c r="F33"/>
  <c r="AJ31"/>
  <c r="J31"/>
  <c r="H31"/>
  <c r="F31"/>
  <c r="AJ29"/>
  <c r="U29"/>
  <c r="J29"/>
  <c r="H29"/>
  <c r="F29"/>
  <c r="AJ27"/>
  <c r="J27"/>
  <c r="H27"/>
  <c r="F27"/>
  <c r="AJ25"/>
  <c r="U25"/>
  <c r="J25"/>
  <c r="H25"/>
  <c r="F25"/>
  <c r="AJ23"/>
  <c r="U23"/>
  <c r="J23"/>
  <c r="H23"/>
  <c r="F23"/>
  <c r="AJ21"/>
  <c r="U21"/>
  <c r="J21"/>
  <c r="H21"/>
  <c r="F21"/>
  <c r="AJ19"/>
  <c r="AI19"/>
  <c r="U19"/>
  <c r="J19"/>
  <c r="H19"/>
  <c r="F19"/>
  <c r="AJ17"/>
  <c r="J17"/>
  <c r="H17"/>
  <c r="F17"/>
  <c r="AJ15"/>
  <c r="U15"/>
  <c r="J15"/>
  <c r="H15"/>
  <c r="F15"/>
  <c r="AJ13"/>
  <c r="U13"/>
  <c r="J13"/>
  <c r="H13"/>
  <c r="F13"/>
  <c r="H12"/>
  <c r="AJ11"/>
  <c r="U11"/>
  <c r="J11"/>
  <c r="H11"/>
  <c r="F11"/>
  <c r="AJ9"/>
  <c r="U9"/>
  <c r="J9"/>
  <c r="H9"/>
  <c r="F9"/>
  <c r="AJ55" i="10"/>
  <c r="F39"/>
  <c r="AJ66"/>
  <c r="AJ64"/>
  <c r="AJ62"/>
  <c r="AJ60"/>
  <c r="J59"/>
  <c r="H59"/>
  <c r="F59"/>
  <c r="AJ58"/>
  <c r="J57"/>
  <c r="H57"/>
  <c r="F57"/>
  <c r="AJ35"/>
  <c r="J35"/>
  <c r="H35"/>
  <c r="F35"/>
  <c r="AJ53"/>
  <c r="J53"/>
  <c r="H53"/>
  <c r="F53"/>
  <c r="AJ51"/>
  <c r="J51"/>
  <c r="H51"/>
  <c r="F51"/>
  <c r="AJ49"/>
  <c r="J49"/>
  <c r="H49"/>
  <c r="F49"/>
  <c r="AJ29"/>
  <c r="AI29"/>
  <c r="J29"/>
  <c r="H29"/>
  <c r="F29"/>
  <c r="AJ21"/>
  <c r="J21"/>
  <c r="H21"/>
  <c r="F21"/>
  <c r="AJ43"/>
  <c r="J43"/>
  <c r="H43"/>
  <c r="F43"/>
  <c r="AJ41"/>
  <c r="J41"/>
  <c r="H41"/>
  <c r="F41"/>
  <c r="AJ25"/>
  <c r="J25"/>
  <c r="H25"/>
  <c r="F25"/>
  <c r="AJ27"/>
  <c r="J27"/>
  <c r="H27"/>
  <c r="F27"/>
  <c r="AJ11"/>
  <c r="U11"/>
  <c r="J11"/>
  <c r="H11"/>
  <c r="F11"/>
  <c r="AJ39"/>
  <c r="AI39"/>
  <c r="J39"/>
  <c r="H39"/>
  <c r="AJ17"/>
  <c r="J17"/>
  <c r="H17"/>
  <c r="F17"/>
  <c r="AJ23"/>
  <c r="U23"/>
  <c r="J23"/>
  <c r="H23"/>
  <c r="F23"/>
  <c r="AJ19"/>
  <c r="J19"/>
  <c r="H19"/>
  <c r="F19"/>
  <c r="AJ13"/>
  <c r="U13"/>
  <c r="J13"/>
  <c r="H13"/>
  <c r="F13"/>
  <c r="AJ37"/>
  <c r="U37"/>
  <c r="J37"/>
  <c r="H37"/>
  <c r="F37"/>
  <c r="AJ9"/>
  <c r="U9"/>
  <c r="J9"/>
  <c r="H9"/>
  <c r="F9"/>
  <c r="AJ15"/>
  <c r="AI15"/>
  <c r="U15"/>
  <c r="J15"/>
  <c r="H15"/>
  <c r="F15"/>
  <c r="AJ45"/>
  <c r="J45"/>
  <c r="H45"/>
  <c r="F45"/>
  <c r="AJ33"/>
  <c r="U33"/>
  <c r="J33"/>
  <c r="H33"/>
  <c r="F33"/>
  <c r="AJ47"/>
  <c r="U47"/>
  <c r="J47"/>
  <c r="H47"/>
  <c r="F47"/>
  <c r="H12"/>
  <c r="AJ31"/>
  <c r="U31"/>
  <c r="J31"/>
  <c r="H31"/>
  <c r="F31"/>
  <c r="U55"/>
  <c r="J55"/>
  <c r="H55"/>
  <c r="F55"/>
  <c r="C2" i="2"/>
  <c r="AI19" i="7"/>
  <c r="C6" i="2"/>
  <c r="C4"/>
  <c r="C10"/>
  <c r="C13"/>
  <c r="C14"/>
  <c r="C9"/>
  <c r="C16"/>
  <c r="C12"/>
  <c r="C15"/>
  <c r="C11"/>
  <c r="C3"/>
  <c r="C7"/>
  <c r="C8"/>
  <c r="C17"/>
  <c r="AJ63" i="9"/>
  <c r="AJ61"/>
  <c r="AJ59"/>
  <c r="AJ57"/>
  <c r="J56"/>
  <c r="H56"/>
  <c r="F56"/>
  <c r="AJ55"/>
  <c r="J54"/>
  <c r="H54"/>
  <c r="F54"/>
  <c r="AJ52"/>
  <c r="J52"/>
  <c r="H52"/>
  <c r="F52"/>
  <c r="AJ50"/>
  <c r="J50"/>
  <c r="H50"/>
  <c r="F50"/>
  <c r="AJ48"/>
  <c r="J48"/>
  <c r="H48"/>
  <c r="F48"/>
  <c r="AJ46"/>
  <c r="J46"/>
  <c r="H46"/>
  <c r="F46"/>
  <c r="AJ44"/>
  <c r="AI44"/>
  <c r="J44"/>
  <c r="H44"/>
  <c r="F44"/>
  <c r="AJ42"/>
  <c r="J42"/>
  <c r="H42"/>
  <c r="F42"/>
  <c r="AJ40"/>
  <c r="J40"/>
  <c r="H40"/>
  <c r="F40"/>
  <c r="AJ38"/>
  <c r="J38"/>
  <c r="H38"/>
  <c r="F38"/>
  <c r="AJ36"/>
  <c r="J36"/>
  <c r="H36"/>
  <c r="F36"/>
  <c r="AJ34"/>
  <c r="J34"/>
  <c r="H34"/>
  <c r="F34"/>
  <c r="AJ32"/>
  <c r="U32"/>
  <c r="J32"/>
  <c r="H32"/>
  <c r="F32"/>
  <c r="AJ30"/>
  <c r="AI30"/>
  <c r="J30"/>
  <c r="H30"/>
  <c r="F30"/>
  <c r="AJ28"/>
  <c r="J28"/>
  <c r="H28"/>
  <c r="F28"/>
  <c r="AJ26"/>
  <c r="U26"/>
  <c r="J26"/>
  <c r="H26"/>
  <c r="F26"/>
  <c r="AJ24"/>
  <c r="J24"/>
  <c r="H24"/>
  <c r="F24"/>
  <c r="AJ22"/>
  <c r="U22"/>
  <c r="J22"/>
  <c r="H22"/>
  <c r="F22"/>
  <c r="AJ20"/>
  <c r="U20"/>
  <c r="J20"/>
  <c r="H20"/>
  <c r="F20"/>
  <c r="AJ18"/>
  <c r="U18"/>
  <c r="J18"/>
  <c r="H18"/>
  <c r="F18"/>
  <c r="AJ16"/>
  <c r="AI16"/>
  <c r="U16"/>
  <c r="J16"/>
  <c r="H16"/>
  <c r="F16"/>
  <c r="AJ14"/>
  <c r="J14"/>
  <c r="H14"/>
  <c r="F14"/>
  <c r="AJ12"/>
  <c r="U12"/>
  <c r="J12"/>
  <c r="H12"/>
  <c r="F12"/>
  <c r="AJ10"/>
  <c r="U10"/>
  <c r="J10"/>
  <c r="H10"/>
  <c r="F10"/>
  <c r="H9"/>
  <c r="AJ8"/>
  <c r="U8"/>
  <c r="J8"/>
  <c r="H8"/>
  <c r="F8"/>
  <c r="AJ6"/>
  <c r="U6"/>
  <c r="J6"/>
  <c r="H6"/>
  <c r="F6"/>
  <c r="AJ11" i="7"/>
  <c r="H12"/>
  <c r="AJ9"/>
  <c r="J11"/>
  <c r="J13"/>
  <c r="J15"/>
  <c r="J17"/>
  <c r="J19"/>
  <c r="J21"/>
  <c r="J23"/>
  <c r="J25"/>
  <c r="J27"/>
  <c r="J29"/>
  <c r="J31"/>
  <c r="J33"/>
  <c r="J35"/>
  <c r="J37"/>
  <c r="J39"/>
  <c r="J41"/>
  <c r="J43"/>
  <c r="J45"/>
  <c r="J47"/>
  <c r="J49"/>
  <c r="J51"/>
  <c r="J53"/>
  <c r="J55"/>
  <c r="J57"/>
  <c r="J5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F11"/>
  <c r="F13"/>
  <c r="F15"/>
  <c r="F17"/>
  <c r="F19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J9"/>
  <c r="H9"/>
  <c r="F9"/>
  <c r="AI33"/>
  <c r="H161" i="8"/>
  <c r="GY148"/>
  <c r="GZ148" s="1"/>
  <c r="GX148"/>
  <c r="GW148"/>
  <c r="GU148"/>
  <c r="GV148" s="1"/>
  <c r="GT148"/>
  <c r="GS148"/>
  <c r="GQ148"/>
  <c r="GR148" s="1"/>
  <c r="GP148"/>
  <c r="GO148"/>
  <c r="GM148"/>
  <c r="GN148" s="1"/>
  <c r="GL148"/>
  <c r="GK148"/>
  <c r="GI148"/>
  <c r="GJ148" s="1"/>
  <c r="GH148"/>
  <c r="GG148"/>
  <c r="GE148"/>
  <c r="GF148" s="1"/>
  <c r="GD148"/>
  <c r="GC148"/>
  <c r="GA148"/>
  <c r="GB148" s="1"/>
  <c r="FZ148"/>
  <c r="FY148"/>
  <c r="FW148"/>
  <c r="FX148" s="1"/>
  <c r="FV148"/>
  <c r="FU148"/>
  <c r="FS148"/>
  <c r="FT148" s="1"/>
  <c r="FR148"/>
  <c r="FQ148"/>
  <c r="FP148"/>
  <c r="FK148"/>
  <c r="FL148" s="1"/>
  <c r="FJ148"/>
  <c r="FI148"/>
  <c r="FG148"/>
  <c r="FH148" s="1"/>
  <c r="FF148"/>
  <c r="FE148"/>
  <c r="FC148"/>
  <c r="FD148" s="1"/>
  <c r="FB148"/>
  <c r="FA148"/>
  <c r="EY148"/>
  <c r="EZ148" s="1"/>
  <c r="EX148"/>
  <c r="EW148"/>
  <c r="EU148"/>
  <c r="EV148" s="1"/>
  <c r="ET148"/>
  <c r="ES148"/>
  <c r="EQ148"/>
  <c r="ER148" s="1"/>
  <c r="EP148"/>
  <c r="EO148"/>
  <c r="EM148"/>
  <c r="EN148" s="1"/>
  <c r="EL148"/>
  <c r="EK148"/>
  <c r="EI148"/>
  <c r="EJ148" s="1"/>
  <c r="EH148"/>
  <c r="EG148"/>
  <c r="EE148"/>
  <c r="EF148" s="1"/>
  <c r="ED148"/>
  <c r="EC148"/>
  <c r="EA148"/>
  <c r="EB148" s="1"/>
  <c r="DZ148"/>
  <c r="DY148"/>
  <c r="DW148"/>
  <c r="DX148" s="1"/>
  <c r="DV148"/>
  <c r="DU148"/>
  <c r="DS148"/>
  <c r="DT148" s="1"/>
  <c r="DR148"/>
  <c r="DQ148"/>
  <c r="DO148"/>
  <c r="DP148" s="1"/>
  <c r="DN148"/>
  <c r="DM148"/>
  <c r="DK148"/>
  <c r="DL148" s="1"/>
  <c r="DJ148"/>
  <c r="DI148"/>
  <c r="DG148"/>
  <c r="DH148" s="1"/>
  <c r="DF148"/>
  <c r="DE148"/>
  <c r="DC148"/>
  <c r="DD148" s="1"/>
  <c r="DB148"/>
  <c r="DA148"/>
  <c r="CY148"/>
  <c r="CZ148" s="1"/>
  <c r="CX148"/>
  <c r="CW148"/>
  <c r="CU148"/>
  <c r="CV148" s="1"/>
  <c r="CT148"/>
  <c r="CS148"/>
  <c r="CQ148"/>
  <c r="CR148" s="1"/>
  <c r="CP148"/>
  <c r="CO148"/>
  <c r="CM148"/>
  <c r="CN148" s="1"/>
  <c r="CL148"/>
  <c r="CK148"/>
  <c r="CI148"/>
  <c r="CJ148" s="1"/>
  <c r="CH148"/>
  <c r="CG148"/>
  <c r="CE148"/>
  <c r="CF148" s="1"/>
  <c r="CD148"/>
  <c r="CC148"/>
  <c r="CA148"/>
  <c r="CB148" s="1"/>
  <c r="BZ148"/>
  <c r="BY148"/>
  <c r="BW148"/>
  <c r="BX148" s="1"/>
  <c r="BV148"/>
  <c r="BU148"/>
  <c r="BS148"/>
  <c r="BT148" s="1"/>
  <c r="BR148"/>
  <c r="BQ148"/>
  <c r="BO148"/>
  <c r="BP148" s="1"/>
  <c r="BN148"/>
  <c r="BM148"/>
  <c r="BK148"/>
  <c r="BL148" s="1"/>
  <c r="BJ148"/>
  <c r="BI148"/>
  <c r="BG148"/>
  <c r="BH148" s="1"/>
  <c r="BF148"/>
  <c r="BE148"/>
  <c r="BC148"/>
  <c r="BD148" s="1"/>
  <c r="BB148"/>
  <c r="BA148"/>
  <c r="AY148"/>
  <c r="AZ148" s="1"/>
  <c r="AX148"/>
  <c r="AW148"/>
  <c r="AU148"/>
  <c r="AV148" s="1"/>
  <c r="AT148"/>
  <c r="AS148"/>
  <c r="AQ148"/>
  <c r="AR148" s="1"/>
  <c r="AP148"/>
  <c r="AO148"/>
  <c r="AM148"/>
  <c r="AN148" s="1"/>
  <c r="AL148"/>
  <c r="AK148"/>
  <c r="AI148"/>
  <c r="AJ148" s="1"/>
  <c r="AH148"/>
  <c r="AG148"/>
  <c r="AE148"/>
  <c r="AF148" s="1"/>
  <c r="AD148"/>
  <c r="AC148"/>
  <c r="AA148"/>
  <c r="AB148" s="1"/>
  <c r="Z148"/>
  <c r="Y148"/>
  <c r="W148"/>
  <c r="X148" s="1"/>
  <c r="V148"/>
  <c r="U148"/>
  <c r="S148"/>
  <c r="T148" s="1"/>
  <c r="R148"/>
  <c r="Q148"/>
  <c r="O148"/>
  <c r="P148" s="1"/>
  <c r="N148"/>
  <c r="M148"/>
  <c r="K148"/>
  <c r="L148" s="1"/>
  <c r="J148"/>
  <c r="I148"/>
  <c r="G148"/>
  <c r="F148"/>
  <c r="E148"/>
  <c r="HN147"/>
  <c r="GY147"/>
  <c r="GZ147" s="1"/>
  <c r="GU147"/>
  <c r="GV147" s="1"/>
  <c r="GQ147"/>
  <c r="GR147" s="1"/>
  <c r="GP147"/>
  <c r="GN147"/>
  <c r="GM147"/>
  <c r="GJ147"/>
  <c r="GI147"/>
  <c r="GD147"/>
  <c r="GE147" s="1"/>
  <c r="GF147" s="1"/>
  <c r="GA147"/>
  <c r="GB147" s="1"/>
  <c r="FW147"/>
  <c r="FX147" s="1"/>
  <c r="FV147"/>
  <c r="FR147"/>
  <c r="FS147" s="1"/>
  <c r="FT147" s="1"/>
  <c r="FO147"/>
  <c r="FP147" s="1"/>
  <c r="FK147"/>
  <c r="FL147" s="1"/>
  <c r="FF147"/>
  <c r="FG147" s="1"/>
  <c r="FH147" s="1"/>
  <c r="FD147"/>
  <c r="FC147"/>
  <c r="EZ147"/>
  <c r="EY147"/>
  <c r="ET147"/>
  <c r="EU147" s="1"/>
  <c r="EV147" s="1"/>
  <c r="EQ147"/>
  <c r="ER147" s="1"/>
  <c r="EP147"/>
  <c r="EM147"/>
  <c r="EN147" s="1"/>
  <c r="EH147"/>
  <c r="EI147" s="1"/>
  <c r="EJ147" s="1"/>
  <c r="EE147"/>
  <c r="EF147" s="1"/>
  <c r="EA147"/>
  <c r="EB147" s="1"/>
  <c r="DV147"/>
  <c r="DW147" s="1"/>
  <c r="DX147" s="1"/>
  <c r="DS147"/>
  <c r="DT147" s="1"/>
  <c r="DN147"/>
  <c r="DO147" s="1"/>
  <c r="DP147" s="1"/>
  <c r="DK147"/>
  <c r="DL147" s="1"/>
  <c r="DF147"/>
  <c r="DG147" s="1"/>
  <c r="DH147" s="1"/>
  <c r="DC147"/>
  <c r="DD147" s="1"/>
  <c r="CX147"/>
  <c r="CY147" s="1"/>
  <c r="CZ147" s="1"/>
  <c r="CU147"/>
  <c r="CV147" s="1"/>
  <c r="CQ147"/>
  <c r="CR147" s="1"/>
  <c r="CL147"/>
  <c r="CM147" s="1"/>
  <c r="CN147" s="1"/>
  <c r="CH147"/>
  <c r="CI147" s="1"/>
  <c r="CJ147" s="1"/>
  <c r="CE147"/>
  <c r="CF147" s="1"/>
  <c r="BZ147"/>
  <c r="CA147" s="1"/>
  <c r="CB147" s="1"/>
  <c r="BV147"/>
  <c r="BW147" s="1"/>
  <c r="BX147" s="1"/>
  <c r="BS147"/>
  <c r="BT147" s="1"/>
  <c r="BN147"/>
  <c r="BO147" s="1"/>
  <c r="BP147" s="1"/>
  <c r="BJ147"/>
  <c r="BK147" s="1"/>
  <c r="BL147" s="1"/>
  <c r="BG147"/>
  <c r="BH147" s="1"/>
  <c r="BD147"/>
  <c r="BC147"/>
  <c r="AX147"/>
  <c r="AY147" s="1"/>
  <c r="AZ147" s="1"/>
  <c r="AT147"/>
  <c r="AU147" s="1"/>
  <c r="AV147" s="1"/>
  <c r="AP147"/>
  <c r="AQ147" s="1"/>
  <c r="AR147" s="1"/>
  <c r="AM147"/>
  <c r="AN147" s="1"/>
  <c r="AL147"/>
  <c r="AI147"/>
  <c r="AJ147" s="1"/>
  <c r="AD147"/>
  <c r="AE147" s="1"/>
  <c r="AF147" s="1"/>
  <c r="Z147"/>
  <c r="AA147" s="1"/>
  <c r="AB147" s="1"/>
  <c r="V147"/>
  <c r="W147" s="1"/>
  <c r="X147" s="1"/>
  <c r="R147"/>
  <c r="S147" s="1"/>
  <c r="T147" s="1"/>
  <c r="N147"/>
  <c r="O147" s="1"/>
  <c r="K147"/>
  <c r="L147" s="1"/>
  <c r="J147"/>
  <c r="F147"/>
  <c r="E147"/>
  <c r="GY146"/>
  <c r="GZ146" s="1"/>
  <c r="GU146"/>
  <c r="GV146" s="1"/>
  <c r="GT146"/>
  <c r="GP146"/>
  <c r="GQ146" s="1"/>
  <c r="GR146" s="1"/>
  <c r="GM146"/>
  <c r="GN146" s="1"/>
  <c r="GL146"/>
  <c r="GH146"/>
  <c r="GI146" s="1"/>
  <c r="GJ146" s="1"/>
  <c r="GE146"/>
  <c r="GF146" s="1"/>
  <c r="GA146"/>
  <c r="GB146" s="1"/>
  <c r="FZ146"/>
  <c r="FV146"/>
  <c r="FW146" s="1"/>
  <c r="FX146" s="1"/>
  <c r="FS146"/>
  <c r="FT146" s="1"/>
  <c r="FR146"/>
  <c r="FO146"/>
  <c r="FP146" s="1"/>
  <c r="FJ146"/>
  <c r="FK146" s="1"/>
  <c r="FL146" s="1"/>
  <c r="FF146"/>
  <c r="FG146" s="1"/>
  <c r="FH146" s="1"/>
  <c r="FC146"/>
  <c r="FD146" s="1"/>
  <c r="EY146"/>
  <c r="EZ146" s="1"/>
  <c r="EU146"/>
  <c r="EV146" s="1"/>
  <c r="EQ146"/>
  <c r="ER146" s="1"/>
  <c r="EM146"/>
  <c r="EN146" s="1"/>
  <c r="EH146"/>
  <c r="EI146" s="1"/>
  <c r="EJ146" s="1"/>
  <c r="EE146"/>
  <c r="EF146" s="1"/>
  <c r="ED146"/>
  <c r="DZ146"/>
  <c r="EA146" s="1"/>
  <c r="EB146" s="1"/>
  <c r="DW146"/>
  <c r="DX146" s="1"/>
  <c r="DS146"/>
  <c r="DT146" s="1"/>
  <c r="DN146"/>
  <c r="DO146" s="1"/>
  <c r="DP146" s="1"/>
  <c r="DJ146"/>
  <c r="DK146" s="1"/>
  <c r="DL146" s="1"/>
  <c r="DF146"/>
  <c r="DG146" s="1"/>
  <c r="DH146" s="1"/>
  <c r="DC146"/>
  <c r="DD146" s="1"/>
  <c r="DB146"/>
  <c r="CX146"/>
  <c r="CY146" s="1"/>
  <c r="CZ146" s="1"/>
  <c r="CT146"/>
  <c r="CU146" s="1"/>
  <c r="CV146" s="1"/>
  <c r="CP146"/>
  <c r="CQ146" s="1"/>
  <c r="CR146" s="1"/>
  <c r="CM146"/>
  <c r="CN146" s="1"/>
  <c r="CH146"/>
  <c r="CI146" s="1"/>
  <c r="CJ146" s="1"/>
  <c r="CD146"/>
  <c r="CE146" s="1"/>
  <c r="CF146" s="1"/>
  <c r="BZ146"/>
  <c r="CA146" s="1"/>
  <c r="CB146" s="1"/>
  <c r="BV146"/>
  <c r="BW146" s="1"/>
  <c r="BX146" s="1"/>
  <c r="BR146"/>
  <c r="BS146" s="1"/>
  <c r="BT146" s="1"/>
  <c r="BN146"/>
  <c r="BO146" s="1"/>
  <c r="BP146" s="1"/>
  <c r="BJ146"/>
  <c r="BK146" s="1"/>
  <c r="BL146" s="1"/>
  <c r="BG146"/>
  <c r="BH146" s="1"/>
  <c r="BD146"/>
  <c r="BC146"/>
  <c r="AX146"/>
  <c r="AY146" s="1"/>
  <c r="AZ146" s="1"/>
  <c r="AU146"/>
  <c r="AV146" s="1"/>
  <c r="AT146"/>
  <c r="AQ146"/>
  <c r="AR146" s="1"/>
  <c r="AL146"/>
  <c r="AM146" s="1"/>
  <c r="AN146" s="1"/>
  <c r="AI146"/>
  <c r="AJ146" s="1"/>
  <c r="AE146"/>
  <c r="AF146" s="1"/>
  <c r="AD146"/>
  <c r="Z146"/>
  <c r="AA146" s="1"/>
  <c r="AB146" s="1"/>
  <c r="V146"/>
  <c r="W146" s="1"/>
  <c r="X146" s="1"/>
  <c r="S146"/>
  <c r="T146" s="1"/>
  <c r="R146"/>
  <c r="N146"/>
  <c r="O146" s="1"/>
  <c r="K146"/>
  <c r="L146" s="1"/>
  <c r="F146"/>
  <c r="E146"/>
  <c r="GZ145"/>
  <c r="GV145"/>
  <c r="GR145"/>
  <c r="GN145"/>
  <c r="GJ145"/>
  <c r="GF145"/>
  <c r="GB145"/>
  <c r="FX145"/>
  <c r="FT145"/>
  <c r="FP145"/>
  <c r="FL145"/>
  <c r="FG145"/>
  <c r="FH145" s="1"/>
  <c r="FF145"/>
  <c r="FE145"/>
  <c r="FD145"/>
  <c r="EZ145"/>
  <c r="EV145"/>
  <c r="ER145"/>
  <c r="EN145"/>
  <c r="EJ145"/>
  <c r="EF145"/>
  <c r="EB145"/>
  <c r="DX145"/>
  <c r="DT145"/>
  <c r="DP145"/>
  <c r="DL145"/>
  <c r="DH145"/>
  <c r="DD145"/>
  <c r="CZ145"/>
  <c r="CV145"/>
  <c r="CR145"/>
  <c r="CN145"/>
  <c r="CJ145"/>
  <c r="CF145"/>
  <c r="CB145"/>
  <c r="BX145"/>
  <c r="BT145"/>
  <c r="BP145"/>
  <c r="BL145"/>
  <c r="BH145"/>
  <c r="BD145"/>
  <c r="AZ145"/>
  <c r="AV145"/>
  <c r="AR145"/>
  <c r="AM145"/>
  <c r="AN145" s="1"/>
  <c r="AL145"/>
  <c r="AK145"/>
  <c r="AJ145"/>
  <c r="AF145"/>
  <c r="AB145"/>
  <c r="X145"/>
  <c r="S145"/>
  <c r="T145" s="1"/>
  <c r="R145"/>
  <c r="Q145"/>
  <c r="P145"/>
  <c r="L145"/>
  <c r="G145"/>
  <c r="F145"/>
  <c r="E145"/>
  <c r="GZ144"/>
  <c r="GV144"/>
  <c r="GR144"/>
  <c r="GN144"/>
  <c r="GJ144"/>
  <c r="GE144"/>
  <c r="GF144" s="1"/>
  <c r="GD144"/>
  <c r="GC144"/>
  <c r="GB144"/>
  <c r="FX144"/>
  <c r="FT144"/>
  <c r="FP144"/>
  <c r="FL144"/>
  <c r="FF144"/>
  <c r="FG144" s="1"/>
  <c r="FD144"/>
  <c r="EZ144"/>
  <c r="EV144"/>
  <c r="ER144"/>
  <c r="EN144"/>
  <c r="EI144"/>
  <c r="EJ144" s="1"/>
  <c r="EH144"/>
  <c r="EG144"/>
  <c r="EF144"/>
  <c r="EB144"/>
  <c r="DX144"/>
  <c r="DT144"/>
  <c r="DP144"/>
  <c r="DL144"/>
  <c r="DH144"/>
  <c r="DD144"/>
  <c r="CZ144"/>
  <c r="CV144"/>
  <c r="CR144"/>
  <c r="CN144"/>
  <c r="CI144"/>
  <c r="CJ144" s="1"/>
  <c r="CH144"/>
  <c r="CG144"/>
  <c r="CF144"/>
  <c r="CA144"/>
  <c r="CB144" s="1"/>
  <c r="BZ144"/>
  <c r="BY144"/>
  <c r="BX144"/>
  <c r="BT144"/>
  <c r="BP144"/>
  <c r="BL144"/>
  <c r="BH144"/>
  <c r="BD144"/>
  <c r="AZ144"/>
  <c r="AV144"/>
  <c r="AR144"/>
  <c r="AN144"/>
  <c r="AJ144"/>
  <c r="AE144"/>
  <c r="AF144" s="1"/>
  <c r="AD144"/>
  <c r="AC144"/>
  <c r="AA144"/>
  <c r="AB144" s="1"/>
  <c r="Z144"/>
  <c r="Y144"/>
  <c r="W144"/>
  <c r="X144" s="1"/>
  <c r="V144"/>
  <c r="U144"/>
  <c r="S144"/>
  <c r="T144" s="1"/>
  <c r="R144"/>
  <c r="Q144"/>
  <c r="P144"/>
  <c r="L144"/>
  <c r="E144"/>
  <c r="GZ143"/>
  <c r="GV143"/>
  <c r="GQ143"/>
  <c r="GP143"/>
  <c r="GR143" s="1"/>
  <c r="GO143"/>
  <c r="GM143"/>
  <c r="GL143"/>
  <c r="GN143" s="1"/>
  <c r="GK143"/>
  <c r="GI143"/>
  <c r="GH143"/>
  <c r="GJ143" s="1"/>
  <c r="GG143"/>
  <c r="GF143"/>
  <c r="GB143"/>
  <c r="FX143"/>
  <c r="FS143"/>
  <c r="FT143" s="1"/>
  <c r="FR143"/>
  <c r="FQ143"/>
  <c r="FP143"/>
  <c r="FL143"/>
  <c r="FG143"/>
  <c r="FH143" s="1"/>
  <c r="FF143"/>
  <c r="FE143"/>
  <c r="FC143"/>
  <c r="FD143" s="1"/>
  <c r="FB143"/>
  <c r="FA143"/>
  <c r="EZ143"/>
  <c r="EV143"/>
  <c r="EQ143"/>
  <c r="ER143" s="1"/>
  <c r="EP143"/>
  <c r="EO143"/>
  <c r="EM143"/>
  <c r="EN143" s="1"/>
  <c r="EL143"/>
  <c r="EK143"/>
  <c r="EI143"/>
  <c r="EJ143" s="1"/>
  <c r="EH143"/>
  <c r="EG143"/>
  <c r="EF143"/>
  <c r="EB143"/>
  <c r="DX143"/>
  <c r="DT143"/>
  <c r="DP143"/>
  <c r="DL143"/>
  <c r="DH143"/>
  <c r="DD143"/>
  <c r="CZ143"/>
  <c r="CV143"/>
  <c r="CR143"/>
  <c r="CN143"/>
  <c r="CJ143"/>
  <c r="CF143"/>
  <c r="CA143"/>
  <c r="CB143" s="1"/>
  <c r="BZ143"/>
  <c r="BY143"/>
  <c r="BW143"/>
  <c r="BX143" s="1"/>
  <c r="BV143"/>
  <c r="BU143"/>
  <c r="BT143"/>
  <c r="BO143"/>
  <c r="BP143" s="1"/>
  <c r="BN143"/>
  <c r="BM143"/>
  <c r="BK143"/>
  <c r="BL143" s="1"/>
  <c r="BJ143"/>
  <c r="BI143"/>
  <c r="BH143"/>
  <c r="BD143"/>
  <c r="AZ143"/>
  <c r="AV143"/>
  <c r="AR143"/>
  <c r="AN143"/>
  <c r="AJ143"/>
  <c r="AF143"/>
  <c r="AB143"/>
  <c r="W143"/>
  <c r="X143" s="1"/>
  <c r="V143"/>
  <c r="U143"/>
  <c r="S143"/>
  <c r="T143" s="1"/>
  <c r="R143"/>
  <c r="Q143"/>
  <c r="O143"/>
  <c r="P143" s="1"/>
  <c r="N143"/>
  <c r="M143"/>
  <c r="L143"/>
  <c r="G143"/>
  <c r="F143"/>
  <c r="E143"/>
  <c r="GY142"/>
  <c r="GX142"/>
  <c r="GZ142" s="1"/>
  <c r="GW142"/>
  <c r="GU142"/>
  <c r="GT142"/>
  <c r="GV142" s="1"/>
  <c r="GS142"/>
  <c r="GQ142"/>
  <c r="GR142" s="1"/>
  <c r="GP142"/>
  <c r="GO142"/>
  <c r="GM142"/>
  <c r="GN142" s="1"/>
  <c r="GL142"/>
  <c r="GK142"/>
  <c r="GI142"/>
  <c r="GJ142" s="1"/>
  <c r="GH142"/>
  <c r="GG142"/>
  <c r="GE142"/>
  <c r="GF142" s="1"/>
  <c r="GD142"/>
  <c r="GC142"/>
  <c r="GA142"/>
  <c r="GB142" s="1"/>
  <c r="FZ142"/>
  <c r="FY142"/>
  <c r="FW142"/>
  <c r="FX142" s="1"/>
  <c r="FV142"/>
  <c r="FU142"/>
  <c r="FS142"/>
  <c r="FT142" s="1"/>
  <c r="FR142"/>
  <c r="FQ142"/>
  <c r="FP142"/>
  <c r="FK142"/>
  <c r="FL142" s="1"/>
  <c r="FJ142"/>
  <c r="FI142"/>
  <c r="FG142"/>
  <c r="FH142" s="1"/>
  <c r="FF142"/>
  <c r="FE142"/>
  <c r="FC142"/>
  <c r="FD142" s="1"/>
  <c r="FB142"/>
  <c r="FA142"/>
  <c r="EY142"/>
  <c r="EZ142" s="1"/>
  <c r="EX142"/>
  <c r="EW142"/>
  <c r="EU142"/>
  <c r="EV142" s="1"/>
  <c r="ET142"/>
  <c r="ES142"/>
  <c r="EQ142"/>
  <c r="ER142" s="1"/>
  <c r="EP142"/>
  <c r="EO142"/>
  <c r="EM142"/>
  <c r="EN142" s="1"/>
  <c r="EL142"/>
  <c r="EK142"/>
  <c r="EI142"/>
  <c r="EJ142" s="1"/>
  <c r="EH142"/>
  <c r="EG142"/>
  <c r="EE142"/>
  <c r="EF142" s="1"/>
  <c r="ED142"/>
  <c r="EC142"/>
  <c r="EA142"/>
  <c r="EB142" s="1"/>
  <c r="DZ142"/>
  <c r="DY142"/>
  <c r="DW142"/>
  <c r="DX142" s="1"/>
  <c r="DV142"/>
  <c r="DU142"/>
  <c r="DS142"/>
  <c r="DT142" s="1"/>
  <c r="DR142"/>
  <c r="DQ142"/>
  <c r="DO142"/>
  <c r="DP142" s="1"/>
  <c r="DN142"/>
  <c r="DM142"/>
  <c r="DL142"/>
  <c r="DG142"/>
  <c r="DH142" s="1"/>
  <c r="DF142"/>
  <c r="DE142"/>
  <c r="DC142"/>
  <c r="DD142" s="1"/>
  <c r="DB142"/>
  <c r="DA142"/>
  <c r="CY142"/>
  <c r="CZ142" s="1"/>
  <c r="CX142"/>
  <c r="CW142"/>
  <c r="CV142"/>
  <c r="CQ142"/>
  <c r="CR142" s="1"/>
  <c r="CP142"/>
  <c r="CO142"/>
  <c r="CM142"/>
  <c r="CN142" s="1"/>
  <c r="CL142"/>
  <c r="CK142"/>
  <c r="CI142"/>
  <c r="CJ142" s="1"/>
  <c r="CH142"/>
  <c r="CG142"/>
  <c r="CE142"/>
  <c r="CF142" s="1"/>
  <c r="CD142"/>
  <c r="CC142"/>
  <c r="CA142"/>
  <c r="CB142" s="1"/>
  <c r="BZ142"/>
  <c r="BY142"/>
  <c r="BW142"/>
  <c r="BX142" s="1"/>
  <c r="BV142"/>
  <c r="BU142"/>
  <c r="BS142"/>
  <c r="BT142" s="1"/>
  <c r="BR142"/>
  <c r="BQ142"/>
  <c r="BO142"/>
  <c r="BP142" s="1"/>
  <c r="BN142"/>
  <c r="BM142"/>
  <c r="BK142"/>
  <c r="BL142" s="1"/>
  <c r="BJ142"/>
  <c r="BI142"/>
  <c r="BH142"/>
  <c r="BD142"/>
  <c r="AY142"/>
  <c r="AZ142" s="1"/>
  <c r="AX142"/>
  <c r="AW142"/>
  <c r="AU142"/>
  <c r="AV142" s="1"/>
  <c r="AT142"/>
  <c r="AS142"/>
  <c r="AQ142"/>
  <c r="AR142" s="1"/>
  <c r="AP142"/>
  <c r="AO142"/>
  <c r="AN142"/>
  <c r="AJ142"/>
  <c r="AE142"/>
  <c r="AF142" s="1"/>
  <c r="AD142"/>
  <c r="AC142"/>
  <c r="AB142"/>
  <c r="W142"/>
  <c r="X142" s="1"/>
  <c r="V142"/>
  <c r="U142"/>
  <c r="S142"/>
  <c r="T142" s="1"/>
  <c r="R142"/>
  <c r="Q142"/>
  <c r="O142"/>
  <c r="P142" s="1"/>
  <c r="N142"/>
  <c r="M142"/>
  <c r="L142"/>
  <c r="G142"/>
  <c r="F142"/>
  <c r="E142"/>
  <c r="GY141"/>
  <c r="GX141"/>
  <c r="GZ141" s="1"/>
  <c r="GW141"/>
  <c r="GU141"/>
  <c r="GV141" s="1"/>
  <c r="GT141"/>
  <c r="GS141"/>
  <c r="GQ141"/>
  <c r="GR141" s="1"/>
  <c r="GP141"/>
  <c r="GO141"/>
  <c r="GM141"/>
  <c r="GN141" s="1"/>
  <c r="GL141"/>
  <c r="GK141"/>
  <c r="GI141"/>
  <c r="GJ141" s="1"/>
  <c r="GH141"/>
  <c r="GG141"/>
  <c r="GE141"/>
  <c r="GF141" s="1"/>
  <c r="GD141"/>
  <c r="GC141"/>
  <c r="GA141"/>
  <c r="GB141" s="1"/>
  <c r="FZ141"/>
  <c r="FY141"/>
  <c r="FW141"/>
  <c r="FX141" s="1"/>
  <c r="FV141"/>
  <c r="FU141"/>
  <c r="FS141"/>
  <c r="FT141" s="1"/>
  <c r="FR141"/>
  <c r="FQ141"/>
  <c r="FP141"/>
  <c r="FK141"/>
  <c r="FL141" s="1"/>
  <c r="FJ141"/>
  <c r="FI141"/>
  <c r="FG141"/>
  <c r="FH141" s="1"/>
  <c r="FF141"/>
  <c r="FE141"/>
  <c r="FC141"/>
  <c r="FD141" s="1"/>
  <c r="FB141"/>
  <c r="FA141"/>
  <c r="EY141"/>
  <c r="EZ141" s="1"/>
  <c r="EX141"/>
  <c r="EW141"/>
  <c r="EU141"/>
  <c r="EV141" s="1"/>
  <c r="ET141"/>
  <c r="ES141"/>
  <c r="EQ141"/>
  <c r="ER141" s="1"/>
  <c r="EP141"/>
  <c r="EO141"/>
  <c r="EM141"/>
  <c r="EN141" s="1"/>
  <c r="EL141"/>
  <c r="EK141"/>
  <c r="EI141"/>
  <c r="EJ141" s="1"/>
  <c r="EH141"/>
  <c r="EG141"/>
  <c r="EE141"/>
  <c r="EF141" s="1"/>
  <c r="ED141"/>
  <c r="EC141"/>
  <c r="EA141"/>
  <c r="EB141" s="1"/>
  <c r="DZ141"/>
  <c r="DY141"/>
  <c r="DW141"/>
  <c r="DX141" s="1"/>
  <c r="DV141"/>
  <c r="DU141"/>
  <c r="DS141"/>
  <c r="DT141" s="1"/>
  <c r="DR141"/>
  <c r="DQ141"/>
  <c r="DO141"/>
  <c r="DP141" s="1"/>
  <c r="DN141"/>
  <c r="DM141"/>
  <c r="DL141"/>
  <c r="DG141"/>
  <c r="DH141" s="1"/>
  <c r="DF141"/>
  <c r="DE141"/>
  <c r="DC141"/>
  <c r="DD141" s="1"/>
  <c r="DB141"/>
  <c r="DA141"/>
  <c r="CY141"/>
  <c r="CZ141" s="1"/>
  <c r="CX141"/>
  <c r="CW141"/>
  <c r="CU141"/>
  <c r="CV141" s="1"/>
  <c r="CT141"/>
  <c r="CS141"/>
  <c r="CQ141"/>
  <c r="CR141" s="1"/>
  <c r="CP141"/>
  <c r="CO141"/>
  <c r="CM141"/>
  <c r="CN141" s="1"/>
  <c r="CL141"/>
  <c r="CK141"/>
  <c r="CI141"/>
  <c r="CJ141" s="1"/>
  <c r="CH141"/>
  <c r="CG141"/>
  <c r="CE141"/>
  <c r="CF141" s="1"/>
  <c r="CD141"/>
  <c r="CC141"/>
  <c r="CA141"/>
  <c r="CB141" s="1"/>
  <c r="BZ141"/>
  <c r="BY141"/>
  <c r="BW141"/>
  <c r="BX141" s="1"/>
  <c r="BV141"/>
  <c r="BU141"/>
  <c r="BS141"/>
  <c r="BT141" s="1"/>
  <c r="BR141"/>
  <c r="BQ141"/>
  <c r="BO141"/>
  <c r="BP141" s="1"/>
  <c r="BN141"/>
  <c r="BM141"/>
  <c r="BK141"/>
  <c r="BL141" s="1"/>
  <c r="BJ141"/>
  <c r="BI141"/>
  <c r="BG141"/>
  <c r="BH141" s="1"/>
  <c r="BF141"/>
  <c r="BE141"/>
  <c r="BC141"/>
  <c r="BD141" s="1"/>
  <c r="BB141"/>
  <c r="BA141"/>
  <c r="AY141"/>
  <c r="AZ141" s="1"/>
  <c r="AX141"/>
  <c r="AW141"/>
  <c r="AU141"/>
  <c r="AV141" s="1"/>
  <c r="AT141"/>
  <c r="AS141"/>
  <c r="AQ141"/>
  <c r="AR141" s="1"/>
  <c r="AP141"/>
  <c r="AO141"/>
  <c r="AM141"/>
  <c r="AN141" s="1"/>
  <c r="AL141"/>
  <c r="AK141"/>
  <c r="AI141"/>
  <c r="AJ141" s="1"/>
  <c r="AH141"/>
  <c r="AG141"/>
  <c r="AE141"/>
  <c r="AF141" s="1"/>
  <c r="AD141"/>
  <c r="AC141"/>
  <c r="AA141"/>
  <c r="AB141" s="1"/>
  <c r="Z141"/>
  <c r="Y141"/>
  <c r="W141"/>
  <c r="X141" s="1"/>
  <c r="V141"/>
  <c r="U141"/>
  <c r="S141"/>
  <c r="T141" s="1"/>
  <c r="R141"/>
  <c r="Q141"/>
  <c r="O141"/>
  <c r="P141" s="1"/>
  <c r="N141"/>
  <c r="M141"/>
  <c r="K141"/>
  <c r="L141" s="1"/>
  <c r="J141"/>
  <c r="I141"/>
  <c r="G141"/>
  <c r="F141"/>
  <c r="E141"/>
  <c r="A141"/>
  <c r="A142" s="1"/>
  <c r="A143" s="1"/>
  <c r="A144" s="1"/>
  <c r="A145" s="1"/>
  <c r="A146" s="1"/>
  <c r="A147" s="1"/>
  <c r="A148" s="1"/>
  <c r="GZ140"/>
  <c r="GV140"/>
  <c r="GR140"/>
  <c r="GN140"/>
  <c r="GJ140"/>
  <c r="GF140"/>
  <c r="GB140"/>
  <c r="FX140"/>
  <c r="FT140"/>
  <c r="FP140"/>
  <c r="FL140"/>
  <c r="FH140"/>
  <c r="FD140"/>
  <c r="EZ140"/>
  <c r="EV140"/>
  <c r="ER140"/>
  <c r="EN140"/>
  <c r="EJ140"/>
  <c r="EF140"/>
  <c r="EB140"/>
  <c r="DX140"/>
  <c r="DT140"/>
  <c r="DP140"/>
  <c r="DL140"/>
  <c r="DH140"/>
  <c r="DD140"/>
  <c r="CZ140"/>
  <c r="CV140"/>
  <c r="CR140"/>
  <c r="CN140"/>
  <c r="CJ140"/>
  <c r="CE140"/>
  <c r="CF140" s="1"/>
  <c r="CD140"/>
  <c r="CC140"/>
  <c r="CB140"/>
  <c r="BX140"/>
  <c r="BT140"/>
  <c r="BO140"/>
  <c r="BP140" s="1"/>
  <c r="BN140"/>
  <c r="BM140"/>
  <c r="BK140"/>
  <c r="BL140" s="1"/>
  <c r="BJ140"/>
  <c r="BI140"/>
  <c r="BH140"/>
  <c r="BD140"/>
  <c r="AZ140"/>
  <c r="AV140"/>
  <c r="AR140"/>
  <c r="AN140"/>
  <c r="AJ140"/>
  <c r="AE140"/>
  <c r="AF140" s="1"/>
  <c r="AD140"/>
  <c r="AC140"/>
  <c r="AB140"/>
  <c r="W140"/>
  <c r="X140" s="1"/>
  <c r="V140"/>
  <c r="U140"/>
  <c r="T140"/>
  <c r="P140"/>
  <c r="L140"/>
  <c r="G140"/>
  <c r="F140"/>
  <c r="E140"/>
  <c r="GZ139"/>
  <c r="GV139"/>
  <c r="GR139"/>
  <c r="GN139"/>
  <c r="GJ139"/>
  <c r="GF139"/>
  <c r="GB139"/>
  <c r="FX139"/>
  <c r="FT139"/>
  <c r="FP139"/>
  <c r="FK139"/>
  <c r="FL139" s="1"/>
  <c r="FJ139"/>
  <c r="FI139"/>
  <c r="FH139"/>
  <c r="FD139"/>
  <c r="EZ139"/>
  <c r="EV139"/>
  <c r="ER139"/>
  <c r="EN139"/>
  <c r="EJ139"/>
  <c r="EE139"/>
  <c r="ED139"/>
  <c r="EF139" s="1"/>
  <c r="EC139"/>
  <c r="EA139"/>
  <c r="EB139" s="1"/>
  <c r="DZ139"/>
  <c r="DY139"/>
  <c r="DX139"/>
  <c r="DT139"/>
  <c r="DP139"/>
  <c r="DL139"/>
  <c r="DH139"/>
  <c r="DD139"/>
  <c r="CZ139"/>
  <c r="CV139"/>
  <c r="CR139"/>
  <c r="CN139"/>
  <c r="CI139"/>
  <c r="CJ139" s="1"/>
  <c r="CH139"/>
  <c r="CG139"/>
  <c r="CF139"/>
  <c r="CB139"/>
  <c r="BX139"/>
  <c r="BT139"/>
  <c r="BP139"/>
  <c r="BL139"/>
  <c r="BG139"/>
  <c r="BH139" s="1"/>
  <c r="BF139"/>
  <c r="BE139"/>
  <c r="BC139"/>
  <c r="BD139" s="1"/>
  <c r="BB139"/>
  <c r="BA139"/>
  <c r="AY139"/>
  <c r="AZ139" s="1"/>
  <c r="AX139"/>
  <c r="AW139"/>
  <c r="AV139"/>
  <c r="AR139"/>
  <c r="AM139"/>
  <c r="AN139" s="1"/>
  <c r="AL139"/>
  <c r="AK139"/>
  <c r="AI139"/>
  <c r="AJ139" s="1"/>
  <c r="AH139"/>
  <c r="AG139"/>
  <c r="AE139"/>
  <c r="AF139" s="1"/>
  <c r="AD139"/>
  <c r="AC139"/>
  <c r="AA139"/>
  <c r="AB139" s="1"/>
  <c r="Z139"/>
  <c r="Y139"/>
  <c r="X139"/>
  <c r="T139"/>
  <c r="P139"/>
  <c r="K139"/>
  <c r="L139" s="1"/>
  <c r="J139"/>
  <c r="I139"/>
  <c r="G139"/>
  <c r="F139"/>
  <c r="E139"/>
  <c r="GZ138"/>
  <c r="GU138"/>
  <c r="GT138"/>
  <c r="GV138" s="1"/>
  <c r="GS138"/>
  <c r="GR138"/>
  <c r="GN138"/>
  <c r="GJ138"/>
  <c r="GE138"/>
  <c r="GF138" s="1"/>
  <c r="GD138"/>
  <c r="GC138"/>
  <c r="GA138"/>
  <c r="GB138" s="1"/>
  <c r="FZ138"/>
  <c r="FY138"/>
  <c r="FW138"/>
  <c r="FX138" s="1"/>
  <c r="FV138"/>
  <c r="FU138"/>
  <c r="FS138"/>
  <c r="FT138" s="1"/>
  <c r="FR138"/>
  <c r="FQ138"/>
  <c r="FP138"/>
  <c r="FL138"/>
  <c r="FG138"/>
  <c r="FH138" s="1"/>
  <c r="FF138"/>
  <c r="FE138"/>
  <c r="FC138"/>
  <c r="FD138" s="1"/>
  <c r="FB138"/>
  <c r="FA138"/>
  <c r="EY138"/>
  <c r="EZ138" s="1"/>
  <c r="EX138"/>
  <c r="EW138"/>
  <c r="EU138"/>
  <c r="EV138" s="1"/>
  <c r="ET138"/>
  <c r="ES138"/>
  <c r="EQ138"/>
  <c r="ER138" s="1"/>
  <c r="EP138"/>
  <c r="EO138"/>
  <c r="EM138"/>
  <c r="EN138" s="1"/>
  <c r="EL138"/>
  <c r="EK138"/>
  <c r="EI138"/>
  <c r="EJ138" s="1"/>
  <c r="EH138"/>
  <c r="EG138"/>
  <c r="EF138"/>
  <c r="EB138"/>
  <c r="DW138"/>
  <c r="DX138" s="1"/>
  <c r="DV138"/>
  <c r="DU138"/>
  <c r="DT138"/>
  <c r="DO138"/>
  <c r="DP138" s="1"/>
  <c r="DN138"/>
  <c r="DM138"/>
  <c r="DL138"/>
  <c r="DG138"/>
  <c r="DH138" s="1"/>
  <c r="DF138"/>
  <c r="DE138"/>
  <c r="DC138"/>
  <c r="DD138" s="1"/>
  <c r="DB138"/>
  <c r="DA138"/>
  <c r="CY138"/>
  <c r="CZ138" s="1"/>
  <c r="CX138"/>
  <c r="CW138"/>
  <c r="CV138"/>
  <c r="CQ138"/>
  <c r="CR138" s="1"/>
  <c r="CP138"/>
  <c r="CO138"/>
  <c r="CM138"/>
  <c r="CN138" s="1"/>
  <c r="CL138"/>
  <c r="CK138"/>
  <c r="CJ138"/>
  <c r="CF138"/>
  <c r="CA138"/>
  <c r="CB138" s="1"/>
  <c r="BZ138"/>
  <c r="BY138"/>
  <c r="BW138"/>
  <c r="BX138" s="1"/>
  <c r="BV138"/>
  <c r="BU138"/>
  <c r="BS138"/>
  <c r="BT138" s="1"/>
  <c r="BR138"/>
  <c r="BQ138"/>
  <c r="BO138"/>
  <c r="BP138" s="1"/>
  <c r="BN138"/>
  <c r="BM138"/>
  <c r="BK138"/>
  <c r="BL138" s="1"/>
  <c r="BJ138"/>
  <c r="BI138"/>
  <c r="BH138"/>
  <c r="BD138"/>
  <c r="AZ138"/>
  <c r="AU138"/>
  <c r="AV138" s="1"/>
  <c r="AT138"/>
  <c r="AS138"/>
  <c r="AQ138"/>
  <c r="AR138" s="1"/>
  <c r="AP138"/>
  <c r="AO138"/>
  <c r="AN138"/>
  <c r="AJ138"/>
  <c r="AE138"/>
  <c r="AF138" s="1"/>
  <c r="AD138"/>
  <c r="AC138"/>
  <c r="AB138"/>
  <c r="W138"/>
  <c r="X138" s="1"/>
  <c r="V138"/>
  <c r="U138"/>
  <c r="S138"/>
  <c r="T138" s="1"/>
  <c r="R138"/>
  <c r="Q138"/>
  <c r="O138"/>
  <c r="P138" s="1"/>
  <c r="N138"/>
  <c r="M138"/>
  <c r="L138"/>
  <c r="G138"/>
  <c r="F138"/>
  <c r="F137" s="1"/>
  <c r="E138"/>
  <c r="GY137"/>
  <c r="GZ137" s="1"/>
  <c r="GX137"/>
  <c r="GW137"/>
  <c r="GU137"/>
  <c r="GT137"/>
  <c r="GS137"/>
  <c r="GQ137"/>
  <c r="GR137" s="1"/>
  <c r="GP137"/>
  <c r="GO137"/>
  <c r="GM137"/>
  <c r="GL137"/>
  <c r="GK137"/>
  <c r="GI137"/>
  <c r="GJ137" s="1"/>
  <c r="GH137"/>
  <c r="GG137"/>
  <c r="GE137"/>
  <c r="GD137"/>
  <c r="GC137"/>
  <c r="GA137"/>
  <c r="GB137" s="1"/>
  <c r="FZ137"/>
  <c r="FY137"/>
  <c r="FW137"/>
  <c r="FV137"/>
  <c r="FU137"/>
  <c r="FS137"/>
  <c r="FT137" s="1"/>
  <c r="FR137"/>
  <c r="FQ137"/>
  <c r="FO137"/>
  <c r="FN137"/>
  <c r="FM137"/>
  <c r="FK137"/>
  <c r="FL137" s="1"/>
  <c r="FJ137"/>
  <c r="FI137"/>
  <c r="FG137"/>
  <c r="FF137"/>
  <c r="FE137"/>
  <c r="FC137"/>
  <c r="FD137" s="1"/>
  <c r="FB137"/>
  <c r="FA137"/>
  <c r="EY137"/>
  <c r="EX137"/>
  <c r="EW137"/>
  <c r="EU137"/>
  <c r="EV137" s="1"/>
  <c r="ET137"/>
  <c r="ES137"/>
  <c r="EQ137"/>
  <c r="EP137"/>
  <c r="EO137"/>
  <c r="EM137"/>
  <c r="EN137" s="1"/>
  <c r="EL137"/>
  <c r="EK137"/>
  <c r="EI137"/>
  <c r="EH137"/>
  <c r="EG137"/>
  <c r="EE137"/>
  <c r="EF137" s="1"/>
  <c r="ED137"/>
  <c r="EC137"/>
  <c r="EA137"/>
  <c r="DZ137"/>
  <c r="DY137"/>
  <c r="DW137"/>
  <c r="DX137" s="1"/>
  <c r="DV137"/>
  <c r="DU137"/>
  <c r="DS137"/>
  <c r="DR137"/>
  <c r="DQ137"/>
  <c r="DO137"/>
  <c r="DP137" s="1"/>
  <c r="DN137"/>
  <c r="DM137"/>
  <c r="DK137"/>
  <c r="DJ137"/>
  <c r="DI137"/>
  <c r="DG137"/>
  <c r="DH137" s="1"/>
  <c r="DF137"/>
  <c r="DE137"/>
  <c r="DC137"/>
  <c r="DB137"/>
  <c r="DA137"/>
  <c r="CY137"/>
  <c r="CZ137" s="1"/>
  <c r="CX137"/>
  <c r="CW137"/>
  <c r="CU137"/>
  <c r="CT137"/>
  <c r="CS137"/>
  <c r="CQ137"/>
  <c r="CR137" s="1"/>
  <c r="CP137"/>
  <c r="CO137"/>
  <c r="CM137"/>
  <c r="CL137"/>
  <c r="CK137"/>
  <c r="CI137"/>
  <c r="CJ137" s="1"/>
  <c r="CH137"/>
  <c r="CG137"/>
  <c r="CE137"/>
  <c r="CD137"/>
  <c r="CC137"/>
  <c r="CA137"/>
  <c r="CB137" s="1"/>
  <c r="BZ137"/>
  <c r="BY137"/>
  <c r="BW137"/>
  <c r="BV137"/>
  <c r="BU137"/>
  <c r="BS137"/>
  <c r="BR137"/>
  <c r="BQ137"/>
  <c r="BO137"/>
  <c r="BN137"/>
  <c r="BP137" s="1"/>
  <c r="BM137"/>
  <c r="BK137"/>
  <c r="BJ137"/>
  <c r="BI137"/>
  <c r="BG137"/>
  <c r="BF137"/>
  <c r="BH137" s="1"/>
  <c r="BE137"/>
  <c r="BC137"/>
  <c r="BB137"/>
  <c r="BA137"/>
  <c r="AY137"/>
  <c r="AX137"/>
  <c r="AZ137" s="1"/>
  <c r="AW137"/>
  <c r="AU137"/>
  <c r="AT137"/>
  <c r="AS137"/>
  <c r="AQ137"/>
  <c r="AP137"/>
  <c r="AR137" s="1"/>
  <c r="AO137"/>
  <c r="AM137"/>
  <c r="AL137"/>
  <c r="AK137"/>
  <c r="AI137"/>
  <c r="AH137"/>
  <c r="AJ137" s="1"/>
  <c r="AG137"/>
  <c r="AE137"/>
  <c r="AD137"/>
  <c r="AC137"/>
  <c r="AA137"/>
  <c r="Z137"/>
  <c r="AB137" s="1"/>
  <c r="Y137"/>
  <c r="W137"/>
  <c r="V137"/>
  <c r="U137"/>
  <c r="S137"/>
  <c r="R137"/>
  <c r="T137" s="1"/>
  <c r="Q137"/>
  <c r="O137"/>
  <c r="N137"/>
  <c r="M137"/>
  <c r="K137"/>
  <c r="J137"/>
  <c r="L137" s="1"/>
  <c r="I137"/>
  <c r="G137"/>
  <c r="E137"/>
  <c r="GK136"/>
  <c r="GG136"/>
  <c r="GG134" s="1"/>
  <c r="GC136"/>
  <c r="FY136"/>
  <c r="FY134" s="1"/>
  <c r="FM136"/>
  <c r="FI136"/>
  <c r="FI134" s="1"/>
  <c r="EW136"/>
  <c r="EK136"/>
  <c r="EK134" s="1"/>
  <c r="DU136"/>
  <c r="DI136"/>
  <c r="DI134" s="1"/>
  <c r="DE136"/>
  <c r="CS136"/>
  <c r="CS134" s="1"/>
  <c r="CK136"/>
  <c r="GY135"/>
  <c r="GZ135" s="1"/>
  <c r="GX135"/>
  <c r="GW135"/>
  <c r="GU135"/>
  <c r="GV135" s="1"/>
  <c r="GT135"/>
  <c r="GS135"/>
  <c r="GQ135"/>
  <c r="GR135" s="1"/>
  <c r="GP135"/>
  <c r="GO135"/>
  <c r="GM135"/>
  <c r="GN135" s="1"/>
  <c r="GL135"/>
  <c r="GK135"/>
  <c r="GI135"/>
  <c r="GJ135" s="1"/>
  <c r="GH135"/>
  <c r="GG135"/>
  <c r="GE135"/>
  <c r="GF135" s="1"/>
  <c r="GD135"/>
  <c r="GC135"/>
  <c r="GA135"/>
  <c r="GB135" s="1"/>
  <c r="FZ135"/>
  <c r="FY135"/>
  <c r="FW135"/>
  <c r="FX135" s="1"/>
  <c r="FV135"/>
  <c r="FU135"/>
  <c r="FS135"/>
  <c r="FT135" s="1"/>
  <c r="FR135"/>
  <c r="FQ135"/>
  <c r="FP135"/>
  <c r="FK135"/>
  <c r="FL135" s="1"/>
  <c r="FJ135"/>
  <c r="FI135"/>
  <c r="FG135"/>
  <c r="FH135" s="1"/>
  <c r="FF135"/>
  <c r="FE135"/>
  <c r="FC135"/>
  <c r="FD135" s="1"/>
  <c r="FB135"/>
  <c r="FA135"/>
  <c r="EY135"/>
  <c r="EZ135" s="1"/>
  <c r="EX135"/>
  <c r="EW135"/>
  <c r="EU135"/>
  <c r="EV135" s="1"/>
  <c r="ET135"/>
  <c r="ES135"/>
  <c r="EQ135"/>
  <c r="ER135" s="1"/>
  <c r="EP135"/>
  <c r="EO135"/>
  <c r="EM135"/>
  <c r="EN135" s="1"/>
  <c r="EL135"/>
  <c r="EK135"/>
  <c r="EI135"/>
  <c r="EJ135" s="1"/>
  <c r="EH135"/>
  <c r="EG135"/>
  <c r="EE135"/>
  <c r="EF135" s="1"/>
  <c r="ED135"/>
  <c r="EC135"/>
  <c r="EA135"/>
  <c r="EB135" s="1"/>
  <c r="DZ135"/>
  <c r="DY135"/>
  <c r="DW135"/>
  <c r="DX135" s="1"/>
  <c r="DV135"/>
  <c r="DU135"/>
  <c r="DS135"/>
  <c r="DT135" s="1"/>
  <c r="DR135"/>
  <c r="DQ135"/>
  <c r="DO135"/>
  <c r="DP135" s="1"/>
  <c r="DN135"/>
  <c r="DM135"/>
  <c r="DK135"/>
  <c r="DL135" s="1"/>
  <c r="DJ135"/>
  <c r="DI135"/>
  <c r="DG135"/>
  <c r="DH135" s="1"/>
  <c r="DF135"/>
  <c r="DE135"/>
  <c r="DC135"/>
  <c r="DD135" s="1"/>
  <c r="DB135"/>
  <c r="DA135"/>
  <c r="CY135"/>
  <c r="CZ135" s="1"/>
  <c r="CX135"/>
  <c r="CW135"/>
  <c r="CU135"/>
  <c r="CV135" s="1"/>
  <c r="CT135"/>
  <c r="CS135"/>
  <c r="CQ135"/>
  <c r="CR135" s="1"/>
  <c r="CP135"/>
  <c r="CO135"/>
  <c r="CM135"/>
  <c r="CN135" s="1"/>
  <c r="CL135"/>
  <c r="CK135"/>
  <c r="CI135"/>
  <c r="CJ135" s="1"/>
  <c r="CH135"/>
  <c r="CG135"/>
  <c r="CE135"/>
  <c r="CF135" s="1"/>
  <c r="CD135"/>
  <c r="CC135"/>
  <c r="CA135"/>
  <c r="CB135" s="1"/>
  <c r="BZ135"/>
  <c r="BY135"/>
  <c r="BW135"/>
  <c r="BX135" s="1"/>
  <c r="BV135"/>
  <c r="BU135"/>
  <c r="BS135"/>
  <c r="BT135" s="1"/>
  <c r="BR135"/>
  <c r="BQ135"/>
  <c r="BO135"/>
  <c r="BP135" s="1"/>
  <c r="BN135"/>
  <c r="BM135"/>
  <c r="BK135"/>
  <c r="BL135" s="1"/>
  <c r="BJ135"/>
  <c r="BI135"/>
  <c r="BG135"/>
  <c r="BH135" s="1"/>
  <c r="BF135"/>
  <c r="BE135"/>
  <c r="BC135"/>
  <c r="BD135" s="1"/>
  <c r="BB135"/>
  <c r="BA135"/>
  <c r="AY135"/>
  <c r="AZ135" s="1"/>
  <c r="AX135"/>
  <c r="AW135"/>
  <c r="AU135"/>
  <c r="AV135" s="1"/>
  <c r="AT135"/>
  <c r="AS135"/>
  <c r="AQ135"/>
  <c r="AR135" s="1"/>
  <c r="AP135"/>
  <c r="AO135"/>
  <c r="AM135"/>
  <c r="AN135" s="1"/>
  <c r="AL135"/>
  <c r="AK135"/>
  <c r="AI135"/>
  <c r="AJ135" s="1"/>
  <c r="AH135"/>
  <c r="AG135"/>
  <c r="AE135"/>
  <c r="AF135" s="1"/>
  <c r="AD135"/>
  <c r="AC135"/>
  <c r="AA135"/>
  <c r="AB135" s="1"/>
  <c r="Z135"/>
  <c r="Y135"/>
  <c r="W135"/>
  <c r="X135" s="1"/>
  <c r="V135"/>
  <c r="U135"/>
  <c r="S135"/>
  <c r="T135" s="1"/>
  <c r="R135"/>
  <c r="Q135"/>
  <c r="O135"/>
  <c r="P135" s="1"/>
  <c r="N135"/>
  <c r="M135"/>
  <c r="K135"/>
  <c r="L135" s="1"/>
  <c r="J135"/>
  <c r="I135"/>
  <c r="G135"/>
  <c r="F135"/>
  <c r="E135"/>
  <c r="GW134"/>
  <c r="GK134"/>
  <c r="GC134"/>
  <c r="FM134"/>
  <c r="EW134"/>
  <c r="DU134"/>
  <c r="DE134"/>
  <c r="CK134"/>
  <c r="GX133"/>
  <c r="GY133" s="1"/>
  <c r="GS133"/>
  <c r="GS136" s="1"/>
  <c r="GS134" s="1"/>
  <c r="GO133"/>
  <c r="GO136" s="1"/>
  <c r="GO134" s="1"/>
  <c r="GM133"/>
  <c r="GN133" s="1"/>
  <c r="GL133"/>
  <c r="GH133"/>
  <c r="GI133" s="1"/>
  <c r="GD133"/>
  <c r="GE133" s="1"/>
  <c r="FZ133"/>
  <c r="GA133" s="1"/>
  <c r="FU133"/>
  <c r="FQ133"/>
  <c r="FQ136" s="1"/>
  <c r="FQ134" s="1"/>
  <c r="FO133"/>
  <c r="FP133" s="1"/>
  <c r="FN133"/>
  <c r="FJ133"/>
  <c r="FK133" s="1"/>
  <c r="FE133"/>
  <c r="FE136" s="1"/>
  <c r="FE134" s="1"/>
  <c r="FA133"/>
  <c r="FA136" s="1"/>
  <c r="FA134" s="1"/>
  <c r="EX133"/>
  <c r="EY133" s="1"/>
  <c r="ET133"/>
  <c r="EU133" s="1"/>
  <c r="ES133"/>
  <c r="ES136" s="1"/>
  <c r="ES134" s="1"/>
  <c r="EP133"/>
  <c r="EQ133" s="1"/>
  <c r="EO133"/>
  <c r="EO136" s="1"/>
  <c r="EO134" s="1"/>
  <c r="EL133"/>
  <c r="EM133" s="1"/>
  <c r="EG133"/>
  <c r="EG136" s="1"/>
  <c r="EG134" s="1"/>
  <c r="EC133"/>
  <c r="EC136" s="1"/>
  <c r="EC134" s="1"/>
  <c r="DY133"/>
  <c r="DY136" s="1"/>
  <c r="DY134" s="1"/>
  <c r="DV133"/>
  <c r="DW133" s="1"/>
  <c r="DR133"/>
  <c r="DS133" s="1"/>
  <c r="DQ133"/>
  <c r="DQ136" s="1"/>
  <c r="DQ134" s="1"/>
  <c r="DN133"/>
  <c r="DO133" s="1"/>
  <c r="DM133"/>
  <c r="DM136" s="1"/>
  <c r="DM134" s="1"/>
  <c r="DJ133"/>
  <c r="DK133" s="1"/>
  <c r="DG133"/>
  <c r="DH133" s="1"/>
  <c r="DF133"/>
  <c r="DB133"/>
  <c r="DC133" s="1"/>
  <c r="DA133"/>
  <c r="DA136" s="1"/>
  <c r="DA134" s="1"/>
  <c r="CX133"/>
  <c r="CY133" s="1"/>
  <c r="CW133"/>
  <c r="CW136" s="1"/>
  <c r="CW134" s="1"/>
  <c r="CT133"/>
  <c r="CU133" s="1"/>
  <c r="CO133"/>
  <c r="CM133"/>
  <c r="CN133" s="1"/>
  <c r="CL133"/>
  <c r="CG133"/>
  <c r="CG136" s="1"/>
  <c r="CG134" s="1"/>
  <c r="CC133"/>
  <c r="CC136" s="1"/>
  <c r="CC134" s="1"/>
  <c r="BZ133"/>
  <c r="CA133" s="1"/>
  <c r="BY133"/>
  <c r="BV133"/>
  <c r="BW133" s="1"/>
  <c r="BU133"/>
  <c r="BR133"/>
  <c r="BS133" s="1"/>
  <c r="BQ133"/>
  <c r="BQ136" s="1"/>
  <c r="BQ134" s="1"/>
  <c r="BN133"/>
  <c r="BO133" s="1"/>
  <c r="BM133"/>
  <c r="BM136" s="1"/>
  <c r="BM134" s="1"/>
  <c r="BJ133"/>
  <c r="BK133" s="1"/>
  <c r="BI133"/>
  <c r="BI136" s="1"/>
  <c r="BI134" s="1"/>
  <c r="BE133"/>
  <c r="BE136" s="1"/>
  <c r="BE134" s="1"/>
  <c r="BA133"/>
  <c r="BA136" s="1"/>
  <c r="BA134" s="1"/>
  <c r="AW133"/>
  <c r="AW136" s="1"/>
  <c r="AW134" s="1"/>
  <c r="AT133"/>
  <c r="AU133" s="1"/>
  <c r="AS133"/>
  <c r="AS136" s="1"/>
  <c r="AS134" s="1"/>
  <c r="AP133"/>
  <c r="AQ133" s="1"/>
  <c r="AO133"/>
  <c r="AK133"/>
  <c r="AK136" s="1"/>
  <c r="AK134" s="1"/>
  <c r="AG133"/>
  <c r="AG136" s="1"/>
  <c r="AG134" s="1"/>
  <c r="AD133"/>
  <c r="AE133" s="1"/>
  <c r="AC133"/>
  <c r="AC136" s="1"/>
  <c r="AC134" s="1"/>
  <c r="Y133"/>
  <c r="Y136" s="1"/>
  <c r="Y134" s="1"/>
  <c r="V133"/>
  <c r="W133" s="1"/>
  <c r="U133"/>
  <c r="U136" s="1"/>
  <c r="R133"/>
  <c r="S133" s="1"/>
  <c r="Q133"/>
  <c r="Q136" s="1"/>
  <c r="K167" s="1"/>
  <c r="N133"/>
  <c r="O133" s="1"/>
  <c r="M133"/>
  <c r="I133"/>
  <c r="J133" s="1"/>
  <c r="GY132"/>
  <c r="GX132"/>
  <c r="GZ132" s="1"/>
  <c r="GW132"/>
  <c r="GU132"/>
  <c r="GT132"/>
  <c r="GV132" s="1"/>
  <c r="GS132"/>
  <c r="GQ132"/>
  <c r="GP132"/>
  <c r="GR132" s="1"/>
  <c r="GO132"/>
  <c r="GM132"/>
  <c r="GL132"/>
  <c r="GN132" s="1"/>
  <c r="GK132"/>
  <c r="GI132"/>
  <c r="GH132"/>
  <c r="GJ132" s="1"/>
  <c r="GG132"/>
  <c r="GE132"/>
  <c r="GD132"/>
  <c r="GF132" s="1"/>
  <c r="GC132"/>
  <c r="GA132"/>
  <c r="FZ132"/>
  <c r="GB132" s="1"/>
  <c r="FY132"/>
  <c r="FW132"/>
  <c r="FV132"/>
  <c r="FX132" s="1"/>
  <c r="FU132"/>
  <c r="FS132"/>
  <c r="FR132"/>
  <c r="FT132" s="1"/>
  <c r="FQ132"/>
  <c r="FP132"/>
  <c r="FK132"/>
  <c r="FL132" s="1"/>
  <c r="FJ132"/>
  <c r="FI132"/>
  <c r="FG132"/>
  <c r="FH132" s="1"/>
  <c r="FF132"/>
  <c r="FE132"/>
  <c r="FC132"/>
  <c r="FD132" s="1"/>
  <c r="FB132"/>
  <c r="FA132"/>
  <c r="EY132"/>
  <c r="EZ132" s="1"/>
  <c r="EX132"/>
  <c r="EW132"/>
  <c r="EU132"/>
  <c r="EV132" s="1"/>
  <c r="ET132"/>
  <c r="ES132"/>
  <c r="EQ132"/>
  <c r="ER132" s="1"/>
  <c r="EP132"/>
  <c r="EO132"/>
  <c r="EM132"/>
  <c r="EN132" s="1"/>
  <c r="EL132"/>
  <c r="EK132"/>
  <c r="EI132"/>
  <c r="EJ132" s="1"/>
  <c r="EH132"/>
  <c r="EG132"/>
  <c r="EE132"/>
  <c r="EF132" s="1"/>
  <c r="ED132"/>
  <c r="EC132"/>
  <c r="EA132"/>
  <c r="EB132" s="1"/>
  <c r="DZ132"/>
  <c r="DY132"/>
  <c r="DW132"/>
  <c r="DX132" s="1"/>
  <c r="DV132"/>
  <c r="DU132"/>
  <c r="DS132"/>
  <c r="DT132" s="1"/>
  <c r="DR132"/>
  <c r="DQ132"/>
  <c r="DO132"/>
  <c r="DP132" s="1"/>
  <c r="DN132"/>
  <c r="DM132"/>
  <c r="DK132"/>
  <c r="DL132" s="1"/>
  <c r="DJ132"/>
  <c r="DI132"/>
  <c r="DG132"/>
  <c r="DH132" s="1"/>
  <c r="DF132"/>
  <c r="DE132"/>
  <c r="DC132"/>
  <c r="DD132" s="1"/>
  <c r="DB132"/>
  <c r="DA132"/>
  <c r="CY132"/>
  <c r="CZ132" s="1"/>
  <c r="CX132"/>
  <c r="CW132"/>
  <c r="CU132"/>
  <c r="CV132" s="1"/>
  <c r="CT132"/>
  <c r="CS132"/>
  <c r="CQ132"/>
  <c r="CR132" s="1"/>
  <c r="CP132"/>
  <c r="CO132"/>
  <c r="CM132"/>
  <c r="CN132" s="1"/>
  <c r="CL132"/>
  <c r="CK132"/>
  <c r="CI132"/>
  <c r="CJ132" s="1"/>
  <c r="CH132"/>
  <c r="CG132"/>
  <c r="CE132"/>
  <c r="CF132" s="1"/>
  <c r="CD132"/>
  <c r="CC132"/>
  <c r="CA132"/>
  <c r="CB132" s="1"/>
  <c r="BZ132"/>
  <c r="BY132"/>
  <c r="BW132"/>
  <c r="BX132" s="1"/>
  <c r="BV132"/>
  <c r="BU132"/>
  <c r="BS132"/>
  <c r="BT132" s="1"/>
  <c r="BR132"/>
  <c r="BQ132"/>
  <c r="BO132"/>
  <c r="BP132" s="1"/>
  <c r="BN132"/>
  <c r="BM132"/>
  <c r="BK132"/>
  <c r="BL132" s="1"/>
  <c r="BJ132"/>
  <c r="BI132"/>
  <c r="BG132"/>
  <c r="BH132" s="1"/>
  <c r="BF132"/>
  <c r="BE132"/>
  <c r="BC132"/>
  <c r="BD132" s="1"/>
  <c r="BB132"/>
  <c r="BA132"/>
  <c r="AY132"/>
  <c r="AZ132" s="1"/>
  <c r="AX132"/>
  <c r="AW132"/>
  <c r="AU132"/>
  <c r="AV132" s="1"/>
  <c r="AT132"/>
  <c r="AS132"/>
  <c r="AQ132"/>
  <c r="AR132" s="1"/>
  <c r="AP132"/>
  <c r="AO132"/>
  <c r="AM132"/>
  <c r="AN132" s="1"/>
  <c r="AL132"/>
  <c r="AK132"/>
  <c r="AI132"/>
  <c r="AJ132" s="1"/>
  <c r="AH132"/>
  <c r="AG132"/>
  <c r="AE132"/>
  <c r="AF132" s="1"/>
  <c r="AD132"/>
  <c r="AC132"/>
  <c r="AA132"/>
  <c r="AB132" s="1"/>
  <c r="Z132"/>
  <c r="Y132"/>
  <c r="W132"/>
  <c r="X132" s="1"/>
  <c r="V132"/>
  <c r="U132"/>
  <c r="S132"/>
  <c r="T132" s="1"/>
  <c r="R132"/>
  <c r="Q132"/>
  <c r="O132"/>
  <c r="P132" s="1"/>
  <c r="N132"/>
  <c r="M132"/>
  <c r="K132"/>
  <c r="L132" s="1"/>
  <c r="H132" s="1"/>
  <c r="J132"/>
  <c r="I132"/>
  <c r="G132"/>
  <c r="F132"/>
  <c r="E132"/>
  <c r="GX131"/>
  <c r="GW131"/>
  <c r="GS131"/>
  <c r="GO131"/>
  <c r="GM131"/>
  <c r="GN131" s="1"/>
  <c r="GL131"/>
  <c r="GK131"/>
  <c r="GG131"/>
  <c r="GD131"/>
  <c r="GC131"/>
  <c r="FZ131"/>
  <c r="FY131"/>
  <c r="FU131"/>
  <c r="FQ131"/>
  <c r="FO131"/>
  <c r="FP131" s="1"/>
  <c r="FN131"/>
  <c r="FM131"/>
  <c r="FI131"/>
  <c r="FE131"/>
  <c r="FA131"/>
  <c r="EX131"/>
  <c r="EW131"/>
  <c r="ET131"/>
  <c r="ES131"/>
  <c r="EP131"/>
  <c r="EO131"/>
  <c r="EL131"/>
  <c r="EK131"/>
  <c r="EG131"/>
  <c r="EC131"/>
  <c r="DY131"/>
  <c r="DV131"/>
  <c r="DU131"/>
  <c r="DR131"/>
  <c r="DQ131"/>
  <c r="DN131"/>
  <c r="DM131"/>
  <c r="DJ131"/>
  <c r="DI131"/>
  <c r="DG131"/>
  <c r="DH131" s="1"/>
  <c r="DF131"/>
  <c r="DE131"/>
  <c r="DA131"/>
  <c r="CW131"/>
  <c r="CS131"/>
  <c r="CO131"/>
  <c r="CM131"/>
  <c r="CN131" s="1"/>
  <c r="CL131"/>
  <c r="CK131"/>
  <c r="CG131"/>
  <c r="CC131"/>
  <c r="BY131"/>
  <c r="BU131"/>
  <c r="BQ131"/>
  <c r="BM131"/>
  <c r="BI131"/>
  <c r="BE131"/>
  <c r="BA131"/>
  <c r="AW131"/>
  <c r="AT131"/>
  <c r="AS131"/>
  <c r="AP131"/>
  <c r="AO131"/>
  <c r="AK131"/>
  <c r="AG131"/>
  <c r="AD131"/>
  <c r="AC131"/>
  <c r="Y131"/>
  <c r="U131"/>
  <c r="Q131"/>
  <c r="M131"/>
  <c r="I131"/>
  <c r="GZ130"/>
  <c r="GV130"/>
  <c r="GR130"/>
  <c r="GN130"/>
  <c r="GJ130"/>
  <c r="GF130"/>
  <c r="GB130"/>
  <c r="FX130"/>
  <c r="FT130"/>
  <c r="FP130"/>
  <c r="FL130"/>
  <c r="FH130"/>
  <c r="FD130"/>
  <c r="EZ130"/>
  <c r="EV130"/>
  <c r="ER130"/>
  <c r="EN130"/>
  <c r="EH130"/>
  <c r="EI130" s="1"/>
  <c r="EF130"/>
  <c r="EB130"/>
  <c r="DX130"/>
  <c r="DT130"/>
  <c r="DP130"/>
  <c r="DL130"/>
  <c r="DH130"/>
  <c r="DD130"/>
  <c r="CZ130"/>
  <c r="CV130"/>
  <c r="CR130"/>
  <c r="CN130"/>
  <c r="CJ130"/>
  <c r="CF130"/>
  <c r="CB130"/>
  <c r="BX130"/>
  <c r="BT130"/>
  <c r="BP130"/>
  <c r="BL130"/>
  <c r="BH130"/>
  <c r="BD130"/>
  <c r="AZ130"/>
  <c r="AV130"/>
  <c r="AR130"/>
  <c r="AN130"/>
  <c r="AJ130"/>
  <c r="AF130"/>
  <c r="AB130"/>
  <c r="X130"/>
  <c r="T130"/>
  <c r="P130"/>
  <c r="L130"/>
  <c r="F130"/>
  <c r="E130"/>
  <c r="GZ129"/>
  <c r="GV129"/>
  <c r="GR129"/>
  <c r="GN129"/>
  <c r="GJ129"/>
  <c r="GF129"/>
  <c r="GB129"/>
  <c r="FX129"/>
  <c r="FT129"/>
  <c r="FP129"/>
  <c r="FL129"/>
  <c r="FH129"/>
  <c r="FD129"/>
  <c r="EZ129"/>
  <c r="EV129"/>
  <c r="ER129"/>
  <c r="EN129"/>
  <c r="EI129"/>
  <c r="EJ129" s="1"/>
  <c r="EH129"/>
  <c r="EG129"/>
  <c r="EF129"/>
  <c r="EB129"/>
  <c r="DX129"/>
  <c r="DT129"/>
  <c r="DP129"/>
  <c r="DL129"/>
  <c r="DH129"/>
  <c r="DD129"/>
  <c r="CZ129"/>
  <c r="CV129"/>
  <c r="CR129"/>
  <c r="CN129"/>
  <c r="CJ129"/>
  <c r="CF129"/>
  <c r="CB129"/>
  <c r="BX129"/>
  <c r="BT129"/>
  <c r="BP129"/>
  <c r="BL129"/>
  <c r="BH129"/>
  <c r="BD129"/>
  <c r="AZ129"/>
  <c r="AV129"/>
  <c r="AR129"/>
  <c r="AN129"/>
  <c r="AJ129"/>
  <c r="AF129"/>
  <c r="AB129"/>
  <c r="X129"/>
  <c r="T129"/>
  <c r="P129"/>
  <c r="L129"/>
  <c r="G129"/>
  <c r="F129"/>
  <c r="E129"/>
  <c r="GZ128"/>
  <c r="GV128"/>
  <c r="GR128"/>
  <c r="GN128"/>
  <c r="GJ128"/>
  <c r="GF128"/>
  <c r="GB128"/>
  <c r="FX128"/>
  <c r="FT128"/>
  <c r="FP128"/>
  <c r="FL128"/>
  <c r="FH128"/>
  <c r="FD128"/>
  <c r="EZ128"/>
  <c r="EV128"/>
  <c r="ER128"/>
  <c r="EN128"/>
  <c r="EH128"/>
  <c r="EG128"/>
  <c r="EF128"/>
  <c r="EB128"/>
  <c r="DX128"/>
  <c r="DT128"/>
  <c r="DP128"/>
  <c r="DL128"/>
  <c r="DH128"/>
  <c r="DD128"/>
  <c r="CZ128"/>
  <c r="CV128"/>
  <c r="CR128"/>
  <c r="CN128"/>
  <c r="CJ128"/>
  <c r="CF128"/>
  <c r="CB128"/>
  <c r="BX128"/>
  <c r="BT128"/>
  <c r="BP128"/>
  <c r="BL128"/>
  <c r="BH128"/>
  <c r="BD128"/>
  <c r="AZ128"/>
  <c r="AV128"/>
  <c r="AR128"/>
  <c r="AN128"/>
  <c r="AJ128"/>
  <c r="AF128"/>
  <c r="AB128"/>
  <c r="X128"/>
  <c r="T128"/>
  <c r="P128"/>
  <c r="L128"/>
  <c r="F128"/>
  <c r="E128"/>
  <c r="GZ127"/>
  <c r="GV127"/>
  <c r="GR127"/>
  <c r="GN127"/>
  <c r="GJ127"/>
  <c r="GF127"/>
  <c r="FZ127"/>
  <c r="GA127" s="1"/>
  <c r="FX127"/>
  <c r="FT127"/>
  <c r="FP127"/>
  <c r="FL127"/>
  <c r="FH127"/>
  <c r="FD127"/>
  <c r="EZ127"/>
  <c r="EV127"/>
  <c r="ER127"/>
  <c r="EN127"/>
  <c r="EJ127"/>
  <c r="EF127"/>
  <c r="EB127"/>
  <c r="DX127"/>
  <c r="DT127"/>
  <c r="DP127"/>
  <c r="DL127"/>
  <c r="DH127"/>
  <c r="DD127"/>
  <c r="CZ127"/>
  <c r="CV127"/>
  <c r="CR127"/>
  <c r="CN127"/>
  <c r="CJ127"/>
  <c r="CF127"/>
  <c r="CB127"/>
  <c r="BX127"/>
  <c r="BT127"/>
  <c r="BP127"/>
  <c r="BL127"/>
  <c r="BH127"/>
  <c r="BD127"/>
  <c r="AZ127"/>
  <c r="AV127"/>
  <c r="AR127"/>
  <c r="AN127"/>
  <c r="AJ127"/>
  <c r="AF127"/>
  <c r="AB127"/>
  <c r="X127"/>
  <c r="T127"/>
  <c r="P127"/>
  <c r="L127"/>
  <c r="F127"/>
  <c r="E127"/>
  <c r="GZ126"/>
  <c r="GV126"/>
  <c r="GR126"/>
  <c r="GN126"/>
  <c r="GJ126"/>
  <c r="GF126"/>
  <c r="GB126"/>
  <c r="FV126"/>
  <c r="FW126" s="1"/>
  <c r="FT126"/>
  <c r="FP126"/>
  <c r="FL126"/>
  <c r="FH126"/>
  <c r="FD126"/>
  <c r="EZ126"/>
  <c r="EV126"/>
  <c r="ER126"/>
  <c r="EN126"/>
  <c r="EJ126"/>
  <c r="EF126"/>
  <c r="EB126"/>
  <c r="DX126"/>
  <c r="DT126"/>
  <c r="DP126"/>
  <c r="DL126"/>
  <c r="DH126"/>
  <c r="DD126"/>
  <c r="CZ126"/>
  <c r="CV126"/>
  <c r="CR126"/>
  <c r="CN126"/>
  <c r="CJ126"/>
  <c r="CF126"/>
  <c r="CB126"/>
  <c r="BX126"/>
  <c r="BT126"/>
  <c r="BP126"/>
  <c r="BL126"/>
  <c r="BH126"/>
  <c r="BD126"/>
  <c r="AZ126"/>
  <c r="AV126"/>
  <c r="AR126"/>
  <c r="AN126"/>
  <c r="AJ126"/>
  <c r="AF126"/>
  <c r="AB126"/>
  <c r="X126"/>
  <c r="T126"/>
  <c r="P126"/>
  <c r="L126"/>
  <c r="F126"/>
  <c r="E126"/>
  <c r="GZ125"/>
  <c r="GV125"/>
  <c r="GR125"/>
  <c r="GN125"/>
  <c r="GJ125"/>
  <c r="GF125"/>
  <c r="GB125"/>
  <c r="FX125"/>
  <c r="FT125"/>
  <c r="FP125"/>
  <c r="FL125"/>
  <c r="FH125"/>
  <c r="FD125"/>
  <c r="EZ125"/>
  <c r="EV125"/>
  <c r="ER125"/>
  <c r="EN125"/>
  <c r="EJ125"/>
  <c r="EF125"/>
  <c r="EB125"/>
  <c r="DX125"/>
  <c r="DT125"/>
  <c r="DP125"/>
  <c r="DJ125"/>
  <c r="DK125" s="1"/>
  <c r="DH125"/>
  <c r="DD125"/>
  <c r="CZ125"/>
  <c r="CV125"/>
  <c r="CR125"/>
  <c r="CN125"/>
  <c r="CJ125"/>
  <c r="CF125"/>
  <c r="CB125"/>
  <c r="BX125"/>
  <c r="BT125"/>
  <c r="BP125"/>
  <c r="BL125"/>
  <c r="BH125"/>
  <c r="BD125"/>
  <c r="AZ125"/>
  <c r="AV125"/>
  <c r="AR125"/>
  <c r="AN125"/>
  <c r="AJ125"/>
  <c r="AF125"/>
  <c r="AB125"/>
  <c r="X125"/>
  <c r="T125"/>
  <c r="P125"/>
  <c r="L125"/>
  <c r="F125"/>
  <c r="E125"/>
  <c r="GZ124"/>
  <c r="GV124"/>
  <c r="GR124"/>
  <c r="GN124"/>
  <c r="GJ124"/>
  <c r="GF124"/>
  <c r="GB124"/>
  <c r="FX124"/>
  <c r="FT124"/>
  <c r="FP124"/>
  <c r="FL124"/>
  <c r="FH124"/>
  <c r="FC124"/>
  <c r="FD124" s="1"/>
  <c r="FB124"/>
  <c r="FA124"/>
  <c r="EZ124"/>
  <c r="EV124"/>
  <c r="EQ124"/>
  <c r="ER124" s="1"/>
  <c r="EP124"/>
  <c r="EO124"/>
  <c r="EN124"/>
  <c r="EJ124"/>
  <c r="EF124"/>
  <c r="EB124"/>
  <c r="DX124"/>
  <c r="DT124"/>
  <c r="DP124"/>
  <c r="DL124"/>
  <c r="DH124"/>
  <c r="DD124"/>
  <c r="CZ124"/>
  <c r="CV124"/>
  <c r="CR124"/>
  <c r="CN124"/>
  <c r="CJ124"/>
  <c r="CF124"/>
  <c r="CB124"/>
  <c r="BX124"/>
  <c r="BT124"/>
  <c r="BP124"/>
  <c r="BL124"/>
  <c r="BH124"/>
  <c r="BD124"/>
  <c r="AZ124"/>
  <c r="AV124"/>
  <c r="AR124"/>
  <c r="AN124"/>
  <c r="AJ124"/>
  <c r="AF124"/>
  <c r="AB124"/>
  <c r="X124"/>
  <c r="T124"/>
  <c r="P124"/>
  <c r="L124"/>
  <c r="H124" s="1"/>
  <c r="G124"/>
  <c r="F124"/>
  <c r="E124"/>
  <c r="GZ123"/>
  <c r="GV123"/>
  <c r="GR123"/>
  <c r="GN123"/>
  <c r="GJ123"/>
  <c r="GF123"/>
  <c r="GB123"/>
  <c r="FX123"/>
  <c r="FT123"/>
  <c r="FP123"/>
  <c r="FL123"/>
  <c r="FH123"/>
  <c r="FA123"/>
  <c r="FB123" s="1"/>
  <c r="EZ123"/>
  <c r="EV123"/>
  <c r="EP123"/>
  <c r="EQ123" s="1"/>
  <c r="EN123"/>
  <c r="EJ123"/>
  <c r="EF123"/>
  <c r="EB123"/>
  <c r="DX123"/>
  <c r="DT123"/>
  <c r="DP123"/>
  <c r="DL123"/>
  <c r="DH123"/>
  <c r="DD123"/>
  <c r="CZ123"/>
  <c r="CV123"/>
  <c r="CP123"/>
  <c r="CQ123" s="1"/>
  <c r="CN123"/>
  <c r="CJ123"/>
  <c r="CF123"/>
  <c r="CB123"/>
  <c r="BX123"/>
  <c r="BT123"/>
  <c r="BP123"/>
  <c r="BL123"/>
  <c r="BH123"/>
  <c r="BD123"/>
  <c r="AZ123"/>
  <c r="AV123"/>
  <c r="AR123"/>
  <c r="AN123"/>
  <c r="AJ123"/>
  <c r="AF123"/>
  <c r="AB123"/>
  <c r="X123"/>
  <c r="T123"/>
  <c r="P123"/>
  <c r="L123"/>
  <c r="E123"/>
  <c r="GZ122"/>
  <c r="GV122"/>
  <c r="GR122"/>
  <c r="GN122"/>
  <c r="GJ122"/>
  <c r="GF122"/>
  <c r="GB122"/>
  <c r="FX122"/>
  <c r="FT122"/>
  <c r="FP122"/>
  <c r="FL122"/>
  <c r="FH122"/>
  <c r="FD122"/>
  <c r="EZ122"/>
  <c r="EV122"/>
  <c r="ER122"/>
  <c r="EN122"/>
  <c r="EJ122"/>
  <c r="EF122"/>
  <c r="EB122"/>
  <c r="DX122"/>
  <c r="DT122"/>
  <c r="DP122"/>
  <c r="DL122"/>
  <c r="DH122"/>
  <c r="DD122"/>
  <c r="CZ122"/>
  <c r="CV122"/>
  <c r="CR122"/>
  <c r="CN122"/>
  <c r="CJ122"/>
  <c r="CF122"/>
  <c r="CB122"/>
  <c r="BV122"/>
  <c r="BW122" s="1"/>
  <c r="BT122"/>
  <c r="BP122"/>
  <c r="BL122"/>
  <c r="BH122"/>
  <c r="BD122"/>
  <c r="AZ122"/>
  <c r="AV122"/>
  <c r="AR122"/>
  <c r="AN122"/>
  <c r="AJ122"/>
  <c r="AF122"/>
  <c r="AB122"/>
  <c r="X122"/>
  <c r="T122"/>
  <c r="P122"/>
  <c r="L122"/>
  <c r="F122"/>
  <c r="E122"/>
  <c r="GZ121"/>
  <c r="GV121"/>
  <c r="GR121"/>
  <c r="GN121"/>
  <c r="GJ121"/>
  <c r="GF121"/>
  <c r="GB121"/>
  <c r="FX121"/>
  <c r="FT121"/>
  <c r="FP121"/>
  <c r="FL121"/>
  <c r="FH121"/>
  <c r="FD121"/>
  <c r="EZ121"/>
  <c r="EV121"/>
  <c r="ER121"/>
  <c r="EN121"/>
  <c r="EJ121"/>
  <c r="EF121"/>
  <c r="EB121"/>
  <c r="DX121"/>
  <c r="DT121"/>
  <c r="DP121"/>
  <c r="DL121"/>
  <c r="DH121"/>
  <c r="DD121"/>
  <c r="CZ121"/>
  <c r="CV121"/>
  <c r="CR121"/>
  <c r="CN121"/>
  <c r="CJ121"/>
  <c r="CF121"/>
  <c r="CB121"/>
  <c r="BW121"/>
  <c r="BX121" s="1"/>
  <c r="BV121"/>
  <c r="BU121"/>
  <c r="BT121"/>
  <c r="BP121"/>
  <c r="BL121"/>
  <c r="BH121"/>
  <c r="BD121"/>
  <c r="AZ121"/>
  <c r="AV121"/>
  <c r="AR121"/>
  <c r="AN121"/>
  <c r="AJ121"/>
  <c r="AF121"/>
  <c r="AB121"/>
  <c r="X121"/>
  <c r="T121"/>
  <c r="P121"/>
  <c r="L121"/>
  <c r="G121"/>
  <c r="F121"/>
  <c r="E121"/>
  <c r="GZ120"/>
  <c r="GV120"/>
  <c r="GR120"/>
  <c r="GN120"/>
  <c r="GJ120"/>
  <c r="GF120"/>
  <c r="GB120"/>
  <c r="FX120"/>
  <c r="FT120"/>
  <c r="FP120"/>
  <c r="FL120"/>
  <c r="FH120"/>
  <c r="FD120"/>
  <c r="EZ120"/>
  <c r="EV120"/>
  <c r="ER120"/>
  <c r="EN120"/>
  <c r="EJ120"/>
  <c r="EF120"/>
  <c r="EB120"/>
  <c r="DX120"/>
  <c r="DT120"/>
  <c r="DP120"/>
  <c r="DL120"/>
  <c r="DH120"/>
  <c r="DD120"/>
  <c r="CZ120"/>
  <c r="CV120"/>
  <c r="CR120"/>
  <c r="CN120"/>
  <c r="CJ120"/>
  <c r="CF120"/>
  <c r="CB120"/>
  <c r="BV120"/>
  <c r="BU120"/>
  <c r="BT120"/>
  <c r="BP120"/>
  <c r="BL120"/>
  <c r="BH120"/>
  <c r="BD120"/>
  <c r="AZ120"/>
  <c r="AV120"/>
  <c r="AR120"/>
  <c r="AN120"/>
  <c r="AJ120"/>
  <c r="AF120"/>
  <c r="AB120"/>
  <c r="X120"/>
  <c r="T120"/>
  <c r="P120"/>
  <c r="L120"/>
  <c r="F120"/>
  <c r="E120"/>
  <c r="GZ119"/>
  <c r="GV119"/>
  <c r="GR119"/>
  <c r="GN119"/>
  <c r="GJ119"/>
  <c r="GF119"/>
  <c r="GB119"/>
  <c r="FX119"/>
  <c r="FT119"/>
  <c r="FP119"/>
  <c r="FL119"/>
  <c r="FH119"/>
  <c r="FD119"/>
  <c r="EZ119"/>
  <c r="EV119"/>
  <c r="ER119"/>
  <c r="EN119"/>
  <c r="EH119"/>
  <c r="EI119" s="1"/>
  <c r="EF119"/>
  <c r="EB119"/>
  <c r="DX119"/>
  <c r="DT119"/>
  <c r="DP119"/>
  <c r="DL119"/>
  <c r="DH119"/>
  <c r="DD119"/>
  <c r="CZ119"/>
  <c r="CV119"/>
  <c r="CR119"/>
  <c r="CN119"/>
  <c r="CJ119"/>
  <c r="CF119"/>
  <c r="CB119"/>
  <c r="BW119"/>
  <c r="BX119" s="1"/>
  <c r="BV119"/>
  <c r="BT119"/>
  <c r="BP119"/>
  <c r="BL119"/>
  <c r="BH119"/>
  <c r="BD119"/>
  <c r="AZ119"/>
  <c r="AV119"/>
  <c r="AR119"/>
  <c r="AN119"/>
  <c r="AJ119"/>
  <c r="AF119"/>
  <c r="AB119"/>
  <c r="X119"/>
  <c r="T119"/>
  <c r="N119"/>
  <c r="O119" s="1"/>
  <c r="L119"/>
  <c r="F119"/>
  <c r="E119"/>
  <c r="GZ118"/>
  <c r="GV118"/>
  <c r="GR118"/>
  <c r="GN118"/>
  <c r="GJ118"/>
  <c r="GF118"/>
  <c r="GB118"/>
  <c r="FX118"/>
  <c r="FS118"/>
  <c r="FT118" s="1"/>
  <c r="FR118"/>
  <c r="FQ118"/>
  <c r="FP118"/>
  <c r="FL118"/>
  <c r="FH118"/>
  <c r="FD118"/>
  <c r="EZ118"/>
  <c r="EV118"/>
  <c r="ER118"/>
  <c r="EN118"/>
  <c r="EI118"/>
  <c r="EJ118" s="1"/>
  <c r="EH118"/>
  <c r="EG118"/>
  <c r="EF118"/>
  <c r="EB118"/>
  <c r="DX118"/>
  <c r="DT118"/>
  <c r="DP118"/>
  <c r="DL118"/>
  <c r="DH118"/>
  <c r="DD118"/>
  <c r="CZ118"/>
  <c r="CV118"/>
  <c r="CR118"/>
  <c r="CN118"/>
  <c r="CJ118"/>
  <c r="CF118"/>
  <c r="CB118"/>
  <c r="BW118"/>
  <c r="BV118"/>
  <c r="BX118" s="1"/>
  <c r="BU118"/>
  <c r="BT118"/>
  <c r="BP118"/>
  <c r="BL118"/>
  <c r="BH118"/>
  <c r="BD118"/>
  <c r="AZ118"/>
  <c r="AV118"/>
  <c r="AR118"/>
  <c r="AN118"/>
  <c r="AJ118"/>
  <c r="AF118"/>
  <c r="AB118"/>
  <c r="X118"/>
  <c r="T118"/>
  <c r="O118"/>
  <c r="P118" s="1"/>
  <c r="H118" s="1"/>
  <c r="N118"/>
  <c r="M118"/>
  <c r="L118"/>
  <c r="G118"/>
  <c r="F118"/>
  <c r="E118"/>
  <c r="GZ117"/>
  <c r="GV117"/>
  <c r="GR117"/>
  <c r="GN117"/>
  <c r="GJ117"/>
  <c r="GF117"/>
  <c r="GB117"/>
  <c r="FX117"/>
  <c r="FS117"/>
  <c r="FR117"/>
  <c r="FT117" s="1"/>
  <c r="FQ117"/>
  <c r="FP117"/>
  <c r="FL117"/>
  <c r="FH117"/>
  <c r="FD117"/>
  <c r="EZ117"/>
  <c r="EV117"/>
  <c r="ER117"/>
  <c r="EN117"/>
  <c r="EH117"/>
  <c r="EG117"/>
  <c r="EF117"/>
  <c r="EB117"/>
  <c r="DX117"/>
  <c r="DT117"/>
  <c r="DP117"/>
  <c r="DL117"/>
  <c r="DH117"/>
  <c r="DD117"/>
  <c r="CZ117"/>
  <c r="CV117"/>
  <c r="CR117"/>
  <c r="CN117"/>
  <c r="CJ117"/>
  <c r="CF117"/>
  <c r="CB117"/>
  <c r="BW117"/>
  <c r="BX117" s="1"/>
  <c r="BV117"/>
  <c r="BU117"/>
  <c r="BT117"/>
  <c r="BP117"/>
  <c r="BL117"/>
  <c r="BH117"/>
  <c r="BD117"/>
  <c r="AZ117"/>
  <c r="AV117"/>
  <c r="AR117"/>
  <c r="AN117"/>
  <c r="AJ117"/>
  <c r="AF117"/>
  <c r="AB117"/>
  <c r="X117"/>
  <c r="T117"/>
  <c r="N117"/>
  <c r="M117"/>
  <c r="L117"/>
  <c r="F117"/>
  <c r="E117"/>
  <c r="GZ116"/>
  <c r="GV116"/>
  <c r="GR116"/>
  <c r="GN116"/>
  <c r="GJ116"/>
  <c r="GF116"/>
  <c r="GB116"/>
  <c r="FX116"/>
  <c r="FT116"/>
  <c r="FP116"/>
  <c r="FL116"/>
  <c r="FH116"/>
  <c r="FD116"/>
  <c r="EZ116"/>
  <c r="EV116"/>
  <c r="ER116"/>
  <c r="EN116"/>
  <c r="EJ116"/>
  <c r="EF116"/>
  <c r="EB116"/>
  <c r="DX116"/>
  <c r="DT116"/>
  <c r="DP116"/>
  <c r="DL116"/>
  <c r="DH116"/>
  <c r="DD116"/>
  <c r="CZ116"/>
  <c r="CV116"/>
  <c r="CR116"/>
  <c r="CN116"/>
  <c r="CJ116"/>
  <c r="CF116"/>
  <c r="CA116"/>
  <c r="CB116" s="1"/>
  <c r="BZ116"/>
  <c r="BX116"/>
  <c r="BT116"/>
  <c r="BP116"/>
  <c r="BL116"/>
  <c r="BH116"/>
  <c r="BD116"/>
  <c r="AZ116"/>
  <c r="AV116"/>
  <c r="AR116"/>
  <c r="AN116"/>
  <c r="AJ116"/>
  <c r="AF116"/>
  <c r="AB116"/>
  <c r="X116"/>
  <c r="T116"/>
  <c r="P116"/>
  <c r="L116"/>
  <c r="F116"/>
  <c r="E116"/>
  <c r="GZ115"/>
  <c r="GV115"/>
  <c r="GR115"/>
  <c r="GN115"/>
  <c r="GJ115"/>
  <c r="GF115"/>
  <c r="GB115"/>
  <c r="FX115"/>
  <c r="FT115"/>
  <c r="FP115"/>
  <c r="FL115"/>
  <c r="FH115"/>
  <c r="FD115"/>
  <c r="EZ115"/>
  <c r="EV115"/>
  <c r="ER115"/>
  <c r="EN115"/>
  <c r="EJ115"/>
  <c r="EF115"/>
  <c r="EB115"/>
  <c r="DX115"/>
  <c r="DT115"/>
  <c r="DP115"/>
  <c r="DL115"/>
  <c r="DH115"/>
  <c r="DD115"/>
  <c r="CZ115"/>
  <c r="CV115"/>
  <c r="CR115"/>
  <c r="CN115"/>
  <c r="CJ115"/>
  <c r="CF115"/>
  <c r="CA115"/>
  <c r="CB115" s="1"/>
  <c r="BZ115"/>
  <c r="BY115"/>
  <c r="BX115"/>
  <c r="BT115"/>
  <c r="BP115"/>
  <c r="BL115"/>
  <c r="BH115"/>
  <c r="BD115"/>
  <c r="AZ115"/>
  <c r="AV115"/>
  <c r="AR115"/>
  <c r="AN115"/>
  <c r="AJ115"/>
  <c r="AF115"/>
  <c r="AB115"/>
  <c r="X115"/>
  <c r="T115"/>
  <c r="P115"/>
  <c r="L115"/>
  <c r="G115"/>
  <c r="F115"/>
  <c r="E115"/>
  <c r="GZ114"/>
  <c r="GV114"/>
  <c r="GR114"/>
  <c r="GN114"/>
  <c r="GJ114"/>
  <c r="GF114"/>
  <c r="GB114"/>
  <c r="FX114"/>
  <c r="FT114"/>
  <c r="FP114"/>
  <c r="FL114"/>
  <c r="FH114"/>
  <c r="FD114"/>
  <c r="EZ114"/>
  <c r="EV114"/>
  <c r="ER114"/>
  <c r="EN114"/>
  <c r="EJ114"/>
  <c r="EF114"/>
  <c r="EB114"/>
  <c r="DX114"/>
  <c r="DT114"/>
  <c r="DP114"/>
  <c r="DL114"/>
  <c r="DH114"/>
  <c r="DD114"/>
  <c r="CZ114"/>
  <c r="CV114"/>
  <c r="CR114"/>
  <c r="CN114"/>
  <c r="CJ114"/>
  <c r="CF114"/>
  <c r="CA114"/>
  <c r="BZ114"/>
  <c r="BY114"/>
  <c r="BX114"/>
  <c r="BT114"/>
  <c r="BP114"/>
  <c r="BL114"/>
  <c r="BH114"/>
  <c r="BD114"/>
  <c r="AZ114"/>
  <c r="AV114"/>
  <c r="AR114"/>
  <c r="AN114"/>
  <c r="AJ114"/>
  <c r="AF114"/>
  <c r="AB114"/>
  <c r="X114"/>
  <c r="T114"/>
  <c r="O114"/>
  <c r="N114"/>
  <c r="P114" s="1"/>
  <c r="M114"/>
  <c r="L114"/>
  <c r="F114"/>
  <c r="E114"/>
  <c r="HM113"/>
  <c r="HL113"/>
  <c r="HK113"/>
  <c r="HJ113"/>
  <c r="HI113"/>
  <c r="HH113"/>
  <c r="HG113"/>
  <c r="HF113"/>
  <c r="HE113"/>
  <c r="HD113"/>
  <c r="HC113"/>
  <c r="HN113" s="1"/>
  <c r="GZ113"/>
  <c r="GT113"/>
  <c r="GU113" s="1"/>
  <c r="GP113"/>
  <c r="GQ113" s="1"/>
  <c r="GN113"/>
  <c r="GJ113"/>
  <c r="GD113"/>
  <c r="GE113" s="1"/>
  <c r="GB113"/>
  <c r="FW113"/>
  <c r="FX113" s="1"/>
  <c r="FV113"/>
  <c r="FR113"/>
  <c r="FS113" s="1"/>
  <c r="FQ113"/>
  <c r="FN113"/>
  <c r="FO113" s="1"/>
  <c r="FL113"/>
  <c r="FH113"/>
  <c r="FA113"/>
  <c r="FB113" s="1"/>
  <c r="EZ113"/>
  <c r="EV113"/>
  <c r="EQ113"/>
  <c r="ER113" s="1"/>
  <c r="EP113"/>
  <c r="EN113"/>
  <c r="EG113"/>
  <c r="EH113" s="1"/>
  <c r="EF113"/>
  <c r="DZ113"/>
  <c r="EA113" s="1"/>
  <c r="DW113"/>
  <c r="DX113" s="1"/>
  <c r="DV113"/>
  <c r="DT113"/>
  <c r="DM113"/>
  <c r="DN113" s="1"/>
  <c r="DL113"/>
  <c r="DF113"/>
  <c r="DG113" s="1"/>
  <c r="DB113"/>
  <c r="DC113" s="1"/>
  <c r="CZ113"/>
  <c r="CV113"/>
  <c r="CR113"/>
  <c r="CL113"/>
  <c r="CM113" s="1"/>
  <c r="CH113"/>
  <c r="CI113" s="1"/>
  <c r="CF113"/>
  <c r="BY113"/>
  <c r="BZ113" s="1"/>
  <c r="BU113"/>
  <c r="BV113" s="1"/>
  <c r="BR113"/>
  <c r="BS113" s="1"/>
  <c r="BQ113"/>
  <c r="BN113"/>
  <c r="BO113" s="1"/>
  <c r="BL113"/>
  <c r="BF113"/>
  <c r="BG113" s="1"/>
  <c r="BB113"/>
  <c r="BC113" s="1"/>
  <c r="AZ113"/>
  <c r="AS113"/>
  <c r="AT113" s="1"/>
  <c r="AO113"/>
  <c r="AP113" s="1"/>
  <c r="AL113"/>
  <c r="AM113" s="1"/>
  <c r="AJ113"/>
  <c r="AF113"/>
  <c r="Z113"/>
  <c r="AA113" s="1"/>
  <c r="V113"/>
  <c r="W113" s="1"/>
  <c r="Q113"/>
  <c r="R113" s="1"/>
  <c r="N113"/>
  <c r="O113" s="1"/>
  <c r="J113"/>
  <c r="K113" s="1"/>
  <c r="E113"/>
  <c r="GZ112"/>
  <c r="GU112"/>
  <c r="GV112" s="1"/>
  <c r="GT112"/>
  <c r="GS112"/>
  <c r="GQ112"/>
  <c r="GR112" s="1"/>
  <c r="GP112"/>
  <c r="GO112"/>
  <c r="GN112"/>
  <c r="GJ112"/>
  <c r="GE112"/>
  <c r="GF112" s="1"/>
  <c r="GD112"/>
  <c r="GC112"/>
  <c r="GB112"/>
  <c r="FW112"/>
  <c r="FX112" s="1"/>
  <c r="FV112"/>
  <c r="FU112"/>
  <c r="FS112"/>
  <c r="FT112" s="1"/>
  <c r="FR112"/>
  <c r="FQ112"/>
  <c r="FP112"/>
  <c r="FL112"/>
  <c r="FH112"/>
  <c r="FC112"/>
  <c r="FD112" s="1"/>
  <c r="FB112"/>
  <c r="FA112"/>
  <c r="EZ112"/>
  <c r="EV112"/>
  <c r="EQ112"/>
  <c r="ER112" s="1"/>
  <c r="EP112"/>
  <c r="EO112"/>
  <c r="EN112"/>
  <c r="EI112"/>
  <c r="EJ112" s="1"/>
  <c r="EH112"/>
  <c r="EG112"/>
  <c r="EF112"/>
  <c r="EA112"/>
  <c r="EB112" s="1"/>
  <c r="DZ112"/>
  <c r="DY112"/>
  <c r="DW112"/>
  <c r="DX112" s="1"/>
  <c r="DV112"/>
  <c r="DU112"/>
  <c r="DT112"/>
  <c r="DO112"/>
  <c r="DP112" s="1"/>
  <c r="DN112"/>
  <c r="DM112"/>
  <c r="DL112"/>
  <c r="DG112"/>
  <c r="DH112" s="1"/>
  <c r="DF112"/>
  <c r="DE112"/>
  <c r="DC112"/>
  <c r="DD112" s="1"/>
  <c r="DB112"/>
  <c r="DA112"/>
  <c r="CZ112"/>
  <c r="CV112"/>
  <c r="CR112"/>
  <c r="CM112"/>
  <c r="CN112" s="1"/>
  <c r="CL112"/>
  <c r="CK112"/>
  <c r="CI112"/>
  <c r="CJ112" s="1"/>
  <c r="CH112"/>
  <c r="CG112"/>
  <c r="CF112"/>
  <c r="CA112"/>
  <c r="CB112" s="1"/>
  <c r="BZ112"/>
  <c r="BY112"/>
  <c r="BW112"/>
  <c r="BX112" s="1"/>
  <c r="BV112"/>
  <c r="BU112"/>
  <c r="BS112"/>
  <c r="BT112" s="1"/>
  <c r="BR112"/>
  <c r="BQ112"/>
  <c r="BO112"/>
  <c r="BP112" s="1"/>
  <c r="BN112"/>
  <c r="BM112"/>
  <c r="BL112"/>
  <c r="BG112"/>
  <c r="BH112" s="1"/>
  <c r="BF112"/>
  <c r="BE112"/>
  <c r="BC112"/>
  <c r="BD112" s="1"/>
  <c r="BB112"/>
  <c r="BA112"/>
  <c r="AZ112"/>
  <c r="AU112"/>
  <c r="AV112" s="1"/>
  <c r="AT112"/>
  <c r="AS112"/>
  <c r="AQ112"/>
  <c r="AR112" s="1"/>
  <c r="AP112"/>
  <c r="AO112"/>
  <c r="AM112"/>
  <c r="AN112" s="1"/>
  <c r="AL112"/>
  <c r="AK112"/>
  <c r="AJ112"/>
  <c r="AF112"/>
  <c r="AA112"/>
  <c r="AB112" s="1"/>
  <c r="Z112"/>
  <c r="Y112"/>
  <c r="W112"/>
  <c r="X112" s="1"/>
  <c r="V112"/>
  <c r="U112"/>
  <c r="S112"/>
  <c r="T112" s="1"/>
  <c r="R112"/>
  <c r="Q112"/>
  <c r="O112"/>
  <c r="P112" s="1"/>
  <c r="N112"/>
  <c r="M112"/>
  <c r="K112"/>
  <c r="L112" s="1"/>
  <c r="H112" s="1"/>
  <c r="J112"/>
  <c r="I112"/>
  <c r="G112"/>
  <c r="F112"/>
  <c r="E112"/>
  <c r="GZ111"/>
  <c r="GT111"/>
  <c r="GS111"/>
  <c r="GP111"/>
  <c r="GO111"/>
  <c r="GN111"/>
  <c r="GJ111"/>
  <c r="GD111"/>
  <c r="GC111"/>
  <c r="GB111"/>
  <c r="FW111"/>
  <c r="FX111" s="1"/>
  <c r="FV111"/>
  <c r="FU111"/>
  <c r="FR111"/>
  <c r="FQ111"/>
  <c r="FN111"/>
  <c r="FM111"/>
  <c r="FL111"/>
  <c r="FH111"/>
  <c r="FA111"/>
  <c r="EZ111"/>
  <c r="EV111"/>
  <c r="EQ111"/>
  <c r="ER111" s="1"/>
  <c r="EP111"/>
  <c r="EO111"/>
  <c r="EN111"/>
  <c r="EG111"/>
  <c r="EF111"/>
  <c r="DZ111"/>
  <c r="DY111"/>
  <c r="DW111"/>
  <c r="DX111" s="1"/>
  <c r="DV111"/>
  <c r="DU111"/>
  <c r="DT111"/>
  <c r="DM111"/>
  <c r="DL111"/>
  <c r="DF111"/>
  <c r="DE111"/>
  <c r="DB111"/>
  <c r="DA111"/>
  <c r="CZ111"/>
  <c r="CV111"/>
  <c r="CR111"/>
  <c r="CL111"/>
  <c r="CK111"/>
  <c r="CH111"/>
  <c r="CG111"/>
  <c r="CF111"/>
  <c r="BY111"/>
  <c r="BU111"/>
  <c r="BR111"/>
  <c r="BQ111"/>
  <c r="BN111"/>
  <c r="BM111"/>
  <c r="BL111"/>
  <c r="BF111"/>
  <c r="BE111"/>
  <c r="BB111"/>
  <c r="BA111"/>
  <c r="AZ111"/>
  <c r="AS111"/>
  <c r="AO111"/>
  <c r="AL111"/>
  <c r="AK111"/>
  <c r="AJ111"/>
  <c r="AF111"/>
  <c r="Z111"/>
  <c r="Y111"/>
  <c r="V111"/>
  <c r="U111"/>
  <c r="Q111"/>
  <c r="N111"/>
  <c r="M111"/>
  <c r="J111"/>
  <c r="I111"/>
  <c r="E111"/>
  <c r="GZ110"/>
  <c r="GV110"/>
  <c r="GR110"/>
  <c r="GN110"/>
  <c r="GJ110"/>
  <c r="GF110"/>
  <c r="GB110"/>
  <c r="FX110"/>
  <c r="FT110"/>
  <c r="FP110"/>
  <c r="FL110"/>
  <c r="FH110"/>
  <c r="FD110"/>
  <c r="EZ110"/>
  <c r="EV110"/>
  <c r="ER110"/>
  <c r="EN110"/>
  <c r="EJ110"/>
  <c r="EE110"/>
  <c r="EF110" s="1"/>
  <c r="ED110"/>
  <c r="EB110"/>
  <c r="DX110"/>
  <c r="DT110"/>
  <c r="DP110"/>
  <c r="DL110"/>
  <c r="DH110"/>
  <c r="DD110"/>
  <c r="CZ110"/>
  <c r="CV110"/>
  <c r="CR110"/>
  <c r="CN110"/>
  <c r="CJ110"/>
  <c r="CD110"/>
  <c r="CE110" s="1"/>
  <c r="CB110"/>
  <c r="BX110"/>
  <c r="BT110"/>
  <c r="BP110"/>
  <c r="BL110"/>
  <c r="BH110"/>
  <c r="BD110"/>
  <c r="AX110"/>
  <c r="AY110" s="1"/>
  <c r="AV110"/>
  <c r="AR110"/>
  <c r="AN110"/>
  <c r="AH110"/>
  <c r="AI110" s="1"/>
  <c r="AC110"/>
  <c r="AD110" s="1"/>
  <c r="AB110"/>
  <c r="V110"/>
  <c r="W110" s="1"/>
  <c r="T110"/>
  <c r="N110"/>
  <c r="O110" s="1"/>
  <c r="L110"/>
  <c r="E110"/>
  <c r="GZ109"/>
  <c r="GV109"/>
  <c r="GQ109"/>
  <c r="GR109" s="1"/>
  <c r="GP109"/>
  <c r="GO109"/>
  <c r="GN109"/>
  <c r="GJ109"/>
  <c r="GF109"/>
  <c r="GB109"/>
  <c r="FX109"/>
  <c r="FT109"/>
  <c r="FP109"/>
  <c r="FL109"/>
  <c r="FH109"/>
  <c r="FD109"/>
  <c r="EZ109"/>
  <c r="EV109"/>
  <c r="ER109"/>
  <c r="EN109"/>
  <c r="EJ109"/>
  <c r="EE109"/>
  <c r="EF109" s="1"/>
  <c r="ED109"/>
  <c r="EC109"/>
  <c r="EB109"/>
  <c r="DX109"/>
  <c r="DT109"/>
  <c r="DP109"/>
  <c r="DL109"/>
  <c r="DH109"/>
  <c r="DD109"/>
  <c r="CZ109"/>
  <c r="CV109"/>
  <c r="CR109"/>
  <c r="CN109"/>
  <c r="CI109"/>
  <c r="CJ109" s="1"/>
  <c r="CH109"/>
  <c r="CG109"/>
  <c r="CE109"/>
  <c r="CF109" s="1"/>
  <c r="CD109"/>
  <c r="CC109"/>
  <c r="CB109"/>
  <c r="BX109"/>
  <c r="BT109"/>
  <c r="BP109"/>
  <c r="BL109"/>
  <c r="BH109"/>
  <c r="BD109"/>
  <c r="AY109"/>
  <c r="AZ109" s="1"/>
  <c r="AX109"/>
  <c r="AW109"/>
  <c r="AV109"/>
  <c r="AR109"/>
  <c r="AN109"/>
  <c r="AI109"/>
  <c r="AJ109" s="1"/>
  <c r="AH109"/>
  <c r="AG109"/>
  <c r="AE109"/>
  <c r="AF109" s="1"/>
  <c r="AD109"/>
  <c r="AC109"/>
  <c r="AA109"/>
  <c r="AB109" s="1"/>
  <c r="Z109"/>
  <c r="Y109"/>
  <c r="W109"/>
  <c r="X109" s="1"/>
  <c r="V109"/>
  <c r="U109"/>
  <c r="T109"/>
  <c r="O109"/>
  <c r="P109" s="1"/>
  <c r="N109"/>
  <c r="M109"/>
  <c r="L109"/>
  <c r="G109"/>
  <c r="F109"/>
  <c r="E109"/>
  <c r="GZ108"/>
  <c r="GV108"/>
  <c r="GQ108"/>
  <c r="GP108"/>
  <c r="GO108"/>
  <c r="GN108"/>
  <c r="GJ108"/>
  <c r="GF108"/>
  <c r="GB108"/>
  <c r="FX108"/>
  <c r="FT108"/>
  <c r="FP108"/>
  <c r="FL108"/>
  <c r="FH108"/>
  <c r="FD108"/>
  <c r="EZ108"/>
  <c r="EV108"/>
  <c r="ER108"/>
  <c r="EN108"/>
  <c r="EJ108"/>
  <c r="EE108"/>
  <c r="ED108"/>
  <c r="EF108" s="1"/>
  <c r="EC108"/>
  <c r="EB108"/>
  <c r="DX108"/>
  <c r="DT108"/>
  <c r="DP108"/>
  <c r="DL108"/>
  <c r="DH108"/>
  <c r="DD108"/>
  <c r="CZ108"/>
  <c r="CV108"/>
  <c r="CR108"/>
  <c r="CN108"/>
  <c r="CI108"/>
  <c r="CH108"/>
  <c r="CG108"/>
  <c r="CD108"/>
  <c r="CC108"/>
  <c r="CB108"/>
  <c r="BX108"/>
  <c r="BT108"/>
  <c r="BP108"/>
  <c r="BL108"/>
  <c r="BH108"/>
  <c r="BD108"/>
  <c r="AX108"/>
  <c r="AW108"/>
  <c r="AV108"/>
  <c r="AR108"/>
  <c r="AN108"/>
  <c r="AH108"/>
  <c r="AG108"/>
  <c r="AC108"/>
  <c r="AA108"/>
  <c r="Z108"/>
  <c r="Y108"/>
  <c r="V108"/>
  <c r="U108"/>
  <c r="T108"/>
  <c r="N108"/>
  <c r="M108"/>
  <c r="L108"/>
  <c r="E108"/>
  <c r="GZ107"/>
  <c r="GV107"/>
  <c r="GR107"/>
  <c r="GN107"/>
  <c r="GJ107"/>
  <c r="GF107"/>
  <c r="GB107"/>
  <c r="FX107"/>
  <c r="FT107"/>
  <c r="FN107"/>
  <c r="FO107" s="1"/>
  <c r="FL107"/>
  <c r="FF107"/>
  <c r="FG107" s="1"/>
  <c r="FB107"/>
  <c r="FC107" s="1"/>
  <c r="EX107"/>
  <c r="EY107" s="1"/>
  <c r="EV107"/>
  <c r="ER107"/>
  <c r="EN107"/>
  <c r="EH107"/>
  <c r="EI107" s="1"/>
  <c r="EF107"/>
  <c r="EB107"/>
  <c r="DX107"/>
  <c r="DT107"/>
  <c r="DO107"/>
  <c r="DP107" s="1"/>
  <c r="DN107"/>
  <c r="DL107"/>
  <c r="DH107"/>
  <c r="DD107"/>
  <c r="CZ107"/>
  <c r="CV107"/>
  <c r="CR107"/>
  <c r="CN107"/>
  <c r="CJ107"/>
  <c r="CF107"/>
  <c r="BY107"/>
  <c r="BZ107" s="1"/>
  <c r="BU107"/>
  <c r="BV107" s="1"/>
  <c r="BR107"/>
  <c r="BS107" s="1"/>
  <c r="BP107"/>
  <c r="BL107"/>
  <c r="BH107"/>
  <c r="BD107"/>
  <c r="AZ107"/>
  <c r="AV107"/>
  <c r="AP107"/>
  <c r="AQ107" s="1"/>
  <c r="AN107"/>
  <c r="AJ107"/>
  <c r="AF107"/>
  <c r="AB107"/>
  <c r="V107"/>
  <c r="W107" s="1"/>
  <c r="T107"/>
  <c r="P107"/>
  <c r="L107"/>
  <c r="E107"/>
  <c r="GZ106"/>
  <c r="GV106"/>
  <c r="GR106"/>
  <c r="GN106"/>
  <c r="GJ106"/>
  <c r="GF106"/>
  <c r="GB106"/>
  <c r="FX106"/>
  <c r="FS106"/>
  <c r="FT106" s="1"/>
  <c r="FR106"/>
  <c r="FQ106"/>
  <c r="FO106"/>
  <c r="FP106" s="1"/>
  <c r="FN106"/>
  <c r="FM106"/>
  <c r="FL106"/>
  <c r="FG106"/>
  <c r="FH106" s="1"/>
  <c r="FF106"/>
  <c r="FE106"/>
  <c r="FC106"/>
  <c r="FD106" s="1"/>
  <c r="FB106"/>
  <c r="FA106"/>
  <c r="EY106"/>
  <c r="EZ106" s="1"/>
  <c r="EX106"/>
  <c r="EW106"/>
  <c r="EV106"/>
  <c r="ER106"/>
  <c r="EN106"/>
  <c r="EI106"/>
  <c r="EJ106" s="1"/>
  <c r="EH106"/>
  <c r="EG106"/>
  <c r="EF106"/>
  <c r="EB106"/>
  <c r="DW106"/>
  <c r="DX106" s="1"/>
  <c r="DV106"/>
  <c r="DU106"/>
  <c r="DT106"/>
  <c r="DO106"/>
  <c r="DP106" s="1"/>
  <c r="DN106"/>
  <c r="DM106"/>
  <c r="DL106"/>
  <c r="DH106"/>
  <c r="DD106"/>
  <c r="CZ106"/>
  <c r="CV106"/>
  <c r="CR106"/>
  <c r="CN106"/>
  <c r="CJ106"/>
  <c r="CF106"/>
  <c r="CA106"/>
  <c r="CB106" s="1"/>
  <c r="BZ106"/>
  <c r="BY106"/>
  <c r="BW106"/>
  <c r="BX106" s="1"/>
  <c r="BV106"/>
  <c r="BU106"/>
  <c r="BS106"/>
  <c r="BT106" s="1"/>
  <c r="BR106"/>
  <c r="BQ106"/>
  <c r="BP106"/>
  <c r="BL106"/>
  <c r="BH106"/>
  <c r="BD106"/>
  <c r="AZ106"/>
  <c r="AV106"/>
  <c r="AQ106"/>
  <c r="AR106" s="1"/>
  <c r="AP106"/>
  <c r="AO106"/>
  <c r="AN106"/>
  <c r="AJ106"/>
  <c r="AF106"/>
  <c r="AB106"/>
  <c r="W106"/>
  <c r="X106" s="1"/>
  <c r="V106"/>
  <c r="U106"/>
  <c r="T106"/>
  <c r="P106"/>
  <c r="L106"/>
  <c r="G106"/>
  <c r="F106"/>
  <c r="E106"/>
  <c r="GZ105"/>
  <c r="GV105"/>
  <c r="GR105"/>
  <c r="GN105"/>
  <c r="GJ105"/>
  <c r="GF105"/>
  <c r="GB105"/>
  <c r="FX105"/>
  <c r="FS105"/>
  <c r="FR105"/>
  <c r="FT105" s="1"/>
  <c r="FQ105"/>
  <c r="FN105"/>
  <c r="FM105"/>
  <c r="FL105"/>
  <c r="FF105"/>
  <c r="FE105"/>
  <c r="FB105"/>
  <c r="FA105"/>
  <c r="EX105"/>
  <c r="EW105"/>
  <c r="EU105"/>
  <c r="EV105" s="1"/>
  <c r="ET105"/>
  <c r="ES105"/>
  <c r="ER105"/>
  <c r="EM105"/>
  <c r="EL105"/>
  <c r="EK105"/>
  <c r="EH105"/>
  <c r="EG105"/>
  <c r="EF105"/>
  <c r="EB105"/>
  <c r="DW105"/>
  <c r="DV105"/>
  <c r="DX105" s="1"/>
  <c r="DU105"/>
  <c r="DT105"/>
  <c r="DO105"/>
  <c r="DN105"/>
  <c r="DM105"/>
  <c r="DL105"/>
  <c r="DH105"/>
  <c r="DD105"/>
  <c r="CZ105"/>
  <c r="CV105"/>
  <c r="CR105"/>
  <c r="CN105"/>
  <c r="CJ105"/>
  <c r="CF105"/>
  <c r="BY105"/>
  <c r="BU105"/>
  <c r="BR105"/>
  <c r="BQ105"/>
  <c r="BP105"/>
  <c r="BL105"/>
  <c r="BH105"/>
  <c r="BD105"/>
  <c r="AZ105"/>
  <c r="AV105"/>
  <c r="AP105"/>
  <c r="AO105"/>
  <c r="AN105"/>
  <c r="AJ105"/>
  <c r="AF105"/>
  <c r="AB105"/>
  <c r="V105"/>
  <c r="U105"/>
  <c r="T105"/>
  <c r="P105"/>
  <c r="L105"/>
  <c r="E105"/>
  <c r="GZ104"/>
  <c r="GV104"/>
  <c r="GP104"/>
  <c r="GQ104" s="1"/>
  <c r="GL104"/>
  <c r="GM104" s="1"/>
  <c r="GH104"/>
  <c r="GI104" s="1"/>
  <c r="GF104"/>
  <c r="FZ104"/>
  <c r="GA104" s="1"/>
  <c r="FX104"/>
  <c r="FR104"/>
  <c r="FS104" s="1"/>
  <c r="FN104"/>
  <c r="FO104" s="1"/>
  <c r="FJ104"/>
  <c r="FK104" s="1"/>
  <c r="FG104"/>
  <c r="FH104" s="1"/>
  <c r="FF104"/>
  <c r="FB104"/>
  <c r="FC104" s="1"/>
  <c r="EX104"/>
  <c r="EY104" s="1"/>
  <c r="ET104"/>
  <c r="EU104" s="1"/>
  <c r="ER104"/>
  <c r="EL104"/>
  <c r="EM104" s="1"/>
  <c r="EG104"/>
  <c r="EH104" s="1"/>
  <c r="EF104"/>
  <c r="EB104"/>
  <c r="DV104"/>
  <c r="DW104" s="1"/>
  <c r="DT104"/>
  <c r="DN104"/>
  <c r="DO104" s="1"/>
  <c r="DL104"/>
  <c r="DH104"/>
  <c r="DB104"/>
  <c r="DC104" s="1"/>
  <c r="CX104"/>
  <c r="CY104" s="1"/>
  <c r="CW104"/>
  <c r="CV104"/>
  <c r="CR104"/>
  <c r="CN104"/>
  <c r="CJ104"/>
  <c r="CF104"/>
  <c r="BY104"/>
  <c r="BZ104" s="1"/>
  <c r="BU104"/>
  <c r="BV104" s="1"/>
  <c r="BR104"/>
  <c r="BS104" s="1"/>
  <c r="BN104"/>
  <c r="BO104" s="1"/>
  <c r="BJ104"/>
  <c r="BK104" s="1"/>
  <c r="BH104"/>
  <c r="BD104"/>
  <c r="AZ104"/>
  <c r="AV104"/>
  <c r="AQ104"/>
  <c r="AR104" s="1"/>
  <c r="AP104"/>
  <c r="AN104"/>
  <c r="AJ104"/>
  <c r="AD104"/>
  <c r="AE104" s="1"/>
  <c r="AF104" s="1"/>
  <c r="AB104"/>
  <c r="V104"/>
  <c r="W104" s="1"/>
  <c r="U104"/>
  <c r="R104"/>
  <c r="S104" s="1"/>
  <c r="N104"/>
  <c r="O104" s="1"/>
  <c r="L104"/>
  <c r="E104"/>
  <c r="GZ103"/>
  <c r="GV103"/>
  <c r="GQ103"/>
  <c r="GR103" s="1"/>
  <c r="GP103"/>
  <c r="GO103"/>
  <c r="GM103"/>
  <c r="GN103" s="1"/>
  <c r="GL103"/>
  <c r="GK103"/>
  <c r="GI103"/>
  <c r="GJ103" s="1"/>
  <c r="GH103"/>
  <c r="GG103"/>
  <c r="GF103"/>
  <c r="GA103"/>
  <c r="FZ103"/>
  <c r="GB103" s="1"/>
  <c r="FY103"/>
  <c r="FX103"/>
  <c r="FS103"/>
  <c r="FT103" s="1"/>
  <c r="FR103"/>
  <c r="FQ103"/>
  <c r="FP103"/>
  <c r="FK103"/>
  <c r="FL103" s="1"/>
  <c r="FJ103"/>
  <c r="FI103"/>
  <c r="FG103"/>
  <c r="FH103" s="1"/>
  <c r="FF103"/>
  <c r="FE103"/>
  <c r="FD103"/>
  <c r="EY103"/>
  <c r="EZ103" s="1"/>
  <c r="EX103"/>
  <c r="EW103"/>
  <c r="EU103"/>
  <c r="EV103" s="1"/>
  <c r="ET103"/>
  <c r="ES103"/>
  <c r="ER103"/>
  <c r="EM103"/>
  <c r="EN103" s="1"/>
  <c r="EL103"/>
  <c r="EK103"/>
  <c r="EI103"/>
  <c r="EJ103" s="1"/>
  <c r="EH103"/>
  <c r="EG103"/>
  <c r="EF103"/>
  <c r="EB103"/>
  <c r="DW103"/>
  <c r="DX103" s="1"/>
  <c r="DV103"/>
  <c r="DU103"/>
  <c r="DT103"/>
  <c r="DO103"/>
  <c r="DP103" s="1"/>
  <c r="DN103"/>
  <c r="DM103"/>
  <c r="DL103"/>
  <c r="DH103"/>
  <c r="DC103"/>
  <c r="DD103" s="1"/>
  <c r="DB103"/>
  <c r="DA103"/>
  <c r="CY103"/>
  <c r="CZ103" s="1"/>
  <c r="CX103"/>
  <c r="CW103"/>
  <c r="CU103"/>
  <c r="CV103" s="1"/>
  <c r="CT103"/>
  <c r="CS103"/>
  <c r="CQ103"/>
  <c r="CR103" s="1"/>
  <c r="CP103"/>
  <c r="CO103"/>
  <c r="CN103"/>
  <c r="CJ103"/>
  <c r="CF103"/>
  <c r="CA103"/>
  <c r="CB103" s="1"/>
  <c r="BZ103"/>
  <c r="BY103"/>
  <c r="BW103"/>
  <c r="BX103" s="1"/>
  <c r="BV103"/>
  <c r="BU103"/>
  <c r="BS103"/>
  <c r="BT103" s="1"/>
  <c r="BR103"/>
  <c r="BQ103"/>
  <c r="BO103"/>
  <c r="BP103" s="1"/>
  <c r="BN103"/>
  <c r="BM103"/>
  <c r="BK103"/>
  <c r="BL103" s="1"/>
  <c r="BJ103"/>
  <c r="BI103"/>
  <c r="BH103"/>
  <c r="BD103"/>
  <c r="AZ103"/>
  <c r="AV103"/>
  <c r="AQ103"/>
  <c r="AR103" s="1"/>
  <c r="AP103"/>
  <c r="AO103"/>
  <c r="AN103"/>
  <c r="AJ103"/>
  <c r="AE103"/>
  <c r="AF103" s="1"/>
  <c r="AD103"/>
  <c r="AC103"/>
  <c r="AB103"/>
  <c r="W103"/>
  <c r="X103" s="1"/>
  <c r="V103"/>
  <c r="U103"/>
  <c r="S103"/>
  <c r="T103" s="1"/>
  <c r="R103"/>
  <c r="Q103"/>
  <c r="O103"/>
  <c r="P103" s="1"/>
  <c r="N103"/>
  <c r="M103"/>
  <c r="L103"/>
  <c r="G103"/>
  <c r="F103"/>
  <c r="E103"/>
  <c r="GZ102"/>
  <c r="GV102"/>
  <c r="GP102"/>
  <c r="GO102"/>
  <c r="GL102"/>
  <c r="GK102"/>
  <c r="GH102"/>
  <c r="GG102"/>
  <c r="GF102"/>
  <c r="FZ102"/>
  <c r="FY102"/>
  <c r="FX102"/>
  <c r="FR102"/>
  <c r="FQ102"/>
  <c r="FN102"/>
  <c r="FM102"/>
  <c r="FJ102"/>
  <c r="FI102"/>
  <c r="FG102"/>
  <c r="FF102"/>
  <c r="FE102"/>
  <c r="FB102"/>
  <c r="FA102"/>
  <c r="EX102"/>
  <c r="EW102"/>
  <c r="ET102"/>
  <c r="ES102"/>
  <c r="ER102"/>
  <c r="EL102"/>
  <c r="EK102"/>
  <c r="EG102"/>
  <c r="EE102"/>
  <c r="ED102"/>
  <c r="EC102"/>
  <c r="EB102"/>
  <c r="DV102"/>
  <c r="DU102"/>
  <c r="DT102"/>
  <c r="DN102"/>
  <c r="DM102"/>
  <c r="DK102"/>
  <c r="DJ102"/>
  <c r="DL102" s="1"/>
  <c r="DI102"/>
  <c r="DG102"/>
  <c r="DF102"/>
  <c r="DE102"/>
  <c r="DB102"/>
  <c r="DA102"/>
  <c r="CX102"/>
  <c r="CW102"/>
  <c r="CU102"/>
  <c r="CT102"/>
  <c r="CV102" s="1"/>
  <c r="CS102"/>
  <c r="CQ102"/>
  <c r="CP102"/>
  <c r="CO102"/>
  <c r="CN102"/>
  <c r="CJ102"/>
  <c r="CF102"/>
  <c r="BY102"/>
  <c r="BU102"/>
  <c r="BR102"/>
  <c r="BQ102"/>
  <c r="BN102"/>
  <c r="BM102"/>
  <c r="BJ102"/>
  <c r="BI102"/>
  <c r="BH102"/>
  <c r="BC102"/>
  <c r="BB102"/>
  <c r="BD102" s="1"/>
  <c r="BA102"/>
  <c r="AY102"/>
  <c r="AX102"/>
  <c r="AW102"/>
  <c r="AV102"/>
  <c r="AQ102"/>
  <c r="AR102" s="1"/>
  <c r="AP102"/>
  <c r="AO102"/>
  <c r="AN102"/>
  <c r="AJ102"/>
  <c r="AE102"/>
  <c r="AD102"/>
  <c r="AC102"/>
  <c r="AB102"/>
  <c r="V102"/>
  <c r="U102"/>
  <c r="R102"/>
  <c r="Q102"/>
  <c r="O102"/>
  <c r="N102"/>
  <c r="P102" s="1"/>
  <c r="M102"/>
  <c r="L102"/>
  <c r="G102"/>
  <c r="F102"/>
  <c r="E102"/>
  <c r="HM101"/>
  <c r="HL101"/>
  <c r="HK101"/>
  <c r="HJ101"/>
  <c r="HI101"/>
  <c r="HH101"/>
  <c r="HG101"/>
  <c r="HF101"/>
  <c r="HE101"/>
  <c r="HD101"/>
  <c r="HC101"/>
  <c r="HN101" s="1"/>
  <c r="GZ101"/>
  <c r="GY101"/>
  <c r="GX101"/>
  <c r="GW101"/>
  <c r="GX136" s="1"/>
  <c r="GU101"/>
  <c r="GT101"/>
  <c r="GS101"/>
  <c r="GT136" s="1"/>
  <c r="GQ101"/>
  <c r="GP101"/>
  <c r="GO101"/>
  <c r="GP136" s="1"/>
  <c r="GM101"/>
  <c r="GL101"/>
  <c r="GK101"/>
  <c r="GL136" s="1"/>
  <c r="GI101"/>
  <c r="GH101"/>
  <c r="GG101"/>
  <c r="GH136" s="1"/>
  <c r="GE101"/>
  <c r="GD101"/>
  <c r="GC101"/>
  <c r="GD136" s="1"/>
  <c r="GA101"/>
  <c r="FZ101"/>
  <c r="FY101"/>
  <c r="FZ136" s="1"/>
  <c r="FV101"/>
  <c r="HM112" s="1"/>
  <c r="HM118" s="1"/>
  <c r="FU101"/>
  <c r="FS101"/>
  <c r="FR101"/>
  <c r="FQ101"/>
  <c r="FR136" s="1"/>
  <c r="FO101"/>
  <c r="FN101"/>
  <c r="FM101"/>
  <c r="FN136" s="1"/>
  <c r="FK101"/>
  <c r="FJ101"/>
  <c r="FI101"/>
  <c r="FJ136" s="1"/>
  <c r="FG101"/>
  <c r="FF101"/>
  <c r="FE101"/>
  <c r="FF136" s="1"/>
  <c r="FB101"/>
  <c r="FA101"/>
  <c r="FB136" s="1"/>
  <c r="EY101"/>
  <c r="EX101"/>
  <c r="EW101"/>
  <c r="EX136" s="1"/>
  <c r="EU101"/>
  <c r="ET101"/>
  <c r="ES101"/>
  <c r="ET136" s="1"/>
  <c r="EP101"/>
  <c r="EO101"/>
  <c r="EP136" s="1"/>
  <c r="EM101"/>
  <c r="EL101"/>
  <c r="EK101"/>
  <c r="EL136" s="1"/>
  <c r="EH101"/>
  <c r="EG101"/>
  <c r="EH136" s="1"/>
  <c r="EF101"/>
  <c r="EE101"/>
  <c r="ED101"/>
  <c r="EC101"/>
  <c r="ED136" s="1"/>
  <c r="EA101"/>
  <c r="DZ101"/>
  <c r="DY101"/>
  <c r="DZ136" s="1"/>
  <c r="DW101"/>
  <c r="DV101"/>
  <c r="DU101"/>
  <c r="DV136" s="1"/>
  <c r="DT101"/>
  <c r="DS101"/>
  <c r="DR101"/>
  <c r="DQ101"/>
  <c r="DR136" s="1"/>
  <c r="DN101"/>
  <c r="DM101"/>
  <c r="DN136" s="1"/>
  <c r="DK101"/>
  <c r="DJ101"/>
  <c r="DI101"/>
  <c r="DJ136" s="1"/>
  <c r="DG101"/>
  <c r="DF101"/>
  <c r="DE101"/>
  <c r="DF136" s="1"/>
  <c r="DC101"/>
  <c r="DB101"/>
  <c r="DA101"/>
  <c r="DB136" s="1"/>
  <c r="CY101"/>
  <c r="CX101"/>
  <c r="CW101"/>
  <c r="CX136" s="1"/>
  <c r="CV101"/>
  <c r="CU101"/>
  <c r="CT101"/>
  <c r="CS101"/>
  <c r="CT136" s="1"/>
  <c r="CQ101"/>
  <c r="CP101"/>
  <c r="CO101"/>
  <c r="CM101"/>
  <c r="CL101"/>
  <c r="CK101"/>
  <c r="CL136" s="1"/>
  <c r="CI101"/>
  <c r="CH101"/>
  <c r="CG101"/>
  <c r="CH136" s="1"/>
  <c r="CE101"/>
  <c r="CD101"/>
  <c r="CC101"/>
  <c r="CD136" s="1"/>
  <c r="BZ101"/>
  <c r="HH112" s="1"/>
  <c r="HH118" s="1"/>
  <c r="BY101"/>
  <c r="BV101"/>
  <c r="HC112" s="1"/>
  <c r="HC118" s="1"/>
  <c r="BU101"/>
  <c r="BS101"/>
  <c r="BR101"/>
  <c r="HE112" s="1"/>
  <c r="HE118" s="1"/>
  <c r="BQ101"/>
  <c r="BR136" s="1"/>
  <c r="BO101"/>
  <c r="BN101"/>
  <c r="BM101"/>
  <c r="BN136" s="1"/>
  <c r="BK101"/>
  <c r="BJ101"/>
  <c r="BI101"/>
  <c r="BJ136" s="1"/>
  <c r="BG101"/>
  <c r="BF101"/>
  <c r="BE101"/>
  <c r="BF136" s="1"/>
  <c r="BC101"/>
  <c r="BB101"/>
  <c r="BA101"/>
  <c r="BB136" s="1"/>
  <c r="AY101"/>
  <c r="AX101"/>
  <c r="AW101"/>
  <c r="AX136" s="1"/>
  <c r="AT101"/>
  <c r="HI112" s="1"/>
  <c r="HI118" s="1"/>
  <c r="AS101"/>
  <c r="AT136" s="1"/>
  <c r="AP101"/>
  <c r="HJ112" s="1"/>
  <c r="HJ118" s="1"/>
  <c r="AO101"/>
  <c r="AM101"/>
  <c r="AL101"/>
  <c r="AK101"/>
  <c r="AL136" s="1"/>
  <c r="AI101"/>
  <c r="AH101"/>
  <c r="AG101"/>
  <c r="AH136" s="1"/>
  <c r="AD101"/>
  <c r="AC101"/>
  <c r="AD136" s="1"/>
  <c r="AA101"/>
  <c r="Z101"/>
  <c r="Y101"/>
  <c r="Z136" s="1"/>
  <c r="W101"/>
  <c r="V101"/>
  <c r="HF112" s="1"/>
  <c r="HF118" s="1"/>
  <c r="U101"/>
  <c r="R101"/>
  <c r="HD112" s="1"/>
  <c r="HD118" s="1"/>
  <c r="Q101"/>
  <c r="O101"/>
  <c r="N101"/>
  <c r="HL112" s="1"/>
  <c r="HL118" s="1"/>
  <c r="M101"/>
  <c r="K101"/>
  <c r="J101"/>
  <c r="HG112" s="1"/>
  <c r="HG118" s="1"/>
  <c r="I101"/>
  <c r="E101"/>
  <c r="HM100"/>
  <c r="HM106" s="1"/>
  <c r="HL100"/>
  <c r="HL106" s="1"/>
  <c r="HJ100"/>
  <c r="HJ106" s="1"/>
  <c r="HH100"/>
  <c r="HH106" s="1"/>
  <c r="HF100"/>
  <c r="HF106" s="1"/>
  <c r="HD100"/>
  <c r="HD106" s="1"/>
  <c r="GY100"/>
  <c r="GX100"/>
  <c r="GZ100" s="1"/>
  <c r="GW100"/>
  <c r="GU100"/>
  <c r="GT100"/>
  <c r="GS100"/>
  <c r="GQ100"/>
  <c r="GP100"/>
  <c r="GR100" s="1"/>
  <c r="GO100"/>
  <c r="GM100"/>
  <c r="GL100"/>
  <c r="GK100"/>
  <c r="GI100"/>
  <c r="GH100"/>
  <c r="GJ100" s="1"/>
  <c r="GG100"/>
  <c r="GE100"/>
  <c r="GD100"/>
  <c r="GC100"/>
  <c r="GA100"/>
  <c r="FZ100"/>
  <c r="GB100" s="1"/>
  <c r="FY100"/>
  <c r="FW100"/>
  <c r="FV100"/>
  <c r="HM111" s="1"/>
  <c r="FU100"/>
  <c r="FS100"/>
  <c r="FR100"/>
  <c r="FT100" s="1"/>
  <c r="FQ100"/>
  <c r="FO100"/>
  <c r="FN100"/>
  <c r="FM100"/>
  <c r="FK100"/>
  <c r="FJ100"/>
  <c r="FL100" s="1"/>
  <c r="FI100"/>
  <c r="FG100"/>
  <c r="FF100"/>
  <c r="FE100"/>
  <c r="FC100"/>
  <c r="FB100"/>
  <c r="FD100" s="1"/>
  <c r="FA100"/>
  <c r="EY100"/>
  <c r="EX100"/>
  <c r="EW100"/>
  <c r="EU100"/>
  <c r="ET100"/>
  <c r="EV100" s="1"/>
  <c r="ES100"/>
  <c r="EQ100"/>
  <c r="EP100"/>
  <c r="EO100"/>
  <c r="EM100"/>
  <c r="EL100"/>
  <c r="EN100" s="1"/>
  <c r="EK100"/>
  <c r="EI100"/>
  <c r="EH100"/>
  <c r="EG100"/>
  <c r="EE100"/>
  <c r="ED100"/>
  <c r="EF100" s="1"/>
  <c r="EC100"/>
  <c r="EA100"/>
  <c r="DZ100"/>
  <c r="DY100"/>
  <c r="DW100"/>
  <c r="DV100"/>
  <c r="DX100" s="1"/>
  <c r="DU100"/>
  <c r="DS100"/>
  <c r="DR100"/>
  <c r="DQ100"/>
  <c r="DO100"/>
  <c r="DN100"/>
  <c r="DP100" s="1"/>
  <c r="DM100"/>
  <c r="DK100"/>
  <c r="DJ100"/>
  <c r="DI100"/>
  <c r="DG100"/>
  <c r="DF100"/>
  <c r="DE100"/>
  <c r="DC100"/>
  <c r="DB100"/>
  <c r="DA100"/>
  <c r="CY100"/>
  <c r="CX100"/>
  <c r="CZ100" s="1"/>
  <c r="CW100"/>
  <c r="CU100"/>
  <c r="CT100"/>
  <c r="CS100"/>
  <c r="CQ100"/>
  <c r="CP100"/>
  <c r="CR100" s="1"/>
  <c r="CO100"/>
  <c r="CM100"/>
  <c r="CL100"/>
  <c r="CK100"/>
  <c r="CI100"/>
  <c r="CH100"/>
  <c r="CJ100" s="1"/>
  <c r="CG100"/>
  <c r="CE100"/>
  <c r="CD100"/>
  <c r="CC100"/>
  <c r="CA100"/>
  <c r="BZ100"/>
  <c r="HH111" s="1"/>
  <c r="BY100"/>
  <c r="BW100"/>
  <c r="BV100"/>
  <c r="HC111" s="1"/>
  <c r="BU100"/>
  <c r="BS100"/>
  <c r="BR100"/>
  <c r="HE111" s="1"/>
  <c r="BQ100"/>
  <c r="BO100"/>
  <c r="BN100"/>
  <c r="BM100"/>
  <c r="BK100"/>
  <c r="BJ100"/>
  <c r="BL100" s="1"/>
  <c r="BI100"/>
  <c r="BG100"/>
  <c r="BF100"/>
  <c r="BE100"/>
  <c r="BC100"/>
  <c r="BB100"/>
  <c r="BD100" s="1"/>
  <c r="BA100"/>
  <c r="AY100"/>
  <c r="AX100"/>
  <c r="AW100"/>
  <c r="AU100"/>
  <c r="AT100"/>
  <c r="HI111" s="1"/>
  <c r="AS100"/>
  <c r="AQ100"/>
  <c r="AP100"/>
  <c r="HJ111" s="1"/>
  <c r="AO100"/>
  <c r="AM100"/>
  <c r="AL100"/>
  <c r="AN100" s="1"/>
  <c r="AK100"/>
  <c r="AI100"/>
  <c r="AH100"/>
  <c r="AG100"/>
  <c r="AE100"/>
  <c r="AD100"/>
  <c r="AF100" s="1"/>
  <c r="AC100"/>
  <c r="AA100"/>
  <c r="Z100"/>
  <c r="Y100"/>
  <c r="W100"/>
  <c r="V100"/>
  <c r="HF111" s="1"/>
  <c r="U100"/>
  <c r="S100"/>
  <c r="R100"/>
  <c r="HD111" s="1"/>
  <c r="Q100"/>
  <c r="O100"/>
  <c r="N100"/>
  <c r="HL111" s="1"/>
  <c r="M100"/>
  <c r="L100"/>
  <c r="K100"/>
  <c r="J100"/>
  <c r="HG111" s="1"/>
  <c r="I100"/>
  <c r="G100"/>
  <c r="F100"/>
  <c r="E100"/>
  <c r="HM99"/>
  <c r="HM105" s="1"/>
  <c r="HM104" s="1"/>
  <c r="HL99"/>
  <c r="HL105" s="1"/>
  <c r="HL104" s="1"/>
  <c r="HK99"/>
  <c r="HK105" s="1"/>
  <c r="HK104" s="1"/>
  <c r="HJ99"/>
  <c r="HJ105" s="1"/>
  <c r="HJ104" s="1"/>
  <c r="HI99"/>
  <c r="HI105" s="1"/>
  <c r="HH99"/>
  <c r="HH105" s="1"/>
  <c r="HH104" s="1"/>
  <c r="HG99"/>
  <c r="HG105" s="1"/>
  <c r="HF99"/>
  <c r="HF105" s="1"/>
  <c r="HF104" s="1"/>
  <c r="HE99"/>
  <c r="HE105" s="1"/>
  <c r="HD99"/>
  <c r="HD105" s="1"/>
  <c r="HD104" s="1"/>
  <c r="HC99"/>
  <c r="HC105" s="1"/>
  <c r="GY99"/>
  <c r="GX99"/>
  <c r="GW99"/>
  <c r="GU99"/>
  <c r="GV99" s="1"/>
  <c r="GT99"/>
  <c r="GS99"/>
  <c r="GQ99"/>
  <c r="GP99"/>
  <c r="GO99"/>
  <c r="GM99"/>
  <c r="GN99" s="1"/>
  <c r="GL99"/>
  <c r="GK99"/>
  <c r="GI99"/>
  <c r="GH99"/>
  <c r="GG99"/>
  <c r="GE99"/>
  <c r="GF99" s="1"/>
  <c r="GD99"/>
  <c r="GC99"/>
  <c r="GA99"/>
  <c r="FZ99"/>
  <c r="FY99"/>
  <c r="FV99"/>
  <c r="FU99"/>
  <c r="FS99"/>
  <c r="FR99"/>
  <c r="FQ99"/>
  <c r="FO99"/>
  <c r="FP99" s="1"/>
  <c r="FN99"/>
  <c r="FM99"/>
  <c r="FK99"/>
  <c r="FJ99"/>
  <c r="FI99"/>
  <c r="FG99"/>
  <c r="FH99" s="1"/>
  <c r="FF99"/>
  <c r="FE99"/>
  <c r="FB99"/>
  <c r="FA99"/>
  <c r="EY99"/>
  <c r="EX99"/>
  <c r="EW99"/>
  <c r="EU99"/>
  <c r="EV99" s="1"/>
  <c r="ET99"/>
  <c r="ES99"/>
  <c r="EP99"/>
  <c r="EO99"/>
  <c r="EM99"/>
  <c r="EN99" s="1"/>
  <c r="EL99"/>
  <c r="EK99"/>
  <c r="EH99"/>
  <c r="EG99"/>
  <c r="EE99"/>
  <c r="ED99"/>
  <c r="EC99"/>
  <c r="EA99"/>
  <c r="EB99" s="1"/>
  <c r="DZ99"/>
  <c r="DY99"/>
  <c r="DW99"/>
  <c r="DV99"/>
  <c r="DU99"/>
  <c r="DS99"/>
  <c r="DT99" s="1"/>
  <c r="DR99"/>
  <c r="DQ99"/>
  <c r="DN99"/>
  <c r="DM99"/>
  <c r="DK99"/>
  <c r="DJ99"/>
  <c r="DI99"/>
  <c r="DG99"/>
  <c r="DH99" s="1"/>
  <c r="DF99"/>
  <c r="DE99"/>
  <c r="DC99"/>
  <c r="DB99"/>
  <c r="DA99"/>
  <c r="CY99"/>
  <c r="CZ99" s="1"/>
  <c r="CX99"/>
  <c r="CW99"/>
  <c r="CU99"/>
  <c r="CT99"/>
  <c r="CS99"/>
  <c r="CQ99"/>
  <c r="CR99" s="1"/>
  <c r="CP99"/>
  <c r="CO99"/>
  <c r="CM99"/>
  <c r="CL99"/>
  <c r="CK99"/>
  <c r="CI99"/>
  <c r="CJ99" s="1"/>
  <c r="CH99"/>
  <c r="CG99"/>
  <c r="CE99"/>
  <c r="CD99"/>
  <c r="CC99"/>
  <c r="BZ99"/>
  <c r="BY99"/>
  <c r="BV99"/>
  <c r="BU99"/>
  <c r="BS99"/>
  <c r="BT99" s="1"/>
  <c r="BR99"/>
  <c r="BQ99"/>
  <c r="BO99"/>
  <c r="BN99"/>
  <c r="BM99"/>
  <c r="BK99"/>
  <c r="BL99" s="1"/>
  <c r="BJ99"/>
  <c r="BI99"/>
  <c r="BG99"/>
  <c r="BF99"/>
  <c r="BE99"/>
  <c r="BC99"/>
  <c r="BD99" s="1"/>
  <c r="BB99"/>
  <c r="BA99"/>
  <c r="AY99"/>
  <c r="AX99"/>
  <c r="AW99"/>
  <c r="AT99"/>
  <c r="AS99"/>
  <c r="AP99"/>
  <c r="AO99"/>
  <c r="AM99"/>
  <c r="AN99" s="1"/>
  <c r="AL99"/>
  <c r="AK99"/>
  <c r="AI99"/>
  <c r="AH99"/>
  <c r="AG99"/>
  <c r="AD99"/>
  <c r="AC99"/>
  <c r="AA99"/>
  <c r="AB99" s="1"/>
  <c r="Z99"/>
  <c r="Y99"/>
  <c r="W99"/>
  <c r="V99"/>
  <c r="U99"/>
  <c r="R99"/>
  <c r="Q99"/>
  <c r="O99"/>
  <c r="P99" s="1"/>
  <c r="N99"/>
  <c r="M99"/>
  <c r="K99"/>
  <c r="L99" s="1"/>
  <c r="J99"/>
  <c r="I99"/>
  <c r="G99"/>
  <c r="F99"/>
  <c r="E99"/>
  <c r="HM98"/>
  <c r="HL98"/>
  <c r="HK98"/>
  <c r="HJ98"/>
  <c r="HH98"/>
  <c r="HF98"/>
  <c r="HD98"/>
  <c r="GZ98"/>
  <c r="GV98"/>
  <c r="GR98"/>
  <c r="GN98"/>
  <c r="GJ98"/>
  <c r="GF98"/>
  <c r="GA98"/>
  <c r="GB98" s="1"/>
  <c r="FZ98"/>
  <c r="FY98"/>
  <c r="E98" s="1"/>
  <c r="FX98"/>
  <c r="FT98"/>
  <c r="FP98"/>
  <c r="FL98"/>
  <c r="FH98"/>
  <c r="FD98"/>
  <c r="EZ98"/>
  <c r="EV98"/>
  <c r="ER98"/>
  <c r="EN98"/>
  <c r="EJ98"/>
  <c r="EF98"/>
  <c r="EB98"/>
  <c r="DX98"/>
  <c r="DT98"/>
  <c r="DP98"/>
  <c r="DL98"/>
  <c r="DH98"/>
  <c r="DD98"/>
  <c r="CZ98"/>
  <c r="CV98"/>
  <c r="CR98"/>
  <c r="CN98"/>
  <c r="CJ98"/>
  <c r="CF98"/>
  <c r="CB98"/>
  <c r="BX98"/>
  <c r="BT98"/>
  <c r="BP98"/>
  <c r="BL98"/>
  <c r="BH98"/>
  <c r="BD98"/>
  <c r="AZ98"/>
  <c r="AV98"/>
  <c r="AR98"/>
  <c r="AN98"/>
  <c r="AJ98"/>
  <c r="AF98"/>
  <c r="AB98"/>
  <c r="X98"/>
  <c r="T98"/>
  <c r="P98"/>
  <c r="L98"/>
  <c r="F98"/>
  <c r="GZ97"/>
  <c r="GV97"/>
  <c r="GR97"/>
  <c r="GN97"/>
  <c r="GJ97"/>
  <c r="GF97"/>
  <c r="GB97"/>
  <c r="FX97"/>
  <c r="FT97"/>
  <c r="FP97"/>
  <c r="FL97"/>
  <c r="FH97"/>
  <c r="FD97"/>
  <c r="EV97"/>
  <c r="ER97"/>
  <c r="EN97"/>
  <c r="EI97"/>
  <c r="EH97"/>
  <c r="F97" s="1"/>
  <c r="EG97"/>
  <c r="EF97"/>
  <c r="EB97"/>
  <c r="DX97"/>
  <c r="DT97"/>
  <c r="DP97"/>
  <c r="DL97"/>
  <c r="DH97"/>
  <c r="DD97"/>
  <c r="CZ97"/>
  <c r="CV97"/>
  <c r="CR97"/>
  <c r="CN97"/>
  <c r="CJ97"/>
  <c r="CF97"/>
  <c r="CB97"/>
  <c r="BX97"/>
  <c r="BT97"/>
  <c r="BP97"/>
  <c r="BL97"/>
  <c r="BH97"/>
  <c r="BD97"/>
  <c r="AZ97"/>
  <c r="AV97"/>
  <c r="AR97"/>
  <c r="AN97"/>
  <c r="AJ97"/>
  <c r="AF97"/>
  <c r="X97"/>
  <c r="T97"/>
  <c r="P97"/>
  <c r="L97"/>
  <c r="G97"/>
  <c r="E97"/>
  <c r="GZ96"/>
  <c r="GV96"/>
  <c r="GR96"/>
  <c r="GN96"/>
  <c r="GJ96"/>
  <c r="GF96"/>
  <c r="GB96"/>
  <c r="FX96"/>
  <c r="FT96"/>
  <c r="FP96"/>
  <c r="FL96"/>
  <c r="FH96"/>
  <c r="FC96"/>
  <c r="FD96" s="1"/>
  <c r="FB96"/>
  <c r="FA96"/>
  <c r="EZ96"/>
  <c r="EV96"/>
  <c r="EQ96"/>
  <c r="ER96" s="1"/>
  <c r="EP96"/>
  <c r="EO96"/>
  <c r="EN96"/>
  <c r="EJ96"/>
  <c r="EF96"/>
  <c r="EB96"/>
  <c r="DX96"/>
  <c r="DT96"/>
  <c r="DP96"/>
  <c r="DL96"/>
  <c r="DH96"/>
  <c r="DD96"/>
  <c r="CZ96"/>
  <c r="CV96"/>
  <c r="CQ96"/>
  <c r="CR96" s="1"/>
  <c r="CP96"/>
  <c r="CO96"/>
  <c r="E96" s="1"/>
  <c r="CN96"/>
  <c r="CJ96"/>
  <c r="CF96"/>
  <c r="CB96"/>
  <c r="BX96"/>
  <c r="BT96"/>
  <c r="BP96"/>
  <c r="BL96"/>
  <c r="BH96"/>
  <c r="BD96"/>
  <c r="AZ96"/>
  <c r="AV96"/>
  <c r="AR96"/>
  <c r="AN96"/>
  <c r="AJ96"/>
  <c r="AF96"/>
  <c r="AB96"/>
  <c r="X96"/>
  <c r="T96"/>
  <c r="P96"/>
  <c r="L96"/>
  <c r="F96"/>
  <c r="GZ95"/>
  <c r="GV95"/>
  <c r="GR95"/>
  <c r="GN95"/>
  <c r="GJ95"/>
  <c r="GF95"/>
  <c r="GB95"/>
  <c r="FX95"/>
  <c r="FT95"/>
  <c r="FP95"/>
  <c r="FL95"/>
  <c r="FH95"/>
  <c r="FD95"/>
  <c r="EZ95"/>
  <c r="EV95"/>
  <c r="ER95"/>
  <c r="EN95"/>
  <c r="EJ95"/>
  <c r="EF95"/>
  <c r="EB95"/>
  <c r="DX95"/>
  <c r="DT95"/>
  <c r="DP95"/>
  <c r="DL95"/>
  <c r="DH95"/>
  <c r="DD95"/>
  <c r="CZ95"/>
  <c r="CV95"/>
  <c r="CR95"/>
  <c r="CN95"/>
  <c r="CJ95"/>
  <c r="CF95"/>
  <c r="CB95"/>
  <c r="BX95"/>
  <c r="BT95"/>
  <c r="BP95"/>
  <c r="BL95"/>
  <c r="BH95"/>
  <c r="BD95"/>
  <c r="AZ95"/>
  <c r="AV95"/>
  <c r="AR95"/>
  <c r="AN95"/>
  <c r="AJ95"/>
  <c r="AF95"/>
  <c r="AB95"/>
  <c r="X95"/>
  <c r="T95"/>
  <c r="P95"/>
  <c r="L95"/>
  <c r="H95"/>
  <c r="G95"/>
  <c r="F95"/>
  <c r="F94" s="1"/>
  <c r="E95"/>
  <c r="GZ94"/>
  <c r="GV94"/>
  <c r="GR94"/>
  <c r="GN94"/>
  <c r="GJ94"/>
  <c r="GF94"/>
  <c r="GB94"/>
  <c r="FX94"/>
  <c r="FT94"/>
  <c r="FP94"/>
  <c r="FL94"/>
  <c r="FH94"/>
  <c r="FC94"/>
  <c r="FB94"/>
  <c r="FA94"/>
  <c r="EZ94"/>
  <c r="EV94"/>
  <c r="EQ94"/>
  <c r="EP94"/>
  <c r="ER94" s="1"/>
  <c r="EO94"/>
  <c r="EN94"/>
  <c r="EJ94"/>
  <c r="EF94"/>
  <c r="EB94"/>
  <c r="DX94"/>
  <c r="DT94"/>
  <c r="DP94"/>
  <c r="DL94"/>
  <c r="DH94"/>
  <c r="DD94"/>
  <c r="CZ94"/>
  <c r="CV94"/>
  <c r="CQ94"/>
  <c r="CP94"/>
  <c r="CR94" s="1"/>
  <c r="CO94"/>
  <c r="CN94"/>
  <c r="CJ94"/>
  <c r="CF94"/>
  <c r="CB94"/>
  <c r="BX94"/>
  <c r="BT94"/>
  <c r="BP94"/>
  <c r="BL94"/>
  <c r="BH94"/>
  <c r="BD94"/>
  <c r="AZ94"/>
  <c r="AV94"/>
  <c r="AR94"/>
  <c r="AN94"/>
  <c r="AJ94"/>
  <c r="AF94"/>
  <c r="AB94"/>
  <c r="X94"/>
  <c r="T94"/>
  <c r="P94"/>
  <c r="L94"/>
  <c r="GZ93"/>
  <c r="GV93"/>
  <c r="GR93"/>
  <c r="GN93"/>
  <c r="GJ93"/>
  <c r="GF93"/>
  <c r="GB93"/>
  <c r="FW93"/>
  <c r="FV93"/>
  <c r="FX93" s="1"/>
  <c r="FU93"/>
  <c r="FT93"/>
  <c r="FP93"/>
  <c r="FL93"/>
  <c r="FH93"/>
  <c r="FD93"/>
  <c r="EZ93"/>
  <c r="EV93"/>
  <c r="ER93"/>
  <c r="EN93"/>
  <c r="EJ93"/>
  <c r="EF93"/>
  <c r="EB93"/>
  <c r="DX93"/>
  <c r="DT93"/>
  <c r="DP93"/>
  <c r="DL93"/>
  <c r="DH93"/>
  <c r="DD93"/>
  <c r="CZ93"/>
  <c r="CV93"/>
  <c r="CR93"/>
  <c r="CN93"/>
  <c r="CJ93"/>
  <c r="CF93"/>
  <c r="CB93"/>
  <c r="BX93"/>
  <c r="BT93"/>
  <c r="BP93"/>
  <c r="BL93"/>
  <c r="BH93"/>
  <c r="BD93"/>
  <c r="AZ93"/>
  <c r="AV93"/>
  <c r="AR93"/>
  <c r="AN93"/>
  <c r="AJ93"/>
  <c r="AF93"/>
  <c r="AB93"/>
  <c r="X93"/>
  <c r="T93"/>
  <c r="P93"/>
  <c r="L93"/>
  <c r="G93"/>
  <c r="F93"/>
  <c r="E93"/>
  <c r="GZ92"/>
  <c r="GV92"/>
  <c r="GR92"/>
  <c r="GN92"/>
  <c r="GJ92"/>
  <c r="GF92"/>
  <c r="GB92"/>
  <c r="FW92"/>
  <c r="FX92" s="1"/>
  <c r="FV92"/>
  <c r="FU92"/>
  <c r="FU91" s="1"/>
  <c r="FT92"/>
  <c r="FP92"/>
  <c r="FL92"/>
  <c r="FH92"/>
  <c r="FD92"/>
  <c r="EZ92"/>
  <c r="EV92"/>
  <c r="ER92"/>
  <c r="EN92"/>
  <c r="EJ92"/>
  <c r="EF92"/>
  <c r="EB92"/>
  <c r="DX92"/>
  <c r="DT92"/>
  <c r="DP92"/>
  <c r="DL92"/>
  <c r="DH92"/>
  <c r="DD92"/>
  <c r="CZ92"/>
  <c r="CV92"/>
  <c r="CR92"/>
  <c r="CN92"/>
  <c r="CJ92"/>
  <c r="CF92"/>
  <c r="CB92"/>
  <c r="BX92"/>
  <c r="BT92"/>
  <c r="BP92"/>
  <c r="BL92"/>
  <c r="BH92"/>
  <c r="BD92"/>
  <c r="AZ92"/>
  <c r="AV92"/>
  <c r="AR92"/>
  <c r="AN92"/>
  <c r="AJ92"/>
  <c r="AF92"/>
  <c r="AB92"/>
  <c r="X92"/>
  <c r="T92"/>
  <c r="P92"/>
  <c r="L92"/>
  <c r="H92" s="1"/>
  <c r="G92"/>
  <c r="G91" s="1"/>
  <c r="F92"/>
  <c r="E92"/>
  <c r="E91" s="1"/>
  <c r="GZ91"/>
  <c r="GV91"/>
  <c r="GR91"/>
  <c r="GN91"/>
  <c r="GJ91"/>
  <c r="GF91"/>
  <c r="GB91"/>
  <c r="FV91"/>
  <c r="FT91"/>
  <c r="FP91"/>
  <c r="FL91"/>
  <c r="FH91"/>
  <c r="FD91"/>
  <c r="EZ91"/>
  <c r="EV91"/>
  <c r="ER91"/>
  <c r="EN91"/>
  <c r="EJ91"/>
  <c r="EF91"/>
  <c r="EB91"/>
  <c r="DX91"/>
  <c r="DT91"/>
  <c r="DP91"/>
  <c r="DL91"/>
  <c r="DH91"/>
  <c r="DD91"/>
  <c r="CZ91"/>
  <c r="CV91"/>
  <c r="CR91"/>
  <c r="CN91"/>
  <c r="CJ91"/>
  <c r="CF91"/>
  <c r="CB91"/>
  <c r="BX91"/>
  <c r="BT91"/>
  <c r="BP91"/>
  <c r="BL91"/>
  <c r="BH91"/>
  <c r="BD91"/>
  <c r="AZ91"/>
  <c r="AV91"/>
  <c r="AR91"/>
  <c r="AN91"/>
  <c r="AJ91"/>
  <c r="AF91"/>
  <c r="AB91"/>
  <c r="X91"/>
  <c r="T91"/>
  <c r="P91"/>
  <c r="L91"/>
  <c r="F91"/>
  <c r="GZ90"/>
  <c r="GV90"/>
  <c r="GR90"/>
  <c r="GN90"/>
  <c r="GJ90"/>
  <c r="GF90"/>
  <c r="GB90"/>
  <c r="FX90"/>
  <c r="FT90"/>
  <c r="FP90"/>
  <c r="FL90"/>
  <c r="FH90"/>
  <c r="FD90"/>
  <c r="EZ90"/>
  <c r="EV90"/>
  <c r="ER90"/>
  <c r="EN90"/>
  <c r="EJ90"/>
  <c r="EF90"/>
  <c r="EB90"/>
  <c r="DX90"/>
  <c r="DT90"/>
  <c r="DP90"/>
  <c r="DL90"/>
  <c r="DH90"/>
  <c r="DD90"/>
  <c r="CZ90"/>
  <c r="CV90"/>
  <c r="CQ90"/>
  <c r="CP90"/>
  <c r="CR90" s="1"/>
  <c r="CO90"/>
  <c r="CN90"/>
  <c r="CJ90"/>
  <c r="CF90"/>
  <c r="CB90"/>
  <c r="BW90"/>
  <c r="BV90"/>
  <c r="BX90" s="1"/>
  <c r="BU90"/>
  <c r="BT90"/>
  <c r="BP90"/>
  <c r="BL90"/>
  <c r="BH90"/>
  <c r="BD90"/>
  <c r="AZ90"/>
  <c r="AV90"/>
  <c r="AR90"/>
  <c r="AN90"/>
  <c r="AJ90"/>
  <c r="AF90"/>
  <c r="AB90"/>
  <c r="X90"/>
  <c r="T90"/>
  <c r="P90"/>
  <c r="L90"/>
  <c r="G90"/>
  <c r="F90"/>
  <c r="E90"/>
  <c r="GZ89"/>
  <c r="GV89"/>
  <c r="GR89"/>
  <c r="GN89"/>
  <c r="GJ89"/>
  <c r="GF89"/>
  <c r="GB89"/>
  <c r="FX89"/>
  <c r="FT89"/>
  <c r="FO89"/>
  <c r="FP89" s="1"/>
  <c r="FN89"/>
  <c r="FM89"/>
  <c r="FL89"/>
  <c r="FH89"/>
  <c r="FD89"/>
  <c r="EZ89"/>
  <c r="EV89"/>
  <c r="ER89"/>
  <c r="EN89"/>
  <c r="EJ89"/>
  <c r="EF89"/>
  <c r="EB89"/>
  <c r="DX89"/>
  <c r="DT89"/>
  <c r="DP89"/>
  <c r="DL89"/>
  <c r="DH89"/>
  <c r="DD89"/>
  <c r="CZ89"/>
  <c r="CV89"/>
  <c r="CQ89"/>
  <c r="CR89" s="1"/>
  <c r="CP89"/>
  <c r="CO89"/>
  <c r="CN89"/>
  <c r="CJ89"/>
  <c r="CF89"/>
  <c r="CB89"/>
  <c r="BW89"/>
  <c r="BX89" s="1"/>
  <c r="BV89"/>
  <c r="BU89"/>
  <c r="BT89"/>
  <c r="BP89"/>
  <c r="BL89"/>
  <c r="BH89"/>
  <c r="BD89"/>
  <c r="AZ89"/>
  <c r="AV89"/>
  <c r="AR89"/>
  <c r="AN89"/>
  <c r="AJ89"/>
  <c r="AF89"/>
  <c r="AB89"/>
  <c r="X89"/>
  <c r="T89"/>
  <c r="P89"/>
  <c r="L89"/>
  <c r="H89" s="1"/>
  <c r="G89"/>
  <c r="F89"/>
  <c r="E89"/>
  <c r="GZ88"/>
  <c r="GV88"/>
  <c r="GR88"/>
  <c r="GN88"/>
  <c r="GJ88"/>
  <c r="GF88"/>
  <c r="GB88"/>
  <c r="FX88"/>
  <c r="FT88"/>
  <c r="FO88"/>
  <c r="FN88"/>
  <c r="FP88" s="1"/>
  <c r="FM88"/>
  <c r="FL88"/>
  <c r="FH88"/>
  <c r="FD88"/>
  <c r="EZ88"/>
  <c r="EV88"/>
  <c r="ER88"/>
  <c r="EN88"/>
  <c r="EJ88"/>
  <c r="EF88"/>
  <c r="EB88"/>
  <c r="DX88"/>
  <c r="DT88"/>
  <c r="DP88"/>
  <c r="DL88"/>
  <c r="DH88"/>
  <c r="DD88"/>
  <c r="CZ88"/>
  <c r="CV88"/>
  <c r="CQ88"/>
  <c r="CP88"/>
  <c r="CO88"/>
  <c r="CN88"/>
  <c r="CJ88"/>
  <c r="CF88"/>
  <c r="CB88"/>
  <c r="BW88"/>
  <c r="BV88"/>
  <c r="BX88" s="1"/>
  <c r="BU88"/>
  <c r="BT88"/>
  <c r="BP88"/>
  <c r="BL88"/>
  <c r="BH88"/>
  <c r="BD88"/>
  <c r="AZ88"/>
  <c r="AV88"/>
  <c r="AR88"/>
  <c r="AN88"/>
  <c r="AJ88"/>
  <c r="AF88"/>
  <c r="AB88"/>
  <c r="X88"/>
  <c r="T88"/>
  <c r="P88"/>
  <c r="L88"/>
  <c r="G88"/>
  <c r="F88"/>
  <c r="E88"/>
  <c r="GZ87"/>
  <c r="GV87"/>
  <c r="GR87"/>
  <c r="GN87"/>
  <c r="GJ87"/>
  <c r="GF87"/>
  <c r="GB87"/>
  <c r="FX87"/>
  <c r="FT87"/>
  <c r="FP87"/>
  <c r="FL87"/>
  <c r="FH87"/>
  <c r="FD87"/>
  <c r="EZ87"/>
  <c r="EV87"/>
  <c r="ER87"/>
  <c r="EN87"/>
  <c r="EJ87"/>
  <c r="EF87"/>
  <c r="EB87"/>
  <c r="DX87"/>
  <c r="DT87"/>
  <c r="DP87"/>
  <c r="DK87"/>
  <c r="DL87" s="1"/>
  <c r="DJ87"/>
  <c r="DI87"/>
  <c r="DH87"/>
  <c r="DD87"/>
  <c r="CZ87"/>
  <c r="CV87"/>
  <c r="CR87"/>
  <c r="CN87"/>
  <c r="CJ87"/>
  <c r="CF87"/>
  <c r="CB87"/>
  <c r="BX87"/>
  <c r="BT87"/>
  <c r="BP87"/>
  <c r="BL87"/>
  <c r="BH87"/>
  <c r="BD87"/>
  <c r="AZ87"/>
  <c r="AV87"/>
  <c r="AR87"/>
  <c r="AN87"/>
  <c r="AJ87"/>
  <c r="AF87"/>
  <c r="AB87"/>
  <c r="X87"/>
  <c r="T87"/>
  <c r="P87"/>
  <c r="L87"/>
  <c r="H87" s="1"/>
  <c r="G87"/>
  <c r="F87"/>
  <c r="E87"/>
  <c r="GZ86"/>
  <c r="GV86"/>
  <c r="GR86"/>
  <c r="GN86"/>
  <c r="GJ86"/>
  <c r="GF86"/>
  <c r="GB86"/>
  <c r="FX86"/>
  <c r="FT86"/>
  <c r="FP86"/>
  <c r="FL86"/>
  <c r="FH86"/>
  <c r="FD86"/>
  <c r="EZ86"/>
  <c r="EV86"/>
  <c r="ER86"/>
  <c r="EN86"/>
  <c r="EJ86"/>
  <c r="EF86"/>
  <c r="EB86"/>
  <c r="DX86"/>
  <c r="DT86"/>
  <c r="DP86"/>
  <c r="DK86"/>
  <c r="DJ86"/>
  <c r="DL86" s="1"/>
  <c r="DI86"/>
  <c r="DH86"/>
  <c r="DD86"/>
  <c r="CZ86"/>
  <c r="CV86"/>
  <c r="CR86"/>
  <c r="CN86"/>
  <c r="CJ86"/>
  <c r="CF86"/>
  <c r="CB86"/>
  <c r="BX86"/>
  <c r="BT86"/>
  <c r="BP86"/>
  <c r="BL86"/>
  <c r="BH86"/>
  <c r="BD86"/>
  <c r="AZ86"/>
  <c r="AV86"/>
  <c r="AR86"/>
  <c r="AN86"/>
  <c r="AJ86"/>
  <c r="AF86"/>
  <c r="AB86"/>
  <c r="X86"/>
  <c r="T86"/>
  <c r="P86"/>
  <c r="L86"/>
  <c r="G86"/>
  <c r="F86"/>
  <c r="E86"/>
  <c r="GZ85"/>
  <c r="GV85"/>
  <c r="GR85"/>
  <c r="GN85"/>
  <c r="GJ85"/>
  <c r="GF85"/>
  <c r="GB85"/>
  <c r="FX85"/>
  <c r="FT85"/>
  <c r="FP85"/>
  <c r="FL85"/>
  <c r="FH85"/>
  <c r="FD85"/>
  <c r="EZ85"/>
  <c r="EV85"/>
  <c r="ER85"/>
  <c r="EN85"/>
  <c r="EJ85"/>
  <c r="EF85"/>
  <c r="EB85"/>
  <c r="DX85"/>
  <c r="DT85"/>
  <c r="DP85"/>
  <c r="DK85"/>
  <c r="DL85" s="1"/>
  <c r="DJ85"/>
  <c r="DI85"/>
  <c r="DH85"/>
  <c r="DD85"/>
  <c r="CZ85"/>
  <c r="CV85"/>
  <c r="CR85"/>
  <c r="CN85"/>
  <c r="CJ85"/>
  <c r="CF85"/>
  <c r="CB85"/>
  <c r="BX85"/>
  <c r="BT85"/>
  <c r="BP85"/>
  <c r="BL85"/>
  <c r="BH85"/>
  <c r="BD85"/>
  <c r="AZ85"/>
  <c r="AV85"/>
  <c r="AR85"/>
  <c r="AN85"/>
  <c r="AJ85"/>
  <c r="AF85"/>
  <c r="AB85"/>
  <c r="X85"/>
  <c r="T85"/>
  <c r="P85"/>
  <c r="L85"/>
  <c r="G85"/>
  <c r="F85"/>
  <c r="E85"/>
  <c r="GZ84"/>
  <c r="GV84"/>
  <c r="GR84"/>
  <c r="GN84"/>
  <c r="GJ84"/>
  <c r="GF84"/>
  <c r="GB84"/>
  <c r="FX84"/>
  <c r="FS84"/>
  <c r="FT84" s="1"/>
  <c r="FR84"/>
  <c r="FQ84"/>
  <c r="FP84"/>
  <c r="FL84"/>
  <c r="FH84"/>
  <c r="FD84"/>
  <c r="EZ84"/>
  <c r="EV84"/>
  <c r="ER84"/>
  <c r="EN84"/>
  <c r="EJ84"/>
  <c r="EF84"/>
  <c r="EB84"/>
  <c r="DX84"/>
  <c r="DT84"/>
  <c r="DP84"/>
  <c r="DL84"/>
  <c r="DH84"/>
  <c r="DD84"/>
  <c r="CZ84"/>
  <c r="CV84"/>
  <c r="CR84"/>
  <c r="CN84"/>
  <c r="CJ84"/>
  <c r="CF84"/>
  <c r="CB84"/>
  <c r="BX84"/>
  <c r="BT84"/>
  <c r="BP84"/>
  <c r="BL84"/>
  <c r="BH84"/>
  <c r="BD84"/>
  <c r="AZ84"/>
  <c r="AV84"/>
  <c r="AR84"/>
  <c r="AN84"/>
  <c r="AJ84"/>
  <c r="AF84"/>
  <c r="AB84"/>
  <c r="X84"/>
  <c r="T84"/>
  <c r="O84"/>
  <c r="N84"/>
  <c r="F84" s="1"/>
  <c r="M84"/>
  <c r="L84"/>
  <c r="G84"/>
  <c r="E84"/>
  <c r="GZ83"/>
  <c r="GV83"/>
  <c r="GR83"/>
  <c r="GN83"/>
  <c r="GJ83"/>
  <c r="GF83"/>
  <c r="GB83"/>
  <c r="FX83"/>
  <c r="FS83"/>
  <c r="FT83" s="1"/>
  <c r="FR83"/>
  <c r="FQ83"/>
  <c r="FP83"/>
  <c r="FL83"/>
  <c r="FH83"/>
  <c r="FD83"/>
  <c r="EZ83"/>
  <c r="EV83"/>
  <c r="ER83"/>
  <c r="EN83"/>
  <c r="EJ83"/>
  <c r="EF83"/>
  <c r="EB83"/>
  <c r="DX83"/>
  <c r="DT83"/>
  <c r="DP83"/>
  <c r="DL83"/>
  <c r="DH83"/>
  <c r="DD83"/>
  <c r="CZ83"/>
  <c r="CV83"/>
  <c r="CR83"/>
  <c r="CN83"/>
  <c r="CJ83"/>
  <c r="CF83"/>
  <c r="CB83"/>
  <c r="BX83"/>
  <c r="BT83"/>
  <c r="BP83"/>
  <c r="BL83"/>
  <c r="BH83"/>
  <c r="BD83"/>
  <c r="AZ83"/>
  <c r="AV83"/>
  <c r="AR83"/>
  <c r="AN83"/>
  <c r="AJ83"/>
  <c r="AF83"/>
  <c r="AB83"/>
  <c r="X83"/>
  <c r="T83"/>
  <c r="O83"/>
  <c r="N83"/>
  <c r="F83" s="1"/>
  <c r="F82" s="1"/>
  <c r="M83"/>
  <c r="L83"/>
  <c r="G83"/>
  <c r="E83"/>
  <c r="GZ82"/>
  <c r="GV82"/>
  <c r="GR82"/>
  <c r="GN82"/>
  <c r="GJ82"/>
  <c r="GF82"/>
  <c r="GB82"/>
  <c r="FX82"/>
  <c r="FS82"/>
  <c r="FR82"/>
  <c r="FQ82"/>
  <c r="FP82"/>
  <c r="FL82"/>
  <c r="FH82"/>
  <c r="FD82"/>
  <c r="EZ82"/>
  <c r="EV82"/>
  <c r="ER82"/>
  <c r="EN82"/>
  <c r="EJ82"/>
  <c r="EF82"/>
  <c r="EB82"/>
  <c r="DX82"/>
  <c r="DT82"/>
  <c r="DP82"/>
  <c r="DL82"/>
  <c r="DH82"/>
  <c r="DD82"/>
  <c r="CZ82"/>
  <c r="CV82"/>
  <c r="CR82"/>
  <c r="CN82"/>
  <c r="CJ82"/>
  <c r="CF82"/>
  <c r="CB82"/>
  <c r="BX82"/>
  <c r="BT82"/>
  <c r="BP82"/>
  <c r="BL82"/>
  <c r="BH82"/>
  <c r="BD82"/>
  <c r="AZ82"/>
  <c r="AV82"/>
  <c r="AR82"/>
  <c r="AN82"/>
  <c r="AJ82"/>
  <c r="AF82"/>
  <c r="AB82"/>
  <c r="X82"/>
  <c r="T82"/>
  <c r="O82"/>
  <c r="N82"/>
  <c r="P82" s="1"/>
  <c r="M82"/>
  <c r="L82"/>
  <c r="G82"/>
  <c r="E82"/>
  <c r="GZ81"/>
  <c r="GV81"/>
  <c r="GR81"/>
  <c r="GN81"/>
  <c r="GJ81"/>
  <c r="GF81"/>
  <c r="GB81"/>
  <c r="FX81"/>
  <c r="FT81"/>
  <c r="FP81"/>
  <c r="FL81"/>
  <c r="FH81"/>
  <c r="FD81"/>
  <c r="EZ81"/>
  <c r="EV81"/>
  <c r="ER81"/>
  <c r="EN81"/>
  <c r="EJ81"/>
  <c r="EF81"/>
  <c r="EB81"/>
  <c r="DX81"/>
  <c r="DT81"/>
  <c r="DP81"/>
  <c r="DL81"/>
  <c r="DH81"/>
  <c r="DD81"/>
  <c r="CY81"/>
  <c r="CZ81" s="1"/>
  <c r="CX81"/>
  <c r="CW81"/>
  <c r="E81" s="1"/>
  <c r="CV81"/>
  <c r="CR81"/>
  <c r="CN81"/>
  <c r="CJ81"/>
  <c r="CF81"/>
  <c r="CB81"/>
  <c r="BX81"/>
  <c r="BT81"/>
  <c r="BP81"/>
  <c r="BL81"/>
  <c r="BH81"/>
  <c r="BD81"/>
  <c r="AZ81"/>
  <c r="AV81"/>
  <c r="AR81"/>
  <c r="AN81"/>
  <c r="AJ81"/>
  <c r="AF81"/>
  <c r="AB81"/>
  <c r="X81"/>
  <c r="T81"/>
  <c r="P81"/>
  <c r="L81"/>
  <c r="F81"/>
  <c r="GZ80"/>
  <c r="GV80"/>
  <c r="GR80"/>
  <c r="GN80"/>
  <c r="GJ80"/>
  <c r="GF80"/>
  <c r="GB80"/>
  <c r="FX80"/>
  <c r="FT80"/>
  <c r="FP80"/>
  <c r="FL80"/>
  <c r="FH80"/>
  <c r="FD80"/>
  <c r="EZ80"/>
  <c r="EV80"/>
  <c r="ER80"/>
  <c r="EN80"/>
  <c r="EJ80"/>
  <c r="EF80"/>
  <c r="EB80"/>
  <c r="DX80"/>
  <c r="DT80"/>
  <c r="DP80"/>
  <c r="DL80"/>
  <c r="DH80"/>
  <c r="DD80"/>
  <c r="CY80"/>
  <c r="CX80"/>
  <c r="F80" s="1"/>
  <c r="CW80"/>
  <c r="CV80"/>
  <c r="CR80"/>
  <c r="CN80"/>
  <c r="CJ80"/>
  <c r="CF80"/>
  <c r="CB80"/>
  <c r="BX80"/>
  <c r="BT80"/>
  <c r="BP80"/>
  <c r="BL80"/>
  <c r="BH80"/>
  <c r="BD80"/>
  <c r="AZ80"/>
  <c r="AV80"/>
  <c r="AR80"/>
  <c r="AN80"/>
  <c r="AJ80"/>
  <c r="AF80"/>
  <c r="AB80"/>
  <c r="X80"/>
  <c r="T80"/>
  <c r="P80"/>
  <c r="L80"/>
  <c r="G80"/>
  <c r="E80"/>
  <c r="E79" s="1"/>
  <c r="GZ79"/>
  <c r="GV79"/>
  <c r="GR79"/>
  <c r="GN79"/>
  <c r="GJ79"/>
  <c r="GF79"/>
  <c r="GB79"/>
  <c r="FX79"/>
  <c r="FT79"/>
  <c r="FP79"/>
  <c r="FL79"/>
  <c r="FH79"/>
  <c r="FD79"/>
  <c r="EZ79"/>
  <c r="EV79"/>
  <c r="ER79"/>
  <c r="EN79"/>
  <c r="EJ79"/>
  <c r="EF79"/>
  <c r="EB79"/>
  <c r="DX79"/>
  <c r="DT79"/>
  <c r="DP79"/>
  <c r="DL79"/>
  <c r="DH79"/>
  <c r="DD79"/>
  <c r="CY79"/>
  <c r="CW79"/>
  <c r="CV79"/>
  <c r="CR79"/>
  <c r="CN79"/>
  <c r="CJ79"/>
  <c r="CF79"/>
  <c r="CB79"/>
  <c r="BX79"/>
  <c r="BT79"/>
  <c r="BP79"/>
  <c r="BL79"/>
  <c r="BH79"/>
  <c r="BD79"/>
  <c r="AZ79"/>
  <c r="AV79"/>
  <c r="AR79"/>
  <c r="AN79"/>
  <c r="AJ79"/>
  <c r="AF79"/>
  <c r="AB79"/>
  <c r="X79"/>
  <c r="T79"/>
  <c r="P79"/>
  <c r="L79"/>
  <c r="GZ78"/>
  <c r="GV78"/>
  <c r="GR78"/>
  <c r="GN78"/>
  <c r="GJ78"/>
  <c r="GF78"/>
  <c r="GB78"/>
  <c r="FX78"/>
  <c r="FT78"/>
  <c r="FP78"/>
  <c r="FL78"/>
  <c r="FH78"/>
  <c r="FD78"/>
  <c r="EZ78"/>
  <c r="EV78"/>
  <c r="ER78"/>
  <c r="EN78"/>
  <c r="EJ78"/>
  <c r="EF78"/>
  <c r="EB78"/>
  <c r="DX78"/>
  <c r="DT78"/>
  <c r="DP78"/>
  <c r="DL78"/>
  <c r="DH78"/>
  <c r="DD78"/>
  <c r="CZ78"/>
  <c r="CV78"/>
  <c r="CR78"/>
  <c r="CN78"/>
  <c r="CJ78"/>
  <c r="CF78"/>
  <c r="CA78"/>
  <c r="BZ78"/>
  <c r="F78" s="1"/>
  <c r="BY78"/>
  <c r="BX78"/>
  <c r="BT78"/>
  <c r="BP78"/>
  <c r="BL78"/>
  <c r="BH78"/>
  <c r="BD78"/>
  <c r="AZ78"/>
  <c r="AV78"/>
  <c r="AR78"/>
  <c r="AN78"/>
  <c r="AJ78"/>
  <c r="AF78"/>
  <c r="AB78"/>
  <c r="X78"/>
  <c r="T78"/>
  <c r="P78"/>
  <c r="L78"/>
  <c r="G78"/>
  <c r="E78"/>
  <c r="GZ77"/>
  <c r="GV77"/>
  <c r="GR77"/>
  <c r="GN77"/>
  <c r="GJ77"/>
  <c r="GF77"/>
  <c r="GB77"/>
  <c r="FX77"/>
  <c r="FT77"/>
  <c r="FP77"/>
  <c r="FL77"/>
  <c r="FH77"/>
  <c r="FD77"/>
  <c r="EZ77"/>
  <c r="EV77"/>
  <c r="ER77"/>
  <c r="EN77"/>
  <c r="EJ77"/>
  <c r="EF77"/>
  <c r="EB77"/>
  <c r="DX77"/>
  <c r="DT77"/>
  <c r="DP77"/>
  <c r="DL77"/>
  <c r="DH77"/>
  <c r="DD77"/>
  <c r="CZ77"/>
  <c r="CV77"/>
  <c r="CR77"/>
  <c r="CN77"/>
  <c r="CJ77"/>
  <c r="CF77"/>
  <c r="CA77"/>
  <c r="CB77" s="1"/>
  <c r="BZ77"/>
  <c r="BY77"/>
  <c r="E77" s="1"/>
  <c r="E76" s="1"/>
  <c r="BX77"/>
  <c r="BT77"/>
  <c r="BP77"/>
  <c r="BL77"/>
  <c r="BH77"/>
  <c r="BD77"/>
  <c r="AZ77"/>
  <c r="AV77"/>
  <c r="AR77"/>
  <c r="AN77"/>
  <c r="AJ77"/>
  <c r="AF77"/>
  <c r="AB77"/>
  <c r="X77"/>
  <c r="T77"/>
  <c r="P77"/>
  <c r="L77"/>
  <c r="F77"/>
  <c r="GZ76"/>
  <c r="GV76"/>
  <c r="GR76"/>
  <c r="GN76"/>
  <c r="GJ76"/>
  <c r="GF76"/>
  <c r="GB76"/>
  <c r="FX76"/>
  <c r="FT76"/>
  <c r="FP76"/>
  <c r="FL76"/>
  <c r="FH76"/>
  <c r="FD76"/>
  <c r="EZ76"/>
  <c r="EV76"/>
  <c r="ER76"/>
  <c r="EN76"/>
  <c r="EJ76"/>
  <c r="EF76"/>
  <c r="EB76"/>
  <c r="DX76"/>
  <c r="DT76"/>
  <c r="DP76"/>
  <c r="DL76"/>
  <c r="DH76"/>
  <c r="DD76"/>
  <c r="CZ76"/>
  <c r="CV76"/>
  <c r="CR76"/>
  <c r="CN76"/>
  <c r="CJ76"/>
  <c r="CF76"/>
  <c r="BZ76"/>
  <c r="BX76"/>
  <c r="BT76"/>
  <c r="BP76"/>
  <c r="BL76"/>
  <c r="BH76"/>
  <c r="BD76"/>
  <c r="AZ76"/>
  <c r="AV76"/>
  <c r="AR76"/>
  <c r="AN76"/>
  <c r="AJ76"/>
  <c r="AF76"/>
  <c r="AB76"/>
  <c r="X76"/>
  <c r="T76"/>
  <c r="O76"/>
  <c r="N76"/>
  <c r="M76"/>
  <c r="L76"/>
  <c r="GZ75"/>
  <c r="GU75"/>
  <c r="GV75" s="1"/>
  <c r="GT75"/>
  <c r="GS75"/>
  <c r="GQ75"/>
  <c r="GR75" s="1"/>
  <c r="GP75"/>
  <c r="GO75"/>
  <c r="GN75"/>
  <c r="GJ75"/>
  <c r="GE75"/>
  <c r="GF75" s="1"/>
  <c r="GD75"/>
  <c r="GC75"/>
  <c r="GB75"/>
  <c r="FW75"/>
  <c r="FV75"/>
  <c r="FX75" s="1"/>
  <c r="FU75"/>
  <c r="FS75"/>
  <c r="FR75"/>
  <c r="FT75" s="1"/>
  <c r="FQ75"/>
  <c r="FO75"/>
  <c r="FN75"/>
  <c r="FP75" s="1"/>
  <c r="FM75"/>
  <c r="FL75"/>
  <c r="FH75"/>
  <c r="FC75"/>
  <c r="FB75"/>
  <c r="FD75" s="1"/>
  <c r="FA75"/>
  <c r="EZ75"/>
  <c r="EV75"/>
  <c r="EQ75"/>
  <c r="EP75"/>
  <c r="ER75" s="1"/>
  <c r="EO75"/>
  <c r="EN75"/>
  <c r="EI75"/>
  <c r="EJ75" s="1"/>
  <c r="EH75"/>
  <c r="EG75"/>
  <c r="EF75"/>
  <c r="EA75"/>
  <c r="DZ75"/>
  <c r="EB75" s="1"/>
  <c r="DY75"/>
  <c r="DW75"/>
  <c r="DV75"/>
  <c r="DX75" s="1"/>
  <c r="DU75"/>
  <c r="DT75"/>
  <c r="DO75"/>
  <c r="DP75" s="1"/>
  <c r="DN75"/>
  <c r="DM75"/>
  <c r="DL75"/>
  <c r="DG75"/>
  <c r="DH75" s="1"/>
  <c r="DF75"/>
  <c r="DE75"/>
  <c r="DC75"/>
  <c r="DD75" s="1"/>
  <c r="DB75"/>
  <c r="DA75"/>
  <c r="CZ75"/>
  <c r="CV75"/>
  <c r="CR75"/>
  <c r="CM75"/>
  <c r="CN75" s="1"/>
  <c r="CL75"/>
  <c r="CK75"/>
  <c r="CI75"/>
  <c r="CJ75" s="1"/>
  <c r="CH75"/>
  <c r="CG75"/>
  <c r="CF75"/>
  <c r="CA75"/>
  <c r="CB75" s="1"/>
  <c r="BZ75"/>
  <c r="BY75"/>
  <c r="BW75"/>
  <c r="BX75" s="1"/>
  <c r="BV75"/>
  <c r="BU75"/>
  <c r="BS75"/>
  <c r="BT75" s="1"/>
  <c r="BR75"/>
  <c r="BQ75"/>
  <c r="BO75"/>
  <c r="BP75" s="1"/>
  <c r="BN75"/>
  <c r="BM75"/>
  <c r="BL75"/>
  <c r="BG75"/>
  <c r="BH75" s="1"/>
  <c r="BF75"/>
  <c r="BE75"/>
  <c r="BC75"/>
  <c r="BD75" s="1"/>
  <c r="BB75"/>
  <c r="BA75"/>
  <c r="AZ75"/>
  <c r="AU75"/>
  <c r="AV75" s="1"/>
  <c r="AT75"/>
  <c r="AS75"/>
  <c r="AQ75"/>
  <c r="AR75" s="1"/>
  <c r="AP75"/>
  <c r="AO75"/>
  <c r="AM75"/>
  <c r="AN75" s="1"/>
  <c r="AL75"/>
  <c r="AK75"/>
  <c r="AJ75"/>
  <c r="AF75"/>
  <c r="AA75"/>
  <c r="AB75" s="1"/>
  <c r="Z75"/>
  <c r="Y75"/>
  <c r="W75"/>
  <c r="X75" s="1"/>
  <c r="V75"/>
  <c r="U75"/>
  <c r="S75"/>
  <c r="T75" s="1"/>
  <c r="R75"/>
  <c r="Q75"/>
  <c r="O75"/>
  <c r="P75" s="1"/>
  <c r="N75"/>
  <c r="M75"/>
  <c r="K75"/>
  <c r="L75" s="1"/>
  <c r="H75" s="1"/>
  <c r="J75"/>
  <c r="I75"/>
  <c r="G75"/>
  <c r="F75"/>
  <c r="E75"/>
  <c r="GZ74"/>
  <c r="GU74"/>
  <c r="GT74"/>
  <c r="GV74" s="1"/>
  <c r="GS74"/>
  <c r="GQ74"/>
  <c r="GP74"/>
  <c r="GR74" s="1"/>
  <c r="GO74"/>
  <c r="GN74"/>
  <c r="GJ74"/>
  <c r="GE74"/>
  <c r="GD74"/>
  <c r="GF74" s="1"/>
  <c r="GF73" s="1"/>
  <c r="GC74"/>
  <c r="GB74"/>
  <c r="FX74"/>
  <c r="FS74"/>
  <c r="FT74" s="1"/>
  <c r="FR74"/>
  <c r="FQ74"/>
  <c r="FP74"/>
  <c r="FL74"/>
  <c r="FH74"/>
  <c r="FC74"/>
  <c r="FD74" s="1"/>
  <c r="FB74"/>
  <c r="FA74"/>
  <c r="EZ74"/>
  <c r="EV74"/>
  <c r="EQ74"/>
  <c r="ER74" s="1"/>
  <c r="EP74"/>
  <c r="EO74"/>
  <c r="EN74"/>
  <c r="EI74"/>
  <c r="EJ74" s="1"/>
  <c r="EH74"/>
  <c r="EG74"/>
  <c r="EF74"/>
  <c r="EA74"/>
  <c r="EB74" s="1"/>
  <c r="DZ74"/>
  <c r="DY74"/>
  <c r="DW74"/>
  <c r="DX74" s="1"/>
  <c r="DV74"/>
  <c r="DU74"/>
  <c r="DT74"/>
  <c r="DO74"/>
  <c r="DP74" s="1"/>
  <c r="DN74"/>
  <c r="DM74"/>
  <c r="DL74"/>
  <c r="DG74"/>
  <c r="DH74" s="1"/>
  <c r="DF74"/>
  <c r="DE74"/>
  <c r="DC74"/>
  <c r="DD74" s="1"/>
  <c r="DB74"/>
  <c r="DA74"/>
  <c r="CZ74"/>
  <c r="CV74"/>
  <c r="CR74"/>
  <c r="CM74"/>
  <c r="CN74" s="1"/>
  <c r="CL74"/>
  <c r="CK74"/>
  <c r="CI74"/>
  <c r="CJ74" s="1"/>
  <c r="CH74"/>
  <c r="CG74"/>
  <c r="CF74"/>
  <c r="CA74"/>
  <c r="CB74" s="1"/>
  <c r="BZ74"/>
  <c r="BY74"/>
  <c r="BW74"/>
  <c r="BX74" s="1"/>
  <c r="BV74"/>
  <c r="BU74"/>
  <c r="BS74"/>
  <c r="BT74" s="1"/>
  <c r="BR74"/>
  <c r="BQ74"/>
  <c r="BO74"/>
  <c r="BP74" s="1"/>
  <c r="BN74"/>
  <c r="BM74"/>
  <c r="BL74"/>
  <c r="BG74"/>
  <c r="BF74"/>
  <c r="BH74" s="1"/>
  <c r="BE74"/>
  <c r="BC74"/>
  <c r="BB74"/>
  <c r="BD74" s="1"/>
  <c r="BA74"/>
  <c r="AZ74"/>
  <c r="AU74"/>
  <c r="AV74" s="1"/>
  <c r="AT74"/>
  <c r="AS74"/>
  <c r="AQ74"/>
  <c r="AR74" s="1"/>
  <c r="AP74"/>
  <c r="AO74"/>
  <c r="AM74"/>
  <c r="AN74" s="1"/>
  <c r="AL74"/>
  <c r="AK74"/>
  <c r="AJ74"/>
  <c r="AF74"/>
  <c r="AA74"/>
  <c r="AB74" s="1"/>
  <c r="Z74"/>
  <c r="Y74"/>
  <c r="W74"/>
  <c r="X74" s="1"/>
  <c r="V74"/>
  <c r="U74"/>
  <c r="S74"/>
  <c r="T74" s="1"/>
  <c r="R74"/>
  <c r="Q74"/>
  <c r="O74"/>
  <c r="P74" s="1"/>
  <c r="N74"/>
  <c r="M74"/>
  <c r="K74"/>
  <c r="L74" s="1"/>
  <c r="J74"/>
  <c r="I74"/>
  <c r="G74"/>
  <c r="F74"/>
  <c r="E74"/>
  <c r="GZ73"/>
  <c r="GU73"/>
  <c r="GT73"/>
  <c r="GS73"/>
  <c r="GQ73"/>
  <c r="GP73"/>
  <c r="GR73" s="1"/>
  <c r="GO73"/>
  <c r="GN73"/>
  <c r="GJ73"/>
  <c r="GE73"/>
  <c r="GD73"/>
  <c r="GC73"/>
  <c r="GB73"/>
  <c r="FW73"/>
  <c r="FX73" s="1"/>
  <c r="FV73"/>
  <c r="FU73"/>
  <c r="FS73"/>
  <c r="FR73"/>
  <c r="FQ73"/>
  <c r="FO73"/>
  <c r="FN73"/>
  <c r="FM73"/>
  <c r="FL73"/>
  <c r="FH73"/>
  <c r="FC73"/>
  <c r="FB73"/>
  <c r="FA73"/>
  <c r="EZ73"/>
  <c r="EV73"/>
  <c r="EQ73"/>
  <c r="ER73" s="1"/>
  <c r="EP73"/>
  <c r="EO73"/>
  <c r="EN73"/>
  <c r="EI73"/>
  <c r="EH73"/>
  <c r="EG73"/>
  <c r="EF73"/>
  <c r="EA73"/>
  <c r="EB73" s="1"/>
  <c r="DZ73"/>
  <c r="DY73"/>
  <c r="DW73"/>
  <c r="DV73"/>
  <c r="DU73"/>
  <c r="DT73"/>
  <c r="DO73"/>
  <c r="DN73"/>
  <c r="DP73" s="1"/>
  <c r="DM73"/>
  <c r="DL73"/>
  <c r="DG73"/>
  <c r="DF73"/>
  <c r="DE73"/>
  <c r="DC73"/>
  <c r="DD73" s="1"/>
  <c r="DB73"/>
  <c r="DA73"/>
  <c r="CZ73"/>
  <c r="CV73"/>
  <c r="CR73"/>
  <c r="CM73"/>
  <c r="CL73"/>
  <c r="CN73" s="1"/>
  <c r="CK73"/>
  <c r="CI73"/>
  <c r="CH73"/>
  <c r="CJ73" s="1"/>
  <c r="CG73"/>
  <c r="CF73"/>
  <c r="CA73"/>
  <c r="BZ73"/>
  <c r="BY73"/>
  <c r="BW73"/>
  <c r="BX73" s="1"/>
  <c r="BV73"/>
  <c r="BU73"/>
  <c r="BS73"/>
  <c r="BR73"/>
  <c r="BQ73"/>
  <c r="BO73"/>
  <c r="BP73" s="1"/>
  <c r="BN73"/>
  <c r="BM73"/>
  <c r="BL73"/>
  <c r="BG73"/>
  <c r="BF73"/>
  <c r="BE73"/>
  <c r="BC73"/>
  <c r="BB73"/>
  <c r="BD73" s="1"/>
  <c r="BA73"/>
  <c r="AZ73"/>
  <c r="AU73"/>
  <c r="AT73"/>
  <c r="AS73"/>
  <c r="AQ73"/>
  <c r="AR73" s="1"/>
  <c r="AP73"/>
  <c r="AO73"/>
  <c r="AM73"/>
  <c r="AL73"/>
  <c r="AK73"/>
  <c r="AJ73"/>
  <c r="AF73"/>
  <c r="AA73"/>
  <c r="AB73" s="1"/>
  <c r="Z73"/>
  <c r="Y73"/>
  <c r="W73"/>
  <c r="V73"/>
  <c r="U73"/>
  <c r="S73"/>
  <c r="T73" s="1"/>
  <c r="R73"/>
  <c r="Q73"/>
  <c r="O73"/>
  <c r="N73"/>
  <c r="M73"/>
  <c r="K73"/>
  <c r="L73" s="1"/>
  <c r="J73"/>
  <c r="I73"/>
  <c r="G73"/>
  <c r="F73"/>
  <c r="E73"/>
  <c r="GZ72"/>
  <c r="GV72"/>
  <c r="GR72"/>
  <c r="GN72"/>
  <c r="GJ72"/>
  <c r="GF72"/>
  <c r="GB72"/>
  <c r="FX72"/>
  <c r="FT72"/>
  <c r="FP72"/>
  <c r="FL72"/>
  <c r="FH72"/>
  <c r="FD72"/>
  <c r="EZ72"/>
  <c r="EV72"/>
  <c r="ER72"/>
  <c r="EN72"/>
  <c r="EJ72"/>
  <c r="EF72"/>
  <c r="EB72"/>
  <c r="DX72"/>
  <c r="DT72"/>
  <c r="DP72"/>
  <c r="DL72"/>
  <c r="DH72"/>
  <c r="DD72"/>
  <c r="CZ72"/>
  <c r="CV72"/>
  <c r="CR72"/>
  <c r="CN72"/>
  <c r="CJ72"/>
  <c r="CF72"/>
  <c r="CB72"/>
  <c r="BX72"/>
  <c r="BT72"/>
  <c r="BP72"/>
  <c r="BL72"/>
  <c r="BH72"/>
  <c r="BD72"/>
  <c r="AZ72"/>
  <c r="AV72"/>
  <c r="AR72"/>
  <c r="AN72"/>
  <c r="AJ72"/>
  <c r="AF72"/>
  <c r="AB72"/>
  <c r="X72"/>
  <c r="T72"/>
  <c r="P72"/>
  <c r="L72"/>
  <c r="H72" s="1"/>
  <c r="G72"/>
  <c r="F72"/>
  <c r="E72"/>
  <c r="GZ71"/>
  <c r="GV71"/>
  <c r="GR71"/>
  <c r="GN71"/>
  <c r="GJ71"/>
  <c r="GF71"/>
  <c r="GB71"/>
  <c r="FX71"/>
  <c r="FT71"/>
  <c r="FP71"/>
  <c r="FL71"/>
  <c r="FH71"/>
  <c r="FD71"/>
  <c r="EZ71"/>
  <c r="EV71"/>
  <c r="ER71"/>
  <c r="EN71"/>
  <c r="EJ71"/>
  <c r="EF71"/>
  <c r="EB71"/>
  <c r="DX71"/>
  <c r="DT71"/>
  <c r="DP71"/>
  <c r="DL71"/>
  <c r="DH71"/>
  <c r="DD71"/>
  <c r="CZ71"/>
  <c r="CV71"/>
  <c r="CR71"/>
  <c r="CN71"/>
  <c r="CJ71"/>
  <c r="CF71"/>
  <c r="CB71"/>
  <c r="BW71"/>
  <c r="BV71"/>
  <c r="BX71" s="1"/>
  <c r="BU71"/>
  <c r="BT71"/>
  <c r="BP71"/>
  <c r="BL71"/>
  <c r="BH71"/>
  <c r="BD71"/>
  <c r="AZ71"/>
  <c r="AV71"/>
  <c r="AR71"/>
  <c r="AN71"/>
  <c r="AJ71"/>
  <c r="AF71"/>
  <c r="AB71"/>
  <c r="X71"/>
  <c r="T71"/>
  <c r="P71"/>
  <c r="L71"/>
  <c r="G71"/>
  <c r="F71"/>
  <c r="E71"/>
  <c r="GZ70"/>
  <c r="GV70"/>
  <c r="GR70"/>
  <c r="GN70"/>
  <c r="GJ70"/>
  <c r="GF70"/>
  <c r="GB70"/>
  <c r="FX70"/>
  <c r="FT70"/>
  <c r="FP70"/>
  <c r="FL70"/>
  <c r="FH70"/>
  <c r="FD70"/>
  <c r="EZ70"/>
  <c r="EV70"/>
  <c r="ER70"/>
  <c r="EN70"/>
  <c r="EJ70"/>
  <c r="EF70"/>
  <c r="EB70"/>
  <c r="DX70"/>
  <c r="DT70"/>
  <c r="DP70"/>
  <c r="DL70"/>
  <c r="DH70"/>
  <c r="DD70"/>
  <c r="CZ70"/>
  <c r="CV70"/>
  <c r="CR70"/>
  <c r="CN70"/>
  <c r="CJ70"/>
  <c r="CF70"/>
  <c r="CB70"/>
  <c r="BW70"/>
  <c r="BX70" s="1"/>
  <c r="BV70"/>
  <c r="BU70"/>
  <c r="BT70"/>
  <c r="BP70"/>
  <c r="BL70"/>
  <c r="BH70"/>
  <c r="BD70"/>
  <c r="AZ70"/>
  <c r="AV70"/>
  <c r="AR70"/>
  <c r="AN70"/>
  <c r="AJ70"/>
  <c r="AF70"/>
  <c r="AB70"/>
  <c r="X70"/>
  <c r="T70"/>
  <c r="P70"/>
  <c r="L70"/>
  <c r="G70"/>
  <c r="F70"/>
  <c r="E70"/>
  <c r="GZ69"/>
  <c r="GV69"/>
  <c r="GR69"/>
  <c r="GN69"/>
  <c r="GJ69"/>
  <c r="GF69"/>
  <c r="GB69"/>
  <c r="FX69"/>
  <c r="FS69"/>
  <c r="FT69" s="1"/>
  <c r="FR69"/>
  <c r="FQ69"/>
  <c r="FP69"/>
  <c r="FL69"/>
  <c r="FH69"/>
  <c r="FD69"/>
  <c r="EZ69"/>
  <c r="EV69"/>
  <c r="ER69"/>
  <c r="EN69"/>
  <c r="EI69"/>
  <c r="EJ69" s="1"/>
  <c r="EH69"/>
  <c r="EG69"/>
  <c r="EF69"/>
  <c r="EB69"/>
  <c r="DX69"/>
  <c r="DT69"/>
  <c r="DP69"/>
  <c r="DL69"/>
  <c r="DH69"/>
  <c r="DD69"/>
  <c r="CZ69"/>
  <c r="CV69"/>
  <c r="CR69"/>
  <c r="CN69"/>
  <c r="CJ69"/>
  <c r="CF69"/>
  <c r="CB69"/>
  <c r="BW69"/>
  <c r="BX69" s="1"/>
  <c r="BV69"/>
  <c r="BU69"/>
  <c r="BS69"/>
  <c r="BT69" s="1"/>
  <c r="BR69"/>
  <c r="BQ69"/>
  <c r="BP69"/>
  <c r="BL69"/>
  <c r="BH69"/>
  <c r="BD69"/>
  <c r="AZ69"/>
  <c r="AV69"/>
  <c r="AR69"/>
  <c r="AN69"/>
  <c r="AJ69"/>
  <c r="AF69"/>
  <c r="AB69"/>
  <c r="X69"/>
  <c r="T69"/>
  <c r="O69"/>
  <c r="P69" s="1"/>
  <c r="H69" s="1"/>
  <c r="N69"/>
  <c r="M69"/>
  <c r="L69"/>
  <c r="G69"/>
  <c r="F69"/>
  <c r="E69"/>
  <c r="GZ68"/>
  <c r="GV68"/>
  <c r="GR68"/>
  <c r="GN68"/>
  <c r="GJ68"/>
  <c r="GF68"/>
  <c r="GB68"/>
  <c r="FX68"/>
  <c r="FS68"/>
  <c r="FT68" s="1"/>
  <c r="FR68"/>
  <c r="FQ68"/>
  <c r="FP68"/>
  <c r="FL68"/>
  <c r="FH68"/>
  <c r="FD68"/>
  <c r="EZ68"/>
  <c r="EV68"/>
  <c r="ER68"/>
  <c r="EN68"/>
  <c r="EI68"/>
  <c r="EJ68" s="1"/>
  <c r="EH68"/>
  <c r="EG68"/>
  <c r="EF68"/>
  <c r="EB68"/>
  <c r="DX68"/>
  <c r="DT68"/>
  <c r="DP68"/>
  <c r="DL68"/>
  <c r="DH68"/>
  <c r="DD68"/>
  <c r="CZ68"/>
  <c r="CV68"/>
  <c r="CR68"/>
  <c r="CN68"/>
  <c r="CJ68"/>
  <c r="CF68"/>
  <c r="CB68"/>
  <c r="BW68"/>
  <c r="BV68"/>
  <c r="BX68" s="1"/>
  <c r="BU68"/>
  <c r="BS68"/>
  <c r="BR68"/>
  <c r="BT68" s="1"/>
  <c r="BQ68"/>
  <c r="BP68"/>
  <c r="BL68"/>
  <c r="BH68"/>
  <c r="BD68"/>
  <c r="AZ68"/>
  <c r="AV68"/>
  <c r="AR68"/>
  <c r="AN68"/>
  <c r="AJ68"/>
  <c r="AF68"/>
  <c r="AB68"/>
  <c r="X68"/>
  <c r="T68"/>
  <c r="O68"/>
  <c r="P68" s="1"/>
  <c r="N68"/>
  <c r="M68"/>
  <c r="E68" s="1"/>
  <c r="L68"/>
  <c r="F68"/>
  <c r="GZ67"/>
  <c r="GV67"/>
  <c r="GR67"/>
  <c r="GN67"/>
  <c r="GJ67"/>
  <c r="GF67"/>
  <c r="GB67"/>
  <c r="FX67"/>
  <c r="FS67"/>
  <c r="FR67"/>
  <c r="FQ67"/>
  <c r="FP67"/>
  <c r="FL67"/>
  <c r="FH67"/>
  <c r="FD67"/>
  <c r="EZ67"/>
  <c r="EV67"/>
  <c r="ER67"/>
  <c r="EN67"/>
  <c r="EI67"/>
  <c r="EH67"/>
  <c r="EJ67" s="1"/>
  <c r="EG67"/>
  <c r="EF67"/>
  <c r="EB67"/>
  <c r="DX67"/>
  <c r="DT67"/>
  <c r="DP67"/>
  <c r="DL67"/>
  <c r="DH67"/>
  <c r="DD67"/>
  <c r="CZ67"/>
  <c r="CV67"/>
  <c r="CR67"/>
  <c r="CN67"/>
  <c r="CJ67"/>
  <c r="CF67"/>
  <c r="CB67"/>
  <c r="BW67"/>
  <c r="BV67"/>
  <c r="BU67"/>
  <c r="BS67"/>
  <c r="BT67" s="1"/>
  <c r="BR67"/>
  <c r="BQ67"/>
  <c r="BP67"/>
  <c r="BL67"/>
  <c r="BH67"/>
  <c r="BD67"/>
  <c r="AZ67"/>
  <c r="AV67"/>
  <c r="AR67"/>
  <c r="AN67"/>
  <c r="AJ67"/>
  <c r="AF67"/>
  <c r="AB67"/>
  <c r="X67"/>
  <c r="T67"/>
  <c r="O67"/>
  <c r="N67"/>
  <c r="M67"/>
  <c r="L67"/>
  <c r="F67"/>
  <c r="GZ66"/>
  <c r="GV66"/>
  <c r="GR66"/>
  <c r="GN66"/>
  <c r="GJ66"/>
  <c r="GF66"/>
  <c r="GB66"/>
  <c r="FX66"/>
  <c r="FT66"/>
  <c r="FP66"/>
  <c r="FL66"/>
  <c r="FH66"/>
  <c r="FD66"/>
  <c r="EZ66"/>
  <c r="EV66"/>
  <c r="ER66"/>
  <c r="EN66"/>
  <c r="EJ66"/>
  <c r="EE66"/>
  <c r="EF66" s="1"/>
  <c r="ED66"/>
  <c r="EC66"/>
  <c r="EB66"/>
  <c r="DX66"/>
  <c r="DT66"/>
  <c r="DP66"/>
  <c r="DL66"/>
  <c r="DH66"/>
  <c r="DD66"/>
  <c r="CZ66"/>
  <c r="CV66"/>
  <c r="CR66"/>
  <c r="CN66"/>
  <c r="CI66"/>
  <c r="CJ66" s="1"/>
  <c r="CH66"/>
  <c r="CG66"/>
  <c r="CE66"/>
  <c r="CF66" s="1"/>
  <c r="CD66"/>
  <c r="CC66"/>
  <c r="CB66"/>
  <c r="BX66"/>
  <c r="BT66"/>
  <c r="BO66"/>
  <c r="BP66" s="1"/>
  <c r="BN66"/>
  <c r="BM66"/>
  <c r="BL66"/>
  <c r="BH66"/>
  <c r="BD66"/>
  <c r="AY66"/>
  <c r="AZ66" s="1"/>
  <c r="AX66"/>
  <c r="AW66"/>
  <c r="AV66"/>
  <c r="AR66"/>
  <c r="AN66"/>
  <c r="AI66"/>
  <c r="AJ66" s="1"/>
  <c r="AH66"/>
  <c r="AG66"/>
  <c r="AE66"/>
  <c r="AF66" s="1"/>
  <c r="AD66"/>
  <c r="AC66"/>
  <c r="AA66"/>
  <c r="AB66" s="1"/>
  <c r="Z66"/>
  <c r="Y66"/>
  <c r="W66"/>
  <c r="X66" s="1"/>
  <c r="V66"/>
  <c r="U66"/>
  <c r="T66"/>
  <c r="O66"/>
  <c r="P66" s="1"/>
  <c r="N66"/>
  <c r="M66"/>
  <c r="K66"/>
  <c r="L66" s="1"/>
  <c r="J66"/>
  <c r="I66"/>
  <c r="G66"/>
  <c r="F66"/>
  <c r="E66"/>
  <c r="GZ65"/>
  <c r="GV65"/>
  <c r="GR65"/>
  <c r="GN65"/>
  <c r="GJ65"/>
  <c r="GF65"/>
  <c r="GB65"/>
  <c r="FX65"/>
  <c r="FT65"/>
  <c r="FP65"/>
  <c r="FL65"/>
  <c r="FH65"/>
  <c r="FD65"/>
  <c r="EZ65"/>
  <c r="EV65"/>
  <c r="ER65"/>
  <c r="EN65"/>
  <c r="EJ65"/>
  <c r="EE65"/>
  <c r="EF65" s="1"/>
  <c r="ED65"/>
  <c r="EC65"/>
  <c r="EB65"/>
  <c r="DX65"/>
  <c r="DT65"/>
  <c r="DP65"/>
  <c r="DL65"/>
  <c r="DH65"/>
  <c r="DD65"/>
  <c r="CZ65"/>
  <c r="CV65"/>
  <c r="CR65"/>
  <c r="CN65"/>
  <c r="CI65"/>
  <c r="CH65"/>
  <c r="CJ65" s="1"/>
  <c r="CG65"/>
  <c r="CE65"/>
  <c r="CD65"/>
  <c r="CF65" s="1"/>
  <c r="CC65"/>
  <c r="CB65"/>
  <c r="BX65"/>
  <c r="BT65"/>
  <c r="BO65"/>
  <c r="BP65" s="1"/>
  <c r="BN65"/>
  <c r="BM65"/>
  <c r="BL65"/>
  <c r="BH65"/>
  <c r="BD65"/>
  <c r="AY65"/>
  <c r="AX65"/>
  <c r="AZ65" s="1"/>
  <c r="AW65"/>
  <c r="AV65"/>
  <c r="AR65"/>
  <c r="AN65"/>
  <c r="AI65"/>
  <c r="AJ65" s="1"/>
  <c r="AH65"/>
  <c r="AG65"/>
  <c r="AE65"/>
  <c r="AF65" s="1"/>
  <c r="AD65"/>
  <c r="AC65"/>
  <c r="AA65"/>
  <c r="AB65" s="1"/>
  <c r="Z65"/>
  <c r="Y65"/>
  <c r="W65"/>
  <c r="X65" s="1"/>
  <c r="V65"/>
  <c r="U65"/>
  <c r="T65"/>
  <c r="O65"/>
  <c r="P65" s="1"/>
  <c r="N65"/>
  <c r="M65"/>
  <c r="L65"/>
  <c r="G65"/>
  <c r="F65"/>
  <c r="E65"/>
  <c r="GZ64"/>
  <c r="GV64"/>
  <c r="GR64"/>
  <c r="GN64"/>
  <c r="GJ64"/>
  <c r="GF64"/>
  <c r="GB64"/>
  <c r="FX64"/>
  <c r="FT64"/>
  <c r="FP64"/>
  <c r="FL64"/>
  <c r="FH64"/>
  <c r="FD64"/>
  <c r="EZ64"/>
  <c r="EV64"/>
  <c r="ER64"/>
  <c r="EN64"/>
  <c r="EJ64"/>
  <c r="EE64"/>
  <c r="ED64"/>
  <c r="EC64"/>
  <c r="EB64"/>
  <c r="DX64"/>
  <c r="DT64"/>
  <c r="DP64"/>
  <c r="DL64"/>
  <c r="DH64"/>
  <c r="DD64"/>
  <c r="CZ64"/>
  <c r="CV64"/>
  <c r="CR64"/>
  <c r="CN64"/>
  <c r="CI64"/>
  <c r="CH64"/>
  <c r="CG64"/>
  <c r="CE64"/>
  <c r="CF64" s="1"/>
  <c r="CD64"/>
  <c r="CC64"/>
  <c r="CB64"/>
  <c r="BX64"/>
  <c r="BT64"/>
  <c r="BO64"/>
  <c r="BP64" s="1"/>
  <c r="BN64"/>
  <c r="BM64"/>
  <c r="BL64"/>
  <c r="BH64"/>
  <c r="BD64"/>
  <c r="AY64"/>
  <c r="AZ64" s="1"/>
  <c r="AX64"/>
  <c r="AW64"/>
  <c r="AV64"/>
  <c r="AR64"/>
  <c r="AN64"/>
  <c r="AI64"/>
  <c r="AJ64" s="1"/>
  <c r="AH64"/>
  <c r="AG64"/>
  <c r="AE64"/>
  <c r="AD64"/>
  <c r="AC64"/>
  <c r="AA64"/>
  <c r="AB64" s="1"/>
  <c r="Z64"/>
  <c r="Y64"/>
  <c r="W64"/>
  <c r="V64"/>
  <c r="U64"/>
  <c r="T64"/>
  <c r="O64"/>
  <c r="N64"/>
  <c r="M64"/>
  <c r="K64"/>
  <c r="L64" s="1"/>
  <c r="J64"/>
  <c r="I64"/>
  <c r="G64"/>
  <c r="F64"/>
  <c r="E64"/>
  <c r="GZ63"/>
  <c r="GV63"/>
  <c r="GQ63"/>
  <c r="GR63" s="1"/>
  <c r="GP63"/>
  <c r="GO63"/>
  <c r="GN63"/>
  <c r="GJ63"/>
  <c r="GF63"/>
  <c r="GB63"/>
  <c r="FX63"/>
  <c r="FS63"/>
  <c r="FT63" s="1"/>
  <c r="FR63"/>
  <c r="FQ63"/>
  <c r="FO63"/>
  <c r="FP63" s="1"/>
  <c r="FN63"/>
  <c r="FM63"/>
  <c r="FL63"/>
  <c r="FG63"/>
  <c r="FF63"/>
  <c r="FH63" s="1"/>
  <c r="FE63"/>
  <c r="FC63"/>
  <c r="FB63"/>
  <c r="FD63" s="1"/>
  <c r="FA63"/>
  <c r="EY63"/>
  <c r="EZ63" s="1"/>
  <c r="EX63"/>
  <c r="EW63"/>
  <c r="EU63"/>
  <c r="EV63" s="1"/>
  <c r="ET63"/>
  <c r="ES63"/>
  <c r="EQ63"/>
  <c r="ER63" s="1"/>
  <c r="EP63"/>
  <c r="EO63"/>
  <c r="EN63"/>
  <c r="EI63"/>
  <c r="EH63"/>
  <c r="EJ63" s="1"/>
  <c r="EG63"/>
  <c r="EF63"/>
  <c r="EB63"/>
  <c r="DX63"/>
  <c r="DS63"/>
  <c r="DT63" s="1"/>
  <c r="DR63"/>
  <c r="DQ63"/>
  <c r="DO63"/>
  <c r="DP63" s="1"/>
  <c r="DN63"/>
  <c r="DM63"/>
  <c r="DL63"/>
  <c r="DH63"/>
  <c r="DC63"/>
  <c r="DD63" s="1"/>
  <c r="DB63"/>
  <c r="DA63"/>
  <c r="CY63"/>
  <c r="CZ63" s="1"/>
  <c r="CX63"/>
  <c r="CW63"/>
  <c r="CV63"/>
  <c r="CQ63"/>
  <c r="CR63" s="1"/>
  <c r="CP63"/>
  <c r="CO63"/>
  <c r="CN63"/>
  <c r="CJ63"/>
  <c r="CF63"/>
  <c r="CA63"/>
  <c r="BZ63"/>
  <c r="CB63" s="1"/>
  <c r="BY63"/>
  <c r="BW63"/>
  <c r="BX63" s="1"/>
  <c r="BV63"/>
  <c r="BU63"/>
  <c r="BS63"/>
  <c r="BT63" s="1"/>
  <c r="BR63"/>
  <c r="BQ63"/>
  <c r="BO63"/>
  <c r="BP63" s="1"/>
  <c r="BN63"/>
  <c r="BM63"/>
  <c r="BK63"/>
  <c r="BL63" s="1"/>
  <c r="BJ63"/>
  <c r="BI63"/>
  <c r="BH63"/>
  <c r="BD63"/>
  <c r="AZ63"/>
  <c r="AV63"/>
  <c r="AQ63"/>
  <c r="AR63" s="1"/>
  <c r="AP63"/>
  <c r="AO63"/>
  <c r="AN63"/>
  <c r="AJ63"/>
  <c r="AF63"/>
  <c r="AB63"/>
  <c r="W63"/>
  <c r="X63" s="1"/>
  <c r="V63"/>
  <c r="U63"/>
  <c r="S63"/>
  <c r="T63" s="1"/>
  <c r="R63"/>
  <c r="Q63"/>
  <c r="O63"/>
  <c r="P63" s="1"/>
  <c r="H63" s="1"/>
  <c r="N63"/>
  <c r="M63"/>
  <c r="L63"/>
  <c r="G63"/>
  <c r="F63"/>
  <c r="E63"/>
  <c r="GZ62"/>
  <c r="GV62"/>
  <c r="GQ62"/>
  <c r="GR62" s="1"/>
  <c r="GP62"/>
  <c r="GO62"/>
  <c r="GN62"/>
  <c r="GJ62"/>
  <c r="GF62"/>
  <c r="GB62"/>
  <c r="FX62"/>
  <c r="FS62"/>
  <c r="FT62" s="1"/>
  <c r="FR62"/>
  <c r="FQ62"/>
  <c r="FP62"/>
  <c r="FL62"/>
  <c r="FG62"/>
  <c r="FH62" s="1"/>
  <c r="FF62"/>
  <c r="FE62"/>
  <c r="FC62"/>
  <c r="FD62" s="1"/>
  <c r="FB62"/>
  <c r="FA62"/>
  <c r="EY62"/>
  <c r="EZ62" s="1"/>
  <c r="EX62"/>
  <c r="EW62"/>
  <c r="EU62"/>
  <c r="EV62" s="1"/>
  <c r="ET62"/>
  <c r="ES62"/>
  <c r="EQ62"/>
  <c r="ER62" s="1"/>
  <c r="EP62"/>
  <c r="EO62"/>
  <c r="EN62"/>
  <c r="EI62"/>
  <c r="EH62"/>
  <c r="EJ62" s="1"/>
  <c r="EG62"/>
  <c r="EF62"/>
  <c r="EB62"/>
  <c r="DX62"/>
  <c r="DS62"/>
  <c r="DT62" s="1"/>
  <c r="DR62"/>
  <c r="DQ62"/>
  <c r="DO62"/>
  <c r="DP62" s="1"/>
  <c r="DN62"/>
  <c r="DM62"/>
  <c r="DL62"/>
  <c r="DH62"/>
  <c r="DC62"/>
  <c r="DD62" s="1"/>
  <c r="DB62"/>
  <c r="DA62"/>
  <c r="CY62"/>
  <c r="CZ62" s="1"/>
  <c r="CX62"/>
  <c r="CW62"/>
  <c r="CV62"/>
  <c r="CQ62"/>
  <c r="CR62" s="1"/>
  <c r="CP62"/>
  <c r="CO62"/>
  <c r="CN62"/>
  <c r="CJ62"/>
  <c r="CF62"/>
  <c r="CA62"/>
  <c r="BZ62"/>
  <c r="CB62" s="1"/>
  <c r="BY62"/>
  <c r="BW62"/>
  <c r="BX62" s="1"/>
  <c r="BV62"/>
  <c r="BU62"/>
  <c r="BS62"/>
  <c r="BT62" s="1"/>
  <c r="BR62"/>
  <c r="BQ62"/>
  <c r="BO62"/>
  <c r="BP62" s="1"/>
  <c r="BN62"/>
  <c r="BM62"/>
  <c r="BK62"/>
  <c r="BL62" s="1"/>
  <c r="BJ62"/>
  <c r="BI62"/>
  <c r="BH62"/>
  <c r="BD62"/>
  <c r="AZ62"/>
  <c r="AV62"/>
  <c r="AQ62"/>
  <c r="AR62" s="1"/>
  <c r="AP62"/>
  <c r="AO62"/>
  <c r="AN62"/>
  <c r="AJ62"/>
  <c r="AF62"/>
  <c r="AB62"/>
  <c r="W62"/>
  <c r="X62" s="1"/>
  <c r="V62"/>
  <c r="U62"/>
  <c r="S62"/>
  <c r="T62" s="1"/>
  <c r="R62"/>
  <c r="Q62"/>
  <c r="O62"/>
  <c r="P62" s="1"/>
  <c r="N62"/>
  <c r="M62"/>
  <c r="L62"/>
  <c r="G62"/>
  <c r="F62"/>
  <c r="E62"/>
  <c r="GZ61"/>
  <c r="GV61"/>
  <c r="GQ61"/>
  <c r="GP61"/>
  <c r="GO61"/>
  <c r="GN61"/>
  <c r="GJ61"/>
  <c r="GF61"/>
  <c r="GB61"/>
  <c r="FX61"/>
  <c r="FS61"/>
  <c r="FR61"/>
  <c r="FT61" s="1"/>
  <c r="FQ61"/>
  <c r="FO61"/>
  <c r="FN61"/>
  <c r="FM61"/>
  <c r="FL61"/>
  <c r="FG61"/>
  <c r="FH61" s="1"/>
  <c r="FF61"/>
  <c r="FE61"/>
  <c r="FC61"/>
  <c r="FB61"/>
  <c r="FA61"/>
  <c r="EY61"/>
  <c r="EZ61" s="1"/>
  <c r="EX61"/>
  <c r="EW61"/>
  <c r="EU61"/>
  <c r="ET61"/>
  <c r="ES61"/>
  <c r="EQ61"/>
  <c r="ER61" s="1"/>
  <c r="EP61"/>
  <c r="EO61"/>
  <c r="EN61"/>
  <c r="EI61"/>
  <c r="EH61"/>
  <c r="EG61"/>
  <c r="EF61"/>
  <c r="EB61"/>
  <c r="DX61"/>
  <c r="DS61"/>
  <c r="DT61" s="1"/>
  <c r="DR61"/>
  <c r="DQ61"/>
  <c r="DO61"/>
  <c r="DN61"/>
  <c r="DM61"/>
  <c r="DL61"/>
  <c r="DH61"/>
  <c r="DC61"/>
  <c r="DD61" s="1"/>
  <c r="DB61"/>
  <c r="DA61"/>
  <c r="CY61"/>
  <c r="CX61"/>
  <c r="CW61"/>
  <c r="CV61"/>
  <c r="CQ61"/>
  <c r="CR61" s="1"/>
  <c r="CP61"/>
  <c r="CO61"/>
  <c r="CN61"/>
  <c r="CJ61"/>
  <c r="CF61"/>
  <c r="CA61"/>
  <c r="CB61" s="1"/>
  <c r="BZ61"/>
  <c r="BY61"/>
  <c r="BW61"/>
  <c r="BV61"/>
  <c r="BU61"/>
  <c r="BS61"/>
  <c r="BR61"/>
  <c r="BQ61"/>
  <c r="BO61"/>
  <c r="BN61"/>
  <c r="BP61" s="1"/>
  <c r="BM61"/>
  <c r="BK61"/>
  <c r="BJ61"/>
  <c r="BI61"/>
  <c r="BH61"/>
  <c r="BD61"/>
  <c r="AZ61"/>
  <c r="AV61"/>
  <c r="AQ61"/>
  <c r="AP61"/>
  <c r="AR61" s="1"/>
  <c r="AO61"/>
  <c r="AN61"/>
  <c r="AJ61"/>
  <c r="AF61"/>
  <c r="AB61"/>
  <c r="W61"/>
  <c r="V61"/>
  <c r="U61"/>
  <c r="S61"/>
  <c r="R61"/>
  <c r="T61" s="1"/>
  <c r="Q61"/>
  <c r="O61"/>
  <c r="N61"/>
  <c r="M61"/>
  <c r="L61"/>
  <c r="G61"/>
  <c r="F61"/>
  <c r="E61"/>
  <c r="GZ60"/>
  <c r="GV60"/>
  <c r="GQ60"/>
  <c r="GR60" s="1"/>
  <c r="GR57" s="1"/>
  <c r="GP60"/>
  <c r="GO60"/>
  <c r="GN60"/>
  <c r="GJ60"/>
  <c r="GF60"/>
  <c r="GA60"/>
  <c r="GB60" s="1"/>
  <c r="GB57" s="1"/>
  <c r="FZ60"/>
  <c r="FY60"/>
  <c r="FX60"/>
  <c r="FS60"/>
  <c r="FT60" s="1"/>
  <c r="FT57" s="1"/>
  <c r="FR60"/>
  <c r="FQ60"/>
  <c r="FO60"/>
  <c r="FP60" s="1"/>
  <c r="FN60"/>
  <c r="FM60"/>
  <c r="FK60"/>
  <c r="FL60" s="1"/>
  <c r="FL57" s="1"/>
  <c r="FJ60"/>
  <c r="FI60"/>
  <c r="FG60"/>
  <c r="FH60" s="1"/>
  <c r="FH57" s="1"/>
  <c r="FF60"/>
  <c r="FE60"/>
  <c r="FD60"/>
  <c r="EY60"/>
  <c r="EZ60" s="1"/>
  <c r="EZ57" s="1"/>
  <c r="EX60"/>
  <c r="EW60"/>
  <c r="EU60"/>
  <c r="EV60" s="1"/>
  <c r="EV57" s="1"/>
  <c r="ET60"/>
  <c r="ES60"/>
  <c r="ER60"/>
  <c r="EM60"/>
  <c r="EN60" s="1"/>
  <c r="EN57" s="1"/>
  <c r="EL60"/>
  <c r="EK60"/>
  <c r="EI60"/>
  <c r="EJ60" s="1"/>
  <c r="EH60"/>
  <c r="EG60"/>
  <c r="EF60"/>
  <c r="EB60"/>
  <c r="DW60"/>
  <c r="DX60" s="1"/>
  <c r="DX57" s="1"/>
  <c r="DV60"/>
  <c r="DU60"/>
  <c r="DT60"/>
  <c r="DO60"/>
  <c r="DN60"/>
  <c r="DP60" s="1"/>
  <c r="DP57" s="1"/>
  <c r="DM60"/>
  <c r="DL60"/>
  <c r="DH60"/>
  <c r="DC60"/>
  <c r="DD60" s="1"/>
  <c r="DD57" s="1"/>
  <c r="DB60"/>
  <c r="DA60"/>
  <c r="CY60"/>
  <c r="CZ60" s="1"/>
  <c r="CZ57" s="1"/>
  <c r="CX60"/>
  <c r="CW60"/>
  <c r="CU60"/>
  <c r="CV60" s="1"/>
  <c r="CV57" s="1"/>
  <c r="CT60"/>
  <c r="CS60"/>
  <c r="CR60"/>
  <c r="CN60"/>
  <c r="CJ60"/>
  <c r="CF60"/>
  <c r="CA60"/>
  <c r="CB60" s="1"/>
  <c r="BZ60"/>
  <c r="BY60"/>
  <c r="BW60"/>
  <c r="BX60" s="1"/>
  <c r="BX57" s="1"/>
  <c r="BV60"/>
  <c r="BU60"/>
  <c r="BS60"/>
  <c r="BT60" s="1"/>
  <c r="BT57" s="1"/>
  <c r="BR60"/>
  <c r="BQ60"/>
  <c r="BO60"/>
  <c r="BP60" s="1"/>
  <c r="BP57" s="1"/>
  <c r="BN60"/>
  <c r="BM60"/>
  <c r="BK60"/>
  <c r="BL60" s="1"/>
  <c r="BL57" s="1"/>
  <c r="BJ60"/>
  <c r="BI60"/>
  <c r="BH60"/>
  <c r="BD60"/>
  <c r="AZ60"/>
  <c r="AU60"/>
  <c r="AV60" s="1"/>
  <c r="AV57" s="1"/>
  <c r="AT60"/>
  <c r="AS60"/>
  <c r="AQ60"/>
  <c r="AR60" s="1"/>
  <c r="AR57" s="1"/>
  <c r="AP60"/>
  <c r="AO60"/>
  <c r="AM60"/>
  <c r="AN60" s="1"/>
  <c r="AN57" s="1"/>
  <c r="AL60"/>
  <c r="AK60"/>
  <c r="AJ60"/>
  <c r="AE60"/>
  <c r="AF60" s="1"/>
  <c r="AF57" s="1"/>
  <c r="AD60"/>
  <c r="AC60"/>
  <c r="AB60"/>
  <c r="W60"/>
  <c r="X60" s="1"/>
  <c r="X57" s="1"/>
  <c r="V60"/>
  <c r="U60"/>
  <c r="S60"/>
  <c r="T60" s="1"/>
  <c r="T57" s="1"/>
  <c r="R60"/>
  <c r="Q60"/>
  <c r="O60"/>
  <c r="P60" s="1"/>
  <c r="N60"/>
  <c r="M60"/>
  <c r="L60"/>
  <c r="G60"/>
  <c r="F60"/>
  <c r="E60"/>
  <c r="GZ59"/>
  <c r="GV59"/>
  <c r="GQ59"/>
  <c r="GR59" s="1"/>
  <c r="GP59"/>
  <c r="GO59"/>
  <c r="GN59"/>
  <c r="GJ59"/>
  <c r="GE59"/>
  <c r="GF59" s="1"/>
  <c r="GF56" s="1"/>
  <c r="GD59"/>
  <c r="GC59"/>
  <c r="GA59"/>
  <c r="GB59" s="1"/>
  <c r="FZ59"/>
  <c r="FY59"/>
  <c r="FX59"/>
  <c r="FS59"/>
  <c r="FT59" s="1"/>
  <c r="FR59"/>
  <c r="FQ59"/>
  <c r="FP59"/>
  <c r="FK59"/>
  <c r="FL59" s="1"/>
  <c r="FJ59"/>
  <c r="FI59"/>
  <c r="FG59"/>
  <c r="FH59" s="1"/>
  <c r="FF59"/>
  <c r="FE59"/>
  <c r="FD59"/>
  <c r="EY59"/>
  <c r="EZ59" s="1"/>
  <c r="EX59"/>
  <c r="EW59"/>
  <c r="EU59"/>
  <c r="EV59" s="1"/>
  <c r="ET59"/>
  <c r="ES59"/>
  <c r="ER59"/>
  <c r="EM59"/>
  <c r="EL59"/>
  <c r="EN59" s="1"/>
  <c r="EK59"/>
  <c r="EI59"/>
  <c r="EJ59" s="1"/>
  <c r="EH59"/>
  <c r="EG59"/>
  <c r="EF59"/>
  <c r="EB59"/>
  <c r="DW59"/>
  <c r="DX59" s="1"/>
  <c r="DV59"/>
  <c r="DU59"/>
  <c r="DT59"/>
  <c r="DO59"/>
  <c r="DN59"/>
  <c r="DP59" s="1"/>
  <c r="DM59"/>
  <c r="DL59"/>
  <c r="DH59"/>
  <c r="DC59"/>
  <c r="DD59" s="1"/>
  <c r="DB59"/>
  <c r="DA59"/>
  <c r="CY59"/>
  <c r="CZ59" s="1"/>
  <c r="CX59"/>
  <c r="CW59"/>
  <c r="CU59"/>
  <c r="CV59" s="1"/>
  <c r="CT59"/>
  <c r="CS59"/>
  <c r="CR59"/>
  <c r="CN59"/>
  <c r="CJ59"/>
  <c r="CF59"/>
  <c r="CA59"/>
  <c r="CB59" s="1"/>
  <c r="BZ59"/>
  <c r="BY59"/>
  <c r="BW59"/>
  <c r="BX59" s="1"/>
  <c r="BV59"/>
  <c r="BU59"/>
  <c r="BS59"/>
  <c r="BT59" s="1"/>
  <c r="BR59"/>
  <c r="BQ59"/>
  <c r="BO59"/>
  <c r="BP59" s="1"/>
  <c r="BN59"/>
  <c r="BM59"/>
  <c r="BK59"/>
  <c r="BL59" s="1"/>
  <c r="BJ59"/>
  <c r="BI59"/>
  <c r="BH59"/>
  <c r="BD59"/>
  <c r="AZ59"/>
  <c r="AU59"/>
  <c r="AT59"/>
  <c r="AV59" s="1"/>
  <c r="AS59"/>
  <c r="AQ59"/>
  <c r="AR59" s="1"/>
  <c r="AP59"/>
  <c r="AO59"/>
  <c r="AM59"/>
  <c r="AN59" s="1"/>
  <c r="AL59"/>
  <c r="AK59"/>
  <c r="AJ59"/>
  <c r="AE59"/>
  <c r="AF59" s="1"/>
  <c r="AD59"/>
  <c r="AC59"/>
  <c r="AB59"/>
  <c r="W59"/>
  <c r="X59" s="1"/>
  <c r="V59"/>
  <c r="U59"/>
  <c r="S59"/>
  <c r="T59" s="1"/>
  <c r="R59"/>
  <c r="Q59"/>
  <c r="O59"/>
  <c r="P59" s="1"/>
  <c r="N59"/>
  <c r="M59"/>
  <c r="L59"/>
  <c r="H59" s="1"/>
  <c r="G59"/>
  <c r="F59"/>
  <c r="E59"/>
  <c r="GZ58"/>
  <c r="GV58"/>
  <c r="GQ58"/>
  <c r="GP58"/>
  <c r="GO58"/>
  <c r="GM58"/>
  <c r="GN58" s="1"/>
  <c r="GL58"/>
  <c r="GK58"/>
  <c r="GI58"/>
  <c r="GH58"/>
  <c r="GG58"/>
  <c r="GE58"/>
  <c r="GF58" s="1"/>
  <c r="GD58"/>
  <c r="GC58"/>
  <c r="GA58"/>
  <c r="FZ58"/>
  <c r="FY58"/>
  <c r="FX58"/>
  <c r="FS58"/>
  <c r="FR58"/>
  <c r="FT58" s="1"/>
  <c r="FQ58"/>
  <c r="FO58"/>
  <c r="FN58"/>
  <c r="FM58"/>
  <c r="FK58"/>
  <c r="FJ58"/>
  <c r="FL58" s="1"/>
  <c r="FI58"/>
  <c r="FG58"/>
  <c r="FF58"/>
  <c r="FE58"/>
  <c r="FD58"/>
  <c r="EY58"/>
  <c r="EZ58" s="1"/>
  <c r="EX58"/>
  <c r="EW58"/>
  <c r="EU58"/>
  <c r="ET58"/>
  <c r="ES58"/>
  <c r="ER58"/>
  <c r="EM58"/>
  <c r="EL58"/>
  <c r="EN58" s="1"/>
  <c r="EK58"/>
  <c r="EI58"/>
  <c r="EH58"/>
  <c r="EG58"/>
  <c r="EF58"/>
  <c r="EB58"/>
  <c r="DW58"/>
  <c r="DV58"/>
  <c r="DX58" s="1"/>
  <c r="DU58"/>
  <c r="DT58"/>
  <c r="DO58"/>
  <c r="DN58"/>
  <c r="DM58"/>
  <c r="DL58"/>
  <c r="DH58"/>
  <c r="DC58"/>
  <c r="DD58" s="1"/>
  <c r="DB58"/>
  <c r="DA58"/>
  <c r="CY58"/>
  <c r="CX58"/>
  <c r="CW58"/>
  <c r="CU58"/>
  <c r="CV58" s="1"/>
  <c r="CT58"/>
  <c r="CS58"/>
  <c r="CR58"/>
  <c r="CN58"/>
  <c r="CJ58"/>
  <c r="CF58"/>
  <c r="CA58"/>
  <c r="BZ58"/>
  <c r="BY58"/>
  <c r="BW58"/>
  <c r="BX58" s="1"/>
  <c r="BV58"/>
  <c r="BU58"/>
  <c r="BS58"/>
  <c r="BR58"/>
  <c r="BQ58"/>
  <c r="BO58"/>
  <c r="BP58" s="1"/>
  <c r="BN58"/>
  <c r="BM58"/>
  <c r="BK58"/>
  <c r="BJ58"/>
  <c r="BI58"/>
  <c r="BH58"/>
  <c r="BD58"/>
  <c r="AZ58"/>
  <c r="AU58"/>
  <c r="AT58"/>
  <c r="AV58" s="1"/>
  <c r="AS58"/>
  <c r="AQ58"/>
  <c r="AP58"/>
  <c r="AO58"/>
  <c r="AM58"/>
  <c r="AL58"/>
  <c r="AN58" s="1"/>
  <c r="AK58"/>
  <c r="AJ58"/>
  <c r="AE58"/>
  <c r="AD58"/>
  <c r="AC58"/>
  <c r="AB58"/>
  <c r="W58"/>
  <c r="V58"/>
  <c r="X58" s="1"/>
  <c r="U58"/>
  <c r="S58"/>
  <c r="R58"/>
  <c r="Q58"/>
  <c r="O58"/>
  <c r="N58"/>
  <c r="P58" s="1"/>
  <c r="M58"/>
  <c r="L58"/>
  <c r="G58"/>
  <c r="F58"/>
  <c r="E58"/>
  <c r="GY57"/>
  <c r="GZ57" s="1"/>
  <c r="GX57"/>
  <c r="GW57"/>
  <c r="GU57"/>
  <c r="GT57"/>
  <c r="GS57"/>
  <c r="GQ57"/>
  <c r="GP57"/>
  <c r="GO57"/>
  <c r="GN57"/>
  <c r="GM57"/>
  <c r="GL57"/>
  <c r="GK57"/>
  <c r="GJ57"/>
  <c r="GI57"/>
  <c r="GH57"/>
  <c r="GG57"/>
  <c r="GE57"/>
  <c r="GD57"/>
  <c r="GC57"/>
  <c r="GA57"/>
  <c r="FZ57"/>
  <c r="FY57"/>
  <c r="FW57"/>
  <c r="FV57"/>
  <c r="FU57"/>
  <c r="FS57"/>
  <c r="FR57"/>
  <c r="FQ57"/>
  <c r="FO57"/>
  <c r="FN57"/>
  <c r="FM57"/>
  <c r="FK57"/>
  <c r="FJ57"/>
  <c r="FI57"/>
  <c r="FG57"/>
  <c r="FF57"/>
  <c r="FE57"/>
  <c r="FC57"/>
  <c r="FB57"/>
  <c r="FA57"/>
  <c r="EY57"/>
  <c r="EX57"/>
  <c r="EW57"/>
  <c r="EU57"/>
  <c r="ET57"/>
  <c r="ES57"/>
  <c r="EQ57"/>
  <c r="EP57"/>
  <c r="EO57"/>
  <c r="EM57"/>
  <c r="EL57"/>
  <c r="EK57"/>
  <c r="EI57"/>
  <c r="EH57"/>
  <c r="EG57"/>
  <c r="EE57"/>
  <c r="EF57" s="1"/>
  <c r="ED57"/>
  <c r="EC57"/>
  <c r="EA57"/>
  <c r="DZ57"/>
  <c r="DY57"/>
  <c r="DW57"/>
  <c r="DV57"/>
  <c r="DU57"/>
  <c r="DS57"/>
  <c r="DR57"/>
  <c r="DQ57"/>
  <c r="DO57"/>
  <c r="DN57"/>
  <c r="DM57"/>
  <c r="DK57"/>
  <c r="DJ57"/>
  <c r="DI57"/>
  <c r="DG57"/>
  <c r="DF57"/>
  <c r="DE57"/>
  <c r="DC57"/>
  <c r="DB57"/>
  <c r="DA57"/>
  <c r="CY57"/>
  <c r="CX57"/>
  <c r="CW57"/>
  <c r="CU57"/>
  <c r="CT57"/>
  <c r="CS57"/>
  <c r="CQ57"/>
  <c r="CP57"/>
  <c r="CO57"/>
  <c r="CM57"/>
  <c r="CL57"/>
  <c r="CK57"/>
  <c r="CI57"/>
  <c r="CH57"/>
  <c r="CG57"/>
  <c r="CE57"/>
  <c r="CD57"/>
  <c r="CC57"/>
  <c r="CA57"/>
  <c r="CB57" s="1"/>
  <c r="BZ57"/>
  <c r="BY57"/>
  <c r="BW57"/>
  <c r="BV57"/>
  <c r="BU57"/>
  <c r="BS57"/>
  <c r="BR57"/>
  <c r="BQ57"/>
  <c r="BO57"/>
  <c r="BN57"/>
  <c r="BM57"/>
  <c r="BK57"/>
  <c r="BJ57"/>
  <c r="BI57"/>
  <c r="BG57"/>
  <c r="BF57"/>
  <c r="BE57"/>
  <c r="BC57"/>
  <c r="BB57"/>
  <c r="BA57"/>
  <c r="AY57"/>
  <c r="AX57"/>
  <c r="AW57"/>
  <c r="AU57"/>
  <c r="AT57"/>
  <c r="AS57"/>
  <c r="AQ57"/>
  <c r="AP57"/>
  <c r="AO57"/>
  <c r="AM57"/>
  <c r="AL57"/>
  <c r="AK57"/>
  <c r="AI57"/>
  <c r="AH57"/>
  <c r="AG57"/>
  <c r="AE57"/>
  <c r="AD57"/>
  <c r="AC57"/>
  <c r="AA57"/>
  <c r="Z57"/>
  <c r="Y57"/>
  <c r="W57"/>
  <c r="V57"/>
  <c r="U57"/>
  <c r="S57"/>
  <c r="R57"/>
  <c r="Q57"/>
  <c r="O57"/>
  <c r="N57"/>
  <c r="M57"/>
  <c r="K57"/>
  <c r="J57"/>
  <c r="I57"/>
  <c r="GY56"/>
  <c r="GZ56" s="1"/>
  <c r="GX56"/>
  <c r="GW56"/>
  <c r="GU56"/>
  <c r="GT56"/>
  <c r="GS56"/>
  <c r="GQ56"/>
  <c r="GR56" s="1"/>
  <c r="GP56"/>
  <c r="GO56"/>
  <c r="GM56"/>
  <c r="GL56"/>
  <c r="GK56"/>
  <c r="GJ56"/>
  <c r="GI56"/>
  <c r="GH56"/>
  <c r="GG56"/>
  <c r="GE56"/>
  <c r="GD56"/>
  <c r="GC56"/>
  <c r="GA56"/>
  <c r="FZ56"/>
  <c r="FY56"/>
  <c r="FW56"/>
  <c r="FX56" s="1"/>
  <c r="FV56"/>
  <c r="FU56"/>
  <c r="FS56"/>
  <c r="FR56"/>
  <c r="FQ56"/>
  <c r="FO56"/>
  <c r="FN56"/>
  <c r="FM56"/>
  <c r="FK56"/>
  <c r="FJ56"/>
  <c r="FI56"/>
  <c r="FG56"/>
  <c r="FH56" s="1"/>
  <c r="FF56"/>
  <c r="FE56"/>
  <c r="FC56"/>
  <c r="FB56"/>
  <c r="FA56"/>
  <c r="EY56"/>
  <c r="EZ56" s="1"/>
  <c r="EX56"/>
  <c r="EW56"/>
  <c r="EU56"/>
  <c r="ET56"/>
  <c r="ES56"/>
  <c r="EQ56"/>
  <c r="ER56" s="1"/>
  <c r="EP56"/>
  <c r="EO56"/>
  <c r="EM56"/>
  <c r="EL56"/>
  <c r="EK56"/>
  <c r="EI56"/>
  <c r="EH56"/>
  <c r="EG56"/>
  <c r="EE56"/>
  <c r="ED56"/>
  <c r="EC56"/>
  <c r="EA56"/>
  <c r="DZ56"/>
  <c r="DY56"/>
  <c r="DW56"/>
  <c r="DV56"/>
  <c r="DU56"/>
  <c r="DS56"/>
  <c r="DR56"/>
  <c r="DQ56"/>
  <c r="DO56"/>
  <c r="DN56"/>
  <c r="DM56"/>
  <c r="DK56"/>
  <c r="DJ56"/>
  <c r="DI56"/>
  <c r="DG56"/>
  <c r="DF56"/>
  <c r="DE56"/>
  <c r="DC56"/>
  <c r="DB56"/>
  <c r="DA56"/>
  <c r="CY56"/>
  <c r="CX56"/>
  <c r="CW56"/>
  <c r="CU56"/>
  <c r="CT56"/>
  <c r="CS56"/>
  <c r="CQ56"/>
  <c r="CR56" s="1"/>
  <c r="CP56"/>
  <c r="CO56"/>
  <c r="CM56"/>
  <c r="CL56"/>
  <c r="CK56"/>
  <c r="CI56"/>
  <c r="CJ56" s="1"/>
  <c r="CH56"/>
  <c r="CG56"/>
  <c r="CE56"/>
  <c r="CD56"/>
  <c r="CC56"/>
  <c r="CA56"/>
  <c r="CB56" s="1"/>
  <c r="BZ56"/>
  <c r="BY56"/>
  <c r="BW56"/>
  <c r="BV56"/>
  <c r="BU56"/>
  <c r="BS56"/>
  <c r="BT56" s="1"/>
  <c r="BR56"/>
  <c r="BQ56"/>
  <c r="BO56"/>
  <c r="BN56"/>
  <c r="BM56"/>
  <c r="BK56"/>
  <c r="BL56" s="1"/>
  <c r="BJ56"/>
  <c r="BI56"/>
  <c r="BG56"/>
  <c r="BF56"/>
  <c r="BE56"/>
  <c r="BC56"/>
  <c r="BD56" s="1"/>
  <c r="BB56"/>
  <c r="BA56"/>
  <c r="BA55" s="1"/>
  <c r="AY56"/>
  <c r="AX56"/>
  <c r="AW56"/>
  <c r="AW55" s="1"/>
  <c r="AU56"/>
  <c r="AV56" s="1"/>
  <c r="AT56"/>
  <c r="AS56"/>
  <c r="AS55" s="1"/>
  <c r="AQ56"/>
  <c r="AP56"/>
  <c r="AO56"/>
  <c r="AO55" s="1"/>
  <c r="AM56"/>
  <c r="AN56" s="1"/>
  <c r="AL56"/>
  <c r="AK56"/>
  <c r="AK55" s="1"/>
  <c r="AI56"/>
  <c r="AH56"/>
  <c r="AG56"/>
  <c r="AG55" s="1"/>
  <c r="AE56"/>
  <c r="AF56" s="1"/>
  <c r="AD56"/>
  <c r="AC56"/>
  <c r="AC55" s="1"/>
  <c r="AA56"/>
  <c r="Z56"/>
  <c r="Y56"/>
  <c r="Y55" s="1"/>
  <c r="W56"/>
  <c r="X56" s="1"/>
  <c r="V56"/>
  <c r="U56"/>
  <c r="U55" s="1"/>
  <c r="S56"/>
  <c r="R56"/>
  <c r="Q56"/>
  <c r="Q55" s="1"/>
  <c r="O56"/>
  <c r="P56" s="1"/>
  <c r="N56"/>
  <c r="M56"/>
  <c r="M55" s="1"/>
  <c r="K56"/>
  <c r="K55" s="1"/>
  <c r="J56"/>
  <c r="I56"/>
  <c r="I55" s="1"/>
  <c r="GY55"/>
  <c r="GZ55" s="1"/>
  <c r="GX55"/>
  <c r="GW55"/>
  <c r="GU55"/>
  <c r="GT55"/>
  <c r="GS55"/>
  <c r="GQ55"/>
  <c r="GR55" s="1"/>
  <c r="GP55"/>
  <c r="GO55"/>
  <c r="GM55"/>
  <c r="GL55"/>
  <c r="GK55"/>
  <c r="GI55"/>
  <c r="GJ55" s="1"/>
  <c r="GH55"/>
  <c r="GG55"/>
  <c r="GE55"/>
  <c r="GD55"/>
  <c r="GC55"/>
  <c r="GB55"/>
  <c r="FW55"/>
  <c r="FV55"/>
  <c r="FX55" s="1"/>
  <c r="FU55"/>
  <c r="FS55"/>
  <c r="FR55"/>
  <c r="FQ55"/>
  <c r="FO55"/>
  <c r="FN55"/>
  <c r="FM55"/>
  <c r="FK55"/>
  <c r="FJ55"/>
  <c r="FL55" s="1"/>
  <c r="FI55"/>
  <c r="FG55"/>
  <c r="FF55"/>
  <c r="FH55" s="1"/>
  <c r="FE55"/>
  <c r="FC55"/>
  <c r="FB55"/>
  <c r="FD55" s="1"/>
  <c r="FA55"/>
  <c r="EY55"/>
  <c r="EX55"/>
  <c r="EZ55" s="1"/>
  <c r="EW55"/>
  <c r="EU55"/>
  <c r="ET55"/>
  <c r="ES55"/>
  <c r="EQ55"/>
  <c r="EP55"/>
  <c r="ER55" s="1"/>
  <c r="EO55"/>
  <c r="EM55"/>
  <c r="EL55"/>
  <c r="EK55"/>
  <c r="EI55"/>
  <c r="EH55"/>
  <c r="EJ55" s="1"/>
  <c r="EG55"/>
  <c r="EE55"/>
  <c r="ED55"/>
  <c r="EF55" s="1"/>
  <c r="EC55"/>
  <c r="EA55"/>
  <c r="DZ55"/>
  <c r="EB55" s="1"/>
  <c r="DY55"/>
  <c r="DW55"/>
  <c r="DV55"/>
  <c r="DX55" s="1"/>
  <c r="DU55"/>
  <c r="DS55"/>
  <c r="DR55"/>
  <c r="DT55" s="1"/>
  <c r="DQ55"/>
  <c r="DO55"/>
  <c r="DN55"/>
  <c r="DP55" s="1"/>
  <c r="DM55"/>
  <c r="DK55"/>
  <c r="DJ55"/>
  <c r="DL55" s="1"/>
  <c r="DI55"/>
  <c r="DG55"/>
  <c r="DF55"/>
  <c r="DH55" s="1"/>
  <c r="DE55"/>
  <c r="DC55"/>
  <c r="DB55"/>
  <c r="DD55" s="1"/>
  <c r="DA55"/>
  <c r="CY55"/>
  <c r="CX55"/>
  <c r="CW55"/>
  <c r="CU55"/>
  <c r="CT55"/>
  <c r="CV55" s="1"/>
  <c r="CS55"/>
  <c r="CQ55"/>
  <c r="CP55"/>
  <c r="CR55" s="1"/>
  <c r="CO55"/>
  <c r="CM55"/>
  <c r="CL55"/>
  <c r="CN55" s="1"/>
  <c r="CK55"/>
  <c r="CI55"/>
  <c r="CH55"/>
  <c r="CJ55" s="1"/>
  <c r="CG55"/>
  <c r="CE55"/>
  <c r="CD55"/>
  <c r="CF55" s="1"/>
  <c r="CC55"/>
  <c r="CA55"/>
  <c r="BZ55"/>
  <c r="CB55" s="1"/>
  <c r="BY55"/>
  <c r="BW55"/>
  <c r="BV55"/>
  <c r="BX55" s="1"/>
  <c r="BU55"/>
  <c r="BS55"/>
  <c r="BR55"/>
  <c r="BT55" s="1"/>
  <c r="BQ55"/>
  <c r="BO55"/>
  <c r="BN55"/>
  <c r="BP55" s="1"/>
  <c r="BM55"/>
  <c r="BK55"/>
  <c r="BJ55"/>
  <c r="BL55" s="1"/>
  <c r="BI55"/>
  <c r="BG55"/>
  <c r="BF55"/>
  <c r="BE55"/>
  <c r="BB55"/>
  <c r="AX55"/>
  <c r="AT55"/>
  <c r="AP55"/>
  <c r="AL55"/>
  <c r="AH55"/>
  <c r="AD55"/>
  <c r="Z55"/>
  <c r="V55"/>
  <c r="R55"/>
  <c r="N55"/>
  <c r="J55"/>
  <c r="GZ54"/>
  <c r="GV54"/>
  <c r="GQ54"/>
  <c r="GP54"/>
  <c r="GR54" s="1"/>
  <c r="GO54"/>
  <c r="GN54"/>
  <c r="GJ54"/>
  <c r="GF54"/>
  <c r="GB54"/>
  <c r="FX54"/>
  <c r="FS54"/>
  <c r="FT54" s="1"/>
  <c r="FR54"/>
  <c r="FQ54"/>
  <c r="FP54"/>
  <c r="FK54"/>
  <c r="FJ54"/>
  <c r="FL54" s="1"/>
  <c r="FI54"/>
  <c r="FG54"/>
  <c r="FF54"/>
  <c r="FH54" s="1"/>
  <c r="FE54"/>
  <c r="FC54"/>
  <c r="FB54"/>
  <c r="FD54" s="1"/>
  <c r="FA54"/>
  <c r="EY54"/>
  <c r="EX54"/>
  <c r="EZ54" s="1"/>
  <c r="EW54"/>
  <c r="EU54"/>
  <c r="ET54"/>
  <c r="EV54" s="1"/>
  <c r="ES54"/>
  <c r="EQ54"/>
  <c r="EP54"/>
  <c r="ER54" s="1"/>
  <c r="EO54"/>
  <c r="EN54"/>
  <c r="EI54"/>
  <c r="EJ54" s="1"/>
  <c r="EH54"/>
  <c r="EG54"/>
  <c r="EF54"/>
  <c r="EB54"/>
  <c r="DW54"/>
  <c r="DX54" s="1"/>
  <c r="DV54"/>
  <c r="DU54"/>
  <c r="DS54"/>
  <c r="DT54" s="1"/>
  <c r="DR54"/>
  <c r="DQ54"/>
  <c r="DO54"/>
  <c r="DP54" s="1"/>
  <c r="DN54"/>
  <c r="DM54"/>
  <c r="DL54"/>
  <c r="DH54"/>
  <c r="DC54"/>
  <c r="DD54" s="1"/>
  <c r="DB54"/>
  <c r="DA54"/>
  <c r="CY54"/>
  <c r="CZ54" s="1"/>
  <c r="CX54"/>
  <c r="CW54"/>
  <c r="CU54"/>
  <c r="CV54" s="1"/>
  <c r="CT54"/>
  <c r="CS54"/>
  <c r="CQ54"/>
  <c r="CR54" s="1"/>
  <c r="CP54"/>
  <c r="CO54"/>
  <c r="CN54"/>
  <c r="CI54"/>
  <c r="CH54"/>
  <c r="CJ54" s="1"/>
  <c r="CG54"/>
  <c r="CE54"/>
  <c r="CD54"/>
  <c r="CF54" s="1"/>
  <c r="CC54"/>
  <c r="CA54"/>
  <c r="BZ54"/>
  <c r="CB54" s="1"/>
  <c r="BY54"/>
  <c r="BW54"/>
  <c r="BV54"/>
  <c r="BX54" s="1"/>
  <c r="BU54"/>
  <c r="BS54"/>
  <c r="BR54"/>
  <c r="BT54" s="1"/>
  <c r="BQ54"/>
  <c r="BO54"/>
  <c r="BN54"/>
  <c r="BP54" s="1"/>
  <c r="BM54"/>
  <c r="BK54"/>
  <c r="BJ54"/>
  <c r="BL54" s="1"/>
  <c r="BI54"/>
  <c r="BH54"/>
  <c r="BD54"/>
  <c r="AZ54"/>
  <c r="AV54"/>
  <c r="AQ54"/>
  <c r="AP54"/>
  <c r="AR54" s="1"/>
  <c r="AO54"/>
  <c r="AN54"/>
  <c r="AJ54"/>
  <c r="AE54"/>
  <c r="AD54"/>
  <c r="AF54" s="1"/>
  <c r="AC54"/>
  <c r="AB54"/>
  <c r="W54"/>
  <c r="X54" s="1"/>
  <c r="V54"/>
  <c r="U54"/>
  <c r="S54"/>
  <c r="T54" s="1"/>
  <c r="R54"/>
  <c r="Q54"/>
  <c r="O54"/>
  <c r="P54" s="1"/>
  <c r="H54" s="1"/>
  <c r="N54"/>
  <c r="M54"/>
  <c r="E54" s="1"/>
  <c r="L54"/>
  <c r="F54"/>
  <c r="GZ53"/>
  <c r="GV53"/>
  <c r="GR53"/>
  <c r="GN53"/>
  <c r="GJ53"/>
  <c r="GF53"/>
  <c r="GB53"/>
  <c r="FX53"/>
  <c r="FT53"/>
  <c r="FP53"/>
  <c r="FL53"/>
  <c r="FH53"/>
  <c r="FD53"/>
  <c r="EZ53"/>
  <c r="EV53"/>
  <c r="ER53"/>
  <c r="EN53"/>
  <c r="EI53"/>
  <c r="EJ53" s="1"/>
  <c r="EH53"/>
  <c r="EG53"/>
  <c r="EF53"/>
  <c r="EB53"/>
  <c r="DX53"/>
  <c r="DT53"/>
  <c r="DO53"/>
  <c r="DP53" s="1"/>
  <c r="DN53"/>
  <c r="DM53"/>
  <c r="DL53"/>
  <c r="DH53"/>
  <c r="DD53"/>
  <c r="CZ53"/>
  <c r="CV53"/>
  <c r="CR53"/>
  <c r="CN53"/>
  <c r="CI53"/>
  <c r="CH53"/>
  <c r="CJ53" s="1"/>
  <c r="CG53"/>
  <c r="CF53"/>
  <c r="CB53"/>
  <c r="BW53"/>
  <c r="BV53"/>
  <c r="BX53" s="1"/>
  <c r="BU53"/>
  <c r="BT53"/>
  <c r="BP53"/>
  <c r="BL53"/>
  <c r="BH53"/>
  <c r="BD53"/>
  <c r="AZ53"/>
  <c r="AV53"/>
  <c r="AR53"/>
  <c r="AN53"/>
  <c r="AJ53"/>
  <c r="AE53"/>
  <c r="AD53"/>
  <c r="AF53" s="1"/>
  <c r="AC53"/>
  <c r="AA53"/>
  <c r="Z53"/>
  <c r="F53" s="1"/>
  <c r="Y53"/>
  <c r="X53"/>
  <c r="S53"/>
  <c r="T53" s="1"/>
  <c r="R53"/>
  <c r="Q53"/>
  <c r="P53"/>
  <c r="L53"/>
  <c r="G53"/>
  <c r="E53"/>
  <c r="GZ52"/>
  <c r="GV52"/>
  <c r="GR52"/>
  <c r="GN52"/>
  <c r="GJ52"/>
  <c r="GF52"/>
  <c r="GB52"/>
  <c r="FX52"/>
  <c r="FT52"/>
  <c r="FP52"/>
  <c r="FL52"/>
  <c r="FH52"/>
  <c r="FD52"/>
  <c r="EZ52"/>
  <c r="EV52"/>
  <c r="ER52"/>
  <c r="EN52"/>
  <c r="EJ52"/>
  <c r="EF52"/>
  <c r="EB52"/>
  <c r="DX52"/>
  <c r="DT52"/>
  <c r="DO52"/>
  <c r="DP52" s="1"/>
  <c r="DN52"/>
  <c r="DM52"/>
  <c r="E52" s="1"/>
  <c r="DL52"/>
  <c r="DH52"/>
  <c r="DD52"/>
  <c r="CZ52"/>
  <c r="CV52"/>
  <c r="CR52"/>
  <c r="CN52"/>
  <c r="CJ52"/>
  <c r="CF52"/>
  <c r="CB52"/>
  <c r="BX52"/>
  <c r="BT52"/>
  <c r="BP52"/>
  <c r="BL52"/>
  <c r="BH52"/>
  <c r="BD52"/>
  <c r="AZ52"/>
  <c r="AV52"/>
  <c r="AR52"/>
  <c r="AM52"/>
  <c r="AL52"/>
  <c r="AN52" s="1"/>
  <c r="AK52"/>
  <c r="AJ52"/>
  <c r="AF52"/>
  <c r="AB52"/>
  <c r="X52"/>
  <c r="T52"/>
  <c r="P52"/>
  <c r="K52"/>
  <c r="J52"/>
  <c r="L52" s="1"/>
  <c r="I52"/>
  <c r="F52"/>
  <c r="GZ51"/>
  <c r="GV51"/>
  <c r="GR51"/>
  <c r="GN51"/>
  <c r="GJ51"/>
  <c r="GF51"/>
  <c r="GB51"/>
  <c r="FX51"/>
  <c r="FP51"/>
  <c r="FL51"/>
  <c r="FG51"/>
  <c r="FF51"/>
  <c r="FH51" s="1"/>
  <c r="FE51"/>
  <c r="FD51"/>
  <c r="ER51"/>
  <c r="EN51"/>
  <c r="EJ51"/>
  <c r="EF51"/>
  <c r="EB51"/>
  <c r="DX51"/>
  <c r="DT51"/>
  <c r="DP51"/>
  <c r="DH51"/>
  <c r="DD51"/>
  <c r="CZ51"/>
  <c r="CV51"/>
  <c r="CR51"/>
  <c r="CF51"/>
  <c r="CB51"/>
  <c r="BX51"/>
  <c r="BT51"/>
  <c r="BP51"/>
  <c r="AZ51"/>
  <c r="AU51"/>
  <c r="AT51"/>
  <c r="F51" s="1"/>
  <c r="AS51"/>
  <c r="AR51"/>
  <c r="AN51"/>
  <c r="AJ51"/>
  <c r="AF51"/>
  <c r="AB51"/>
  <c r="X51"/>
  <c r="T51"/>
  <c r="P51"/>
  <c r="L51"/>
  <c r="G51"/>
  <c r="E51"/>
  <c r="GZ50"/>
  <c r="GV50"/>
  <c r="GR50"/>
  <c r="GN50"/>
  <c r="GJ50"/>
  <c r="GF50"/>
  <c r="GB50"/>
  <c r="FX50"/>
  <c r="FT50"/>
  <c r="FP50"/>
  <c r="FL50"/>
  <c r="FH50"/>
  <c r="FD50"/>
  <c r="EZ50"/>
  <c r="EV50"/>
  <c r="ER50"/>
  <c r="EN50"/>
  <c r="EJ50"/>
  <c r="EF50"/>
  <c r="EB50"/>
  <c r="DX50"/>
  <c r="DT50"/>
  <c r="DP50"/>
  <c r="DL50"/>
  <c r="DH50"/>
  <c r="DD50"/>
  <c r="CZ50"/>
  <c r="CV50"/>
  <c r="CR50"/>
  <c r="CN50"/>
  <c r="CJ50"/>
  <c r="CF50"/>
  <c r="CA50"/>
  <c r="CB50" s="1"/>
  <c r="BZ50"/>
  <c r="BY50"/>
  <c r="E50" s="1"/>
  <c r="BX50"/>
  <c r="BT50"/>
  <c r="BP50"/>
  <c r="BL50"/>
  <c r="BH50"/>
  <c r="BD50"/>
  <c r="AZ50"/>
  <c r="AV50"/>
  <c r="AR50"/>
  <c r="AN50"/>
  <c r="AJ50"/>
  <c r="AF50"/>
  <c r="AB50"/>
  <c r="X50"/>
  <c r="T50"/>
  <c r="P50"/>
  <c r="L50"/>
  <c r="F50"/>
  <c r="GZ49"/>
  <c r="GV49"/>
  <c r="GR49"/>
  <c r="GN49"/>
  <c r="GJ49"/>
  <c r="GF49"/>
  <c r="GB49"/>
  <c r="FX49"/>
  <c r="FT49"/>
  <c r="FP49"/>
  <c r="FL49"/>
  <c r="FH49"/>
  <c r="FD49"/>
  <c r="EZ49"/>
  <c r="EV49"/>
  <c r="ER49"/>
  <c r="EN49"/>
  <c r="EJ49"/>
  <c r="EF49"/>
  <c r="EB49"/>
  <c r="DX49"/>
  <c r="DT49"/>
  <c r="DP49"/>
  <c r="DL49"/>
  <c r="DH49"/>
  <c r="DD49"/>
  <c r="CZ49"/>
  <c r="CV49"/>
  <c r="CR49"/>
  <c r="CN49"/>
  <c r="CJ49"/>
  <c r="CF49"/>
  <c r="CB49"/>
  <c r="BW49"/>
  <c r="BX49" s="1"/>
  <c r="BV49"/>
  <c r="BU49"/>
  <c r="BS49"/>
  <c r="BT49" s="1"/>
  <c r="BR49"/>
  <c r="BQ49"/>
  <c r="BP49"/>
  <c r="BL49"/>
  <c r="BH49"/>
  <c r="BD49"/>
  <c r="AZ49"/>
  <c r="AV49"/>
  <c r="AQ49"/>
  <c r="AR49" s="1"/>
  <c r="AP49"/>
  <c r="AO49"/>
  <c r="AN49"/>
  <c r="AJ49"/>
  <c r="AF49"/>
  <c r="AB49"/>
  <c r="X49"/>
  <c r="T49"/>
  <c r="P49"/>
  <c r="L49"/>
  <c r="H49" s="1"/>
  <c r="G49"/>
  <c r="F49"/>
  <c r="E49"/>
  <c r="GZ48"/>
  <c r="GV48"/>
  <c r="GR48"/>
  <c r="GN48"/>
  <c r="GJ48"/>
  <c r="GF48"/>
  <c r="GB48"/>
  <c r="FX48"/>
  <c r="FT48"/>
  <c r="FP48"/>
  <c r="FL48"/>
  <c r="FH48"/>
  <c r="FC48"/>
  <c r="FD48" s="1"/>
  <c r="FB48"/>
  <c r="FA48"/>
  <c r="EZ48"/>
  <c r="EV48"/>
  <c r="EQ48"/>
  <c r="ER48" s="1"/>
  <c r="EP48"/>
  <c r="EO48"/>
  <c r="EN48"/>
  <c r="EJ48"/>
  <c r="EF48"/>
  <c r="EB48"/>
  <c r="DX48"/>
  <c r="DT48"/>
  <c r="DP48"/>
  <c r="DL48"/>
  <c r="DH48"/>
  <c r="DD48"/>
  <c r="CZ48"/>
  <c r="CV48"/>
  <c r="CQ48"/>
  <c r="CR48" s="1"/>
  <c r="CP48"/>
  <c r="CO48"/>
  <c r="E48" s="1"/>
  <c r="CN48"/>
  <c r="CJ48"/>
  <c r="CF48"/>
  <c r="CB48"/>
  <c r="BX48"/>
  <c r="BT48"/>
  <c r="BP48"/>
  <c r="BL48"/>
  <c r="BH48"/>
  <c r="BD48"/>
  <c r="AZ48"/>
  <c r="AV48"/>
  <c r="AR48"/>
  <c r="AN48"/>
  <c r="AJ48"/>
  <c r="AF48"/>
  <c r="AB48"/>
  <c r="X48"/>
  <c r="T48"/>
  <c r="P48"/>
  <c r="L48"/>
  <c r="F48"/>
  <c r="FP47"/>
  <c r="CB47"/>
  <c r="BW47"/>
  <c r="BV47"/>
  <c r="F47" s="1"/>
  <c r="BU47"/>
  <c r="AB47"/>
  <c r="X47"/>
  <c r="L47"/>
  <c r="G47"/>
  <c r="E47"/>
  <c r="GZ46"/>
  <c r="GV46"/>
  <c r="GR46"/>
  <c r="GN46"/>
  <c r="GJ46"/>
  <c r="GF46"/>
  <c r="GB46"/>
  <c r="FX46"/>
  <c r="FT46"/>
  <c r="FP46"/>
  <c r="FL46"/>
  <c r="FH46"/>
  <c r="FC46"/>
  <c r="FD46" s="1"/>
  <c r="FB46"/>
  <c r="FA46"/>
  <c r="E46" s="1"/>
  <c r="EZ46"/>
  <c r="EV46"/>
  <c r="ER46"/>
  <c r="EN46"/>
  <c r="EJ46"/>
  <c r="EF46"/>
  <c r="EB46"/>
  <c r="DX46"/>
  <c r="DT46"/>
  <c r="DP46"/>
  <c r="DL46"/>
  <c r="DH46"/>
  <c r="DD46"/>
  <c r="CZ46"/>
  <c r="CV46"/>
  <c r="CR46"/>
  <c r="CN46"/>
  <c r="CJ46"/>
  <c r="CF46"/>
  <c r="CB46"/>
  <c r="BX46"/>
  <c r="BT46"/>
  <c r="BP46"/>
  <c r="BL46"/>
  <c r="BH46"/>
  <c r="BD46"/>
  <c r="AZ46"/>
  <c r="AV46"/>
  <c r="AR46"/>
  <c r="AN46"/>
  <c r="AJ46"/>
  <c r="AF46"/>
  <c r="AB46"/>
  <c r="X46"/>
  <c r="T46"/>
  <c r="P46"/>
  <c r="L46"/>
  <c r="F46"/>
  <c r="GY45"/>
  <c r="GX45"/>
  <c r="GZ45" s="1"/>
  <c r="GW45"/>
  <c r="GV45"/>
  <c r="GR45"/>
  <c r="GN45"/>
  <c r="GJ45"/>
  <c r="GF45"/>
  <c r="GA45"/>
  <c r="GB45" s="1"/>
  <c r="FZ45"/>
  <c r="FY45"/>
  <c r="FX45"/>
  <c r="FS45"/>
  <c r="FR45"/>
  <c r="FT45" s="1"/>
  <c r="FQ45"/>
  <c r="FP45"/>
  <c r="FK45"/>
  <c r="FL45" s="1"/>
  <c r="FJ45"/>
  <c r="FI45"/>
  <c r="FH45"/>
  <c r="FC45"/>
  <c r="FB45"/>
  <c r="FD45" s="1"/>
  <c r="FA45"/>
  <c r="EZ45"/>
  <c r="EU45"/>
  <c r="EV45" s="1"/>
  <c r="ET45"/>
  <c r="ES45"/>
  <c r="EQ45"/>
  <c r="ER45" s="1"/>
  <c r="EP45"/>
  <c r="EO45"/>
  <c r="EM45"/>
  <c r="EN45" s="1"/>
  <c r="EL45"/>
  <c r="EK45"/>
  <c r="EI45"/>
  <c r="EJ45" s="1"/>
  <c r="EH45"/>
  <c r="EG45"/>
  <c r="EE45"/>
  <c r="EF45" s="1"/>
  <c r="ED45"/>
  <c r="EC45"/>
  <c r="EA45"/>
  <c r="EB45" s="1"/>
  <c r="DZ45"/>
  <c r="DY45"/>
  <c r="DX45"/>
  <c r="DT45"/>
  <c r="DP45"/>
  <c r="DL45"/>
  <c r="DG45"/>
  <c r="DH45" s="1"/>
  <c r="DF45"/>
  <c r="DE45"/>
  <c r="DD45"/>
  <c r="CZ45"/>
  <c r="CU45"/>
  <c r="CV45" s="1"/>
  <c r="CT45"/>
  <c r="CS45"/>
  <c r="CQ45"/>
  <c r="CR45" s="1"/>
  <c r="CP45"/>
  <c r="CO45"/>
  <c r="CM45"/>
  <c r="CN45" s="1"/>
  <c r="CL45"/>
  <c r="CK45"/>
  <c r="CI45"/>
  <c r="CJ45" s="1"/>
  <c r="CH45"/>
  <c r="CG45"/>
  <c r="CE45"/>
  <c r="CF45" s="1"/>
  <c r="CD45"/>
  <c r="CC45"/>
  <c r="CA45"/>
  <c r="CB45" s="1"/>
  <c r="BZ45"/>
  <c r="BY45"/>
  <c r="BW45"/>
  <c r="BX45" s="1"/>
  <c r="BV45"/>
  <c r="BU45"/>
  <c r="BT45"/>
  <c r="BP45"/>
  <c r="BK45"/>
  <c r="BL45" s="1"/>
  <c r="BJ45"/>
  <c r="BI45"/>
  <c r="BG45"/>
  <c r="BH45" s="1"/>
  <c r="BF45"/>
  <c r="BE45"/>
  <c r="BC45"/>
  <c r="BD45" s="1"/>
  <c r="BB45"/>
  <c r="BA45"/>
  <c r="AY45"/>
  <c r="AZ45" s="1"/>
  <c r="AX45"/>
  <c r="AW45"/>
  <c r="AV45"/>
  <c r="AQ45"/>
  <c r="AR45" s="1"/>
  <c r="AP45"/>
  <c r="AO45"/>
  <c r="AM45"/>
  <c r="AN45" s="1"/>
  <c r="AL45"/>
  <c r="AK45"/>
  <c r="AI45"/>
  <c r="AJ45" s="1"/>
  <c r="AH45"/>
  <c r="AG45"/>
  <c r="AE45"/>
  <c r="AF45" s="1"/>
  <c r="AD45"/>
  <c r="AC45"/>
  <c r="AA45"/>
  <c r="AB45" s="1"/>
  <c r="Z45"/>
  <c r="Y45"/>
  <c r="W45"/>
  <c r="X45" s="1"/>
  <c r="V45"/>
  <c r="U45"/>
  <c r="T45"/>
  <c r="P45"/>
  <c r="K45"/>
  <c r="L45" s="1"/>
  <c r="J45"/>
  <c r="I45"/>
  <c r="G45"/>
  <c r="F45"/>
  <c r="E45"/>
  <c r="GY44"/>
  <c r="GZ44" s="1"/>
  <c r="GX44"/>
  <c r="GW44"/>
  <c r="GU44"/>
  <c r="GV44" s="1"/>
  <c r="GT44"/>
  <c r="GS44"/>
  <c r="GQ44"/>
  <c r="GR44" s="1"/>
  <c r="GP44"/>
  <c r="GO44"/>
  <c r="GM44"/>
  <c r="GN44" s="1"/>
  <c r="GL44"/>
  <c r="GK44"/>
  <c r="GI44"/>
  <c r="GJ44" s="1"/>
  <c r="GH44"/>
  <c r="GG44"/>
  <c r="GE44"/>
  <c r="GF44" s="1"/>
  <c r="GD44"/>
  <c r="GC44"/>
  <c r="GA44"/>
  <c r="GB44" s="1"/>
  <c r="FZ44"/>
  <c r="FY44"/>
  <c r="FW44"/>
  <c r="FX44" s="1"/>
  <c r="FV44"/>
  <c r="FU44"/>
  <c r="FS44"/>
  <c r="FT44" s="1"/>
  <c r="FR44"/>
  <c r="FQ44"/>
  <c r="FO44"/>
  <c r="FP44" s="1"/>
  <c r="FN44"/>
  <c r="FM44"/>
  <c r="FK44"/>
  <c r="FL44" s="1"/>
  <c r="FJ44"/>
  <c r="FI44"/>
  <c r="FF44"/>
  <c r="FG44" s="1"/>
  <c r="FH44" s="1"/>
  <c r="FB44"/>
  <c r="FC44" s="1"/>
  <c r="EY44"/>
  <c r="EZ44" s="1"/>
  <c r="EX44"/>
  <c r="EW44"/>
  <c r="EU44"/>
  <c r="EV44" s="1"/>
  <c r="ET44"/>
  <c r="ES44"/>
  <c r="EQ44"/>
  <c r="ER44" s="1"/>
  <c r="EP44"/>
  <c r="EO44"/>
  <c r="EM44"/>
  <c r="EN44" s="1"/>
  <c r="EL44"/>
  <c r="EK44"/>
  <c r="EI44"/>
  <c r="EJ44" s="1"/>
  <c r="EH44"/>
  <c r="EE44"/>
  <c r="EF44" s="1"/>
  <c r="ED44"/>
  <c r="EC44"/>
  <c r="EA44"/>
  <c r="EB44" s="1"/>
  <c r="DZ44"/>
  <c r="DY44"/>
  <c r="DW44"/>
  <c r="DX44" s="1"/>
  <c r="DV44"/>
  <c r="DU44"/>
  <c r="DS44"/>
  <c r="DT44" s="1"/>
  <c r="DR44"/>
  <c r="DQ44"/>
  <c r="DO44"/>
  <c r="DP44" s="1"/>
  <c r="DN44"/>
  <c r="DM44"/>
  <c r="DK44"/>
  <c r="DL44" s="1"/>
  <c r="DJ44"/>
  <c r="DI44"/>
  <c r="DG44"/>
  <c r="DH44" s="1"/>
  <c r="DF44"/>
  <c r="DE44"/>
  <c r="DC44"/>
  <c r="DD44" s="1"/>
  <c r="DB44"/>
  <c r="DA44"/>
  <c r="CY44"/>
  <c r="CZ44" s="1"/>
  <c r="CX44"/>
  <c r="CW44"/>
  <c r="CU44"/>
  <c r="CV44" s="1"/>
  <c r="CT44"/>
  <c r="CS44"/>
  <c r="CQ44"/>
  <c r="CR44" s="1"/>
  <c r="CP44"/>
  <c r="CO44"/>
  <c r="CM44"/>
  <c r="CN44" s="1"/>
  <c r="CL44"/>
  <c r="CK44"/>
  <c r="CI44"/>
  <c r="CJ44" s="1"/>
  <c r="CH44"/>
  <c r="CG44"/>
  <c r="CE44"/>
  <c r="CF44" s="1"/>
  <c r="CD44"/>
  <c r="CC44"/>
  <c r="CA44"/>
  <c r="CB44" s="1"/>
  <c r="BZ44"/>
  <c r="BW44"/>
  <c r="BX44" s="1"/>
  <c r="BV44"/>
  <c r="BS44"/>
  <c r="BT44" s="1"/>
  <c r="BR44"/>
  <c r="BQ44"/>
  <c r="BO44"/>
  <c r="BP44" s="1"/>
  <c r="BN44"/>
  <c r="BM44"/>
  <c r="BK44"/>
  <c r="BL44" s="1"/>
  <c r="BJ44"/>
  <c r="BI44"/>
  <c r="BG44"/>
  <c r="BH44" s="1"/>
  <c r="BF44"/>
  <c r="BE44"/>
  <c r="BC44"/>
  <c r="BD44" s="1"/>
  <c r="BB44"/>
  <c r="BA44"/>
  <c r="AY44"/>
  <c r="AZ44" s="1"/>
  <c r="AX44"/>
  <c r="AW44"/>
  <c r="AU44"/>
  <c r="AV44" s="1"/>
  <c r="AT44"/>
  <c r="AS44"/>
  <c r="AQ44"/>
  <c r="AR44" s="1"/>
  <c r="AP44"/>
  <c r="AO44"/>
  <c r="AM44"/>
  <c r="AN44" s="1"/>
  <c r="AL44"/>
  <c r="AK44"/>
  <c r="AI44"/>
  <c r="AJ44" s="1"/>
  <c r="AH44"/>
  <c r="AG44"/>
  <c r="AE44"/>
  <c r="AF44" s="1"/>
  <c r="AD44"/>
  <c r="AA44"/>
  <c r="AB44" s="1"/>
  <c r="Z44"/>
  <c r="W44"/>
  <c r="X44" s="1"/>
  <c r="V44"/>
  <c r="U44"/>
  <c r="S44"/>
  <c r="T44" s="1"/>
  <c r="R44"/>
  <c r="Q44"/>
  <c r="O44"/>
  <c r="P44" s="1"/>
  <c r="N44"/>
  <c r="M44"/>
  <c r="K44"/>
  <c r="L44" s="1"/>
  <c r="J44"/>
  <c r="I44"/>
  <c r="F44"/>
  <c r="GZ43"/>
  <c r="GV43"/>
  <c r="GR43"/>
  <c r="GN43"/>
  <c r="GJ43"/>
  <c r="GF43"/>
  <c r="GB43"/>
  <c r="FX43"/>
  <c r="FT43"/>
  <c r="FP43"/>
  <c r="FL43"/>
  <c r="FH43"/>
  <c r="FD43"/>
  <c r="EZ43"/>
  <c r="EV43"/>
  <c r="ER43"/>
  <c r="EN43"/>
  <c r="EJ43"/>
  <c r="EF43"/>
  <c r="EB43"/>
  <c r="DX43"/>
  <c r="DT43"/>
  <c r="DP43"/>
  <c r="DK43"/>
  <c r="DL43" s="1"/>
  <c r="DJ43"/>
  <c r="DI43"/>
  <c r="DH43"/>
  <c r="DD43"/>
  <c r="CZ43"/>
  <c r="CV43"/>
  <c r="CR43"/>
  <c r="CN43"/>
  <c r="CJ43"/>
  <c r="CF43"/>
  <c r="CB43"/>
  <c r="BX43"/>
  <c r="BT43"/>
  <c r="BP43"/>
  <c r="BL43"/>
  <c r="BH43"/>
  <c r="BD43"/>
  <c r="AZ43"/>
  <c r="AV43"/>
  <c r="AR43"/>
  <c r="AN43"/>
  <c r="AJ43"/>
  <c r="AF43"/>
  <c r="AB43"/>
  <c r="X43"/>
  <c r="T43"/>
  <c r="P43"/>
  <c r="L43"/>
  <c r="H43" s="1"/>
  <c r="G43"/>
  <c r="F43"/>
  <c r="E43"/>
  <c r="GZ42"/>
  <c r="GV42"/>
  <c r="GR42"/>
  <c r="GN42"/>
  <c r="GJ42"/>
  <c r="GF42"/>
  <c r="GA42"/>
  <c r="GB42" s="1"/>
  <c r="FZ42"/>
  <c r="FY42"/>
  <c r="FX42"/>
  <c r="FT42"/>
  <c r="FP42"/>
  <c r="FL42"/>
  <c r="FH42"/>
  <c r="FD42"/>
  <c r="EZ42"/>
  <c r="EV42"/>
  <c r="ER42"/>
  <c r="EN42"/>
  <c r="EJ42"/>
  <c r="EF42"/>
  <c r="EB42"/>
  <c r="DX42"/>
  <c r="DT42"/>
  <c r="DP42"/>
  <c r="DL42"/>
  <c r="DH42"/>
  <c r="DD42"/>
  <c r="CZ42"/>
  <c r="CV42"/>
  <c r="CR42"/>
  <c r="CN42"/>
  <c r="CJ42"/>
  <c r="CF42"/>
  <c r="CB42"/>
  <c r="BX42"/>
  <c r="BT42"/>
  <c r="BP42"/>
  <c r="BL42"/>
  <c r="BH42"/>
  <c r="BD42"/>
  <c r="AZ42"/>
  <c r="AV42"/>
  <c r="AR42"/>
  <c r="AN42"/>
  <c r="AJ42"/>
  <c r="AF42"/>
  <c r="AB42"/>
  <c r="X42"/>
  <c r="T42"/>
  <c r="P42"/>
  <c r="L42"/>
  <c r="G42"/>
  <c r="F42"/>
  <c r="E42"/>
  <c r="GZ41"/>
  <c r="GV41"/>
  <c r="GR41"/>
  <c r="GN41"/>
  <c r="GJ41"/>
  <c r="GF41"/>
  <c r="GB41"/>
  <c r="FW41"/>
  <c r="FX41" s="1"/>
  <c r="FV41"/>
  <c r="FU41"/>
  <c r="FT41"/>
  <c r="FP41"/>
  <c r="FL41"/>
  <c r="FH41"/>
  <c r="FD41"/>
  <c r="EZ41"/>
  <c r="EV41"/>
  <c r="ER41"/>
  <c r="EN41"/>
  <c r="EJ41"/>
  <c r="EF41"/>
  <c r="EB41"/>
  <c r="DX41"/>
  <c r="DT41"/>
  <c r="DP41"/>
  <c r="DL41"/>
  <c r="DH41"/>
  <c r="DD41"/>
  <c r="CZ41"/>
  <c r="CV41"/>
  <c r="CR41"/>
  <c r="CN41"/>
  <c r="CJ41"/>
  <c r="CF41"/>
  <c r="CB41"/>
  <c r="BX41"/>
  <c r="BT41"/>
  <c r="BP41"/>
  <c r="BL41"/>
  <c r="BH41"/>
  <c r="BD41"/>
  <c r="AZ41"/>
  <c r="AV41"/>
  <c r="AR41"/>
  <c r="AN41"/>
  <c r="AJ41"/>
  <c r="AF41"/>
  <c r="AB41"/>
  <c r="X41"/>
  <c r="T41"/>
  <c r="P41"/>
  <c r="L41"/>
  <c r="H41" s="1"/>
  <c r="G41"/>
  <c r="F41"/>
  <c r="E41"/>
  <c r="GZ40"/>
  <c r="GV40"/>
  <c r="GR40"/>
  <c r="GN40"/>
  <c r="GJ40"/>
  <c r="GF40"/>
  <c r="GB40"/>
  <c r="FX40"/>
  <c r="FT40"/>
  <c r="FP40"/>
  <c r="FL40"/>
  <c r="FH40"/>
  <c r="FD40"/>
  <c r="EZ40"/>
  <c r="EV40"/>
  <c r="ER40"/>
  <c r="EN40"/>
  <c r="EJ40"/>
  <c r="EF40"/>
  <c r="EB40"/>
  <c r="DX40"/>
  <c r="DT40"/>
  <c r="DP40"/>
  <c r="DL40"/>
  <c r="DH40"/>
  <c r="DD40"/>
  <c r="CZ40"/>
  <c r="CV40"/>
  <c r="CR40"/>
  <c r="CN40"/>
  <c r="CJ40"/>
  <c r="CF40"/>
  <c r="CB40"/>
  <c r="BX40"/>
  <c r="BT40"/>
  <c r="BO40"/>
  <c r="BN40"/>
  <c r="BP40" s="1"/>
  <c r="BM40"/>
  <c r="BL40"/>
  <c r="BH40"/>
  <c r="BD40"/>
  <c r="AZ40"/>
  <c r="AV40"/>
  <c r="AR40"/>
  <c r="AN40"/>
  <c r="AJ40"/>
  <c r="AF40"/>
  <c r="AB40"/>
  <c r="X40"/>
  <c r="T40"/>
  <c r="P40"/>
  <c r="L40"/>
  <c r="G40"/>
  <c r="F40"/>
  <c r="E40"/>
  <c r="GZ39"/>
  <c r="GV39"/>
  <c r="GR39"/>
  <c r="GN39"/>
  <c r="GJ39"/>
  <c r="GF39"/>
  <c r="GB39"/>
  <c r="FX39"/>
  <c r="FT39"/>
  <c r="FP39"/>
  <c r="FK39"/>
  <c r="FL39" s="1"/>
  <c r="FJ39"/>
  <c r="FI39"/>
  <c r="FH39"/>
  <c r="FD39"/>
  <c r="EZ39"/>
  <c r="EV39"/>
  <c r="ER39"/>
  <c r="EN39"/>
  <c r="EJ39"/>
  <c r="EF39"/>
  <c r="EB39"/>
  <c r="DX39"/>
  <c r="DT39"/>
  <c r="DP39"/>
  <c r="DL39"/>
  <c r="DH39"/>
  <c r="DD39"/>
  <c r="CZ39"/>
  <c r="CV39"/>
  <c r="CR39"/>
  <c r="CN39"/>
  <c r="CJ39"/>
  <c r="CE39"/>
  <c r="CF39" s="1"/>
  <c r="CD39"/>
  <c r="CC39"/>
  <c r="CB39"/>
  <c r="BX39"/>
  <c r="BT39"/>
  <c r="BP39"/>
  <c r="BK39"/>
  <c r="BL39" s="1"/>
  <c r="BJ39"/>
  <c r="BI39"/>
  <c r="BH39"/>
  <c r="BD39"/>
  <c r="AZ39"/>
  <c r="AV39"/>
  <c r="AR39"/>
  <c r="AN39"/>
  <c r="AJ39"/>
  <c r="AF39"/>
  <c r="AA39"/>
  <c r="AB39" s="1"/>
  <c r="Z39"/>
  <c r="Y39"/>
  <c r="W39"/>
  <c r="X39" s="1"/>
  <c r="V39"/>
  <c r="U39"/>
  <c r="T39"/>
  <c r="P39"/>
  <c r="K39"/>
  <c r="L39" s="1"/>
  <c r="H39" s="1"/>
  <c r="J39"/>
  <c r="I39"/>
  <c r="G39"/>
  <c r="F39"/>
  <c r="E39"/>
  <c r="GZ38"/>
  <c r="GV38"/>
  <c r="GR38"/>
  <c r="GN38"/>
  <c r="GJ38"/>
  <c r="GF38"/>
  <c r="GB38"/>
  <c r="FX38"/>
  <c r="FT38"/>
  <c r="FP38"/>
  <c r="FL38"/>
  <c r="FG38"/>
  <c r="FF38"/>
  <c r="FH38" s="1"/>
  <c r="FE38"/>
  <c r="FD38"/>
  <c r="EZ38"/>
  <c r="EV38"/>
  <c r="ER38"/>
  <c r="EN38"/>
  <c r="EI38"/>
  <c r="EJ38" s="1"/>
  <c r="EH38"/>
  <c r="EG38"/>
  <c r="EF38"/>
  <c r="EB38"/>
  <c r="DX38"/>
  <c r="DT38"/>
  <c r="DP38"/>
  <c r="DL38"/>
  <c r="DH38"/>
  <c r="DD38"/>
  <c r="CZ38"/>
  <c r="CV38"/>
  <c r="CR38"/>
  <c r="CN38"/>
  <c r="CJ38"/>
  <c r="CF38"/>
  <c r="CB38"/>
  <c r="BX38"/>
  <c r="BT38"/>
  <c r="BP38"/>
  <c r="BL38"/>
  <c r="BH38"/>
  <c r="BD38"/>
  <c r="AZ38"/>
  <c r="AU38"/>
  <c r="AV38" s="1"/>
  <c r="AT38"/>
  <c r="AS38"/>
  <c r="AR38"/>
  <c r="AN38"/>
  <c r="AJ38"/>
  <c r="AF38"/>
  <c r="AB38"/>
  <c r="X38"/>
  <c r="T38"/>
  <c r="P38"/>
  <c r="L38"/>
  <c r="G38"/>
  <c r="F38"/>
  <c r="E38"/>
  <c r="GZ37"/>
  <c r="GV37"/>
  <c r="GR37"/>
  <c r="GN37"/>
  <c r="GJ37"/>
  <c r="GF37"/>
  <c r="GB37"/>
  <c r="FX37"/>
  <c r="FT37"/>
  <c r="FP37"/>
  <c r="FL37"/>
  <c r="FH37"/>
  <c r="FD37"/>
  <c r="EZ37"/>
  <c r="EV37"/>
  <c r="ER37"/>
  <c r="EN37"/>
  <c r="EJ37"/>
  <c r="EF37"/>
  <c r="EB37"/>
  <c r="DX37"/>
  <c r="DT37"/>
  <c r="DO37"/>
  <c r="DP37" s="1"/>
  <c r="DN37"/>
  <c r="DM37"/>
  <c r="DL37"/>
  <c r="DH37"/>
  <c r="DD37"/>
  <c r="CZ37"/>
  <c r="CV37"/>
  <c r="CR37"/>
  <c r="CN37"/>
  <c r="CJ37"/>
  <c r="CF37"/>
  <c r="CB37"/>
  <c r="BX37"/>
  <c r="BT37"/>
  <c r="BP37"/>
  <c r="BL37"/>
  <c r="BH37"/>
  <c r="BD37"/>
  <c r="AZ37"/>
  <c r="AV37"/>
  <c r="AQ37"/>
  <c r="AR37" s="1"/>
  <c r="AP37"/>
  <c r="AO37"/>
  <c r="AN37"/>
  <c r="AJ37"/>
  <c r="AF37"/>
  <c r="AB37"/>
  <c r="X37"/>
  <c r="T37"/>
  <c r="P37"/>
  <c r="L37"/>
  <c r="H37" s="1"/>
  <c r="G37"/>
  <c r="F37"/>
  <c r="E37"/>
  <c r="GZ36"/>
  <c r="GV36"/>
  <c r="GR36"/>
  <c r="GN36"/>
  <c r="GJ36"/>
  <c r="GF36"/>
  <c r="GB36"/>
  <c r="FX36"/>
  <c r="FT36"/>
  <c r="FP36"/>
  <c r="FL36"/>
  <c r="FH36"/>
  <c r="FD36"/>
  <c r="EZ36"/>
  <c r="EV36"/>
  <c r="ER36"/>
  <c r="EN36"/>
  <c r="EJ36"/>
  <c r="EF36"/>
  <c r="EB36"/>
  <c r="DX36"/>
  <c r="DT36"/>
  <c r="DP36"/>
  <c r="DL36"/>
  <c r="DH36"/>
  <c r="DD36"/>
  <c r="CZ36"/>
  <c r="CV36"/>
  <c r="CR36"/>
  <c r="CN36"/>
  <c r="CJ36"/>
  <c r="CF36"/>
  <c r="CB36"/>
  <c r="BX36"/>
  <c r="BS36"/>
  <c r="BT36" s="1"/>
  <c r="BR36"/>
  <c r="BQ36"/>
  <c r="BP36"/>
  <c r="BL36"/>
  <c r="BH36"/>
  <c r="BD36"/>
  <c r="AZ36"/>
  <c r="AV36"/>
  <c r="AQ36"/>
  <c r="AR36" s="1"/>
  <c r="AP36"/>
  <c r="AO36"/>
  <c r="AN36"/>
  <c r="AJ36"/>
  <c r="AF36"/>
  <c r="AB36"/>
  <c r="X36"/>
  <c r="T36"/>
  <c r="P36"/>
  <c r="L36"/>
  <c r="G36"/>
  <c r="F36"/>
  <c r="E36"/>
  <c r="GZ35"/>
  <c r="GV35"/>
  <c r="GR35"/>
  <c r="GN35"/>
  <c r="GJ35"/>
  <c r="GF35"/>
  <c r="GB35"/>
  <c r="FX35"/>
  <c r="FT35"/>
  <c r="FP35"/>
  <c r="FL35"/>
  <c r="FH35"/>
  <c r="FD35"/>
  <c r="EZ35"/>
  <c r="EV35"/>
  <c r="ER35"/>
  <c r="EN35"/>
  <c r="EJ35"/>
  <c r="EF35"/>
  <c r="EB35"/>
  <c r="DX35"/>
  <c r="DT35"/>
  <c r="DP35"/>
  <c r="DL35"/>
  <c r="DH35"/>
  <c r="DD35"/>
  <c r="CZ35"/>
  <c r="CV35"/>
  <c r="CR35"/>
  <c r="CN35"/>
  <c r="CJ35"/>
  <c r="CF35"/>
  <c r="CB35"/>
  <c r="BX35"/>
  <c r="BT35"/>
  <c r="BP35"/>
  <c r="BL35"/>
  <c r="BH35"/>
  <c r="BD35"/>
  <c r="AZ35"/>
  <c r="AV35"/>
  <c r="AR35"/>
  <c r="AN35"/>
  <c r="AJ35"/>
  <c r="AF35"/>
  <c r="AB35"/>
  <c r="X35"/>
  <c r="T35"/>
  <c r="O35"/>
  <c r="P35" s="1"/>
  <c r="N35"/>
  <c r="M35"/>
  <c r="E35" s="1"/>
  <c r="L35"/>
  <c r="F35"/>
  <c r="GZ34"/>
  <c r="GV34"/>
  <c r="GR34"/>
  <c r="GN34"/>
  <c r="GJ34"/>
  <c r="GF34"/>
  <c r="GB34"/>
  <c r="FX34"/>
  <c r="FS34"/>
  <c r="FR34"/>
  <c r="FT34" s="1"/>
  <c r="FQ34"/>
  <c r="FP34"/>
  <c r="FL34"/>
  <c r="FH34"/>
  <c r="FD34"/>
  <c r="EZ34"/>
  <c r="EV34"/>
  <c r="ER34"/>
  <c r="EN34"/>
  <c r="EI34"/>
  <c r="EH34"/>
  <c r="EJ34" s="1"/>
  <c r="EG34"/>
  <c r="EF34"/>
  <c r="EB34"/>
  <c r="DX34"/>
  <c r="DT34"/>
  <c r="DP34"/>
  <c r="DL34"/>
  <c r="DH34"/>
  <c r="DD34"/>
  <c r="CZ34"/>
  <c r="CV34"/>
  <c r="CR34"/>
  <c r="CN34"/>
  <c r="CJ34"/>
  <c r="CF34"/>
  <c r="CB34"/>
  <c r="BW34"/>
  <c r="BX34" s="1"/>
  <c r="BV34"/>
  <c r="BU34"/>
  <c r="BS34"/>
  <c r="BT34" s="1"/>
  <c r="BR34"/>
  <c r="BQ34"/>
  <c r="BP34"/>
  <c r="BL34"/>
  <c r="BH34"/>
  <c r="BD34"/>
  <c r="AZ34"/>
  <c r="AV34"/>
  <c r="AR34"/>
  <c r="AN34"/>
  <c r="AJ34"/>
  <c r="AF34"/>
  <c r="AB34"/>
  <c r="X34"/>
  <c r="S34"/>
  <c r="T34" s="1"/>
  <c r="R34"/>
  <c r="Q34"/>
  <c r="O34"/>
  <c r="P34" s="1"/>
  <c r="H34" s="1"/>
  <c r="N34"/>
  <c r="M34"/>
  <c r="L34"/>
  <c r="G34"/>
  <c r="F34"/>
  <c r="E34"/>
  <c r="GZ33"/>
  <c r="GV33"/>
  <c r="GR33"/>
  <c r="GN33"/>
  <c r="GI33"/>
  <c r="GJ33" s="1"/>
  <c r="GH33"/>
  <c r="GG33"/>
  <c r="GF33"/>
  <c r="GB33"/>
  <c r="FX33"/>
  <c r="FT33"/>
  <c r="FP33"/>
  <c r="FL33"/>
  <c r="FH33"/>
  <c r="FD33"/>
  <c r="EZ33"/>
  <c r="EV33"/>
  <c r="ER33"/>
  <c r="EN33"/>
  <c r="EJ33"/>
  <c r="EF33"/>
  <c r="EB33"/>
  <c r="DX33"/>
  <c r="DT33"/>
  <c r="DP33"/>
  <c r="DL33"/>
  <c r="DH33"/>
  <c r="DD33"/>
  <c r="CZ33"/>
  <c r="CV33"/>
  <c r="CR33"/>
  <c r="CM33"/>
  <c r="CN33" s="1"/>
  <c r="CL33"/>
  <c r="CK33"/>
  <c r="CJ33"/>
  <c r="CF33"/>
  <c r="CB33"/>
  <c r="BX33"/>
  <c r="BT33"/>
  <c r="BP33"/>
  <c r="BL33"/>
  <c r="BH33"/>
  <c r="BD33"/>
  <c r="AZ33"/>
  <c r="AV33"/>
  <c r="AR33"/>
  <c r="AN33"/>
  <c r="AJ33"/>
  <c r="AF33"/>
  <c r="AB33"/>
  <c r="X33"/>
  <c r="T33"/>
  <c r="P33"/>
  <c r="L33"/>
  <c r="H33" s="1"/>
  <c r="G33"/>
  <c r="F33"/>
  <c r="E33"/>
  <c r="GZ32"/>
  <c r="GV32"/>
  <c r="GR32"/>
  <c r="GN32"/>
  <c r="GJ32"/>
  <c r="GF32"/>
  <c r="GB32"/>
  <c r="FX32"/>
  <c r="FT32"/>
  <c r="FP32"/>
  <c r="FL32"/>
  <c r="FH32"/>
  <c r="FD32"/>
  <c r="EZ32"/>
  <c r="EU32"/>
  <c r="EV32" s="1"/>
  <c r="ET32"/>
  <c r="ES32"/>
  <c r="ER32"/>
  <c r="EN32"/>
  <c r="EJ32"/>
  <c r="EF32"/>
  <c r="EB32"/>
  <c r="DX32"/>
  <c r="DT32"/>
  <c r="DP32"/>
  <c r="DL32"/>
  <c r="DH32"/>
  <c r="DD32"/>
  <c r="CZ32"/>
  <c r="CV32"/>
  <c r="CR32"/>
  <c r="CN32"/>
  <c r="CJ32"/>
  <c r="CF32"/>
  <c r="CB32"/>
  <c r="BX32"/>
  <c r="BT32"/>
  <c r="BP32"/>
  <c r="BL32"/>
  <c r="BH32"/>
  <c r="BD32"/>
  <c r="AZ32"/>
  <c r="AV32"/>
  <c r="AR32"/>
  <c r="AN32"/>
  <c r="AJ32"/>
  <c r="AF32"/>
  <c r="AB32"/>
  <c r="X32"/>
  <c r="T32"/>
  <c r="P32"/>
  <c r="L32"/>
  <c r="G32"/>
  <c r="F32"/>
  <c r="E32"/>
  <c r="GZ31"/>
  <c r="GV31"/>
  <c r="GR31"/>
  <c r="GN31"/>
  <c r="GJ31"/>
  <c r="GF31"/>
  <c r="GB31"/>
  <c r="FX31"/>
  <c r="FT31"/>
  <c r="FP31"/>
  <c r="FL31"/>
  <c r="FH31"/>
  <c r="FD31"/>
  <c r="EZ31"/>
  <c r="EV31"/>
  <c r="ER31"/>
  <c r="EN31"/>
  <c r="EJ31"/>
  <c r="EF31"/>
  <c r="EB31"/>
  <c r="DX31"/>
  <c r="DT31"/>
  <c r="DP31"/>
  <c r="DL31"/>
  <c r="DH31"/>
  <c r="DD31"/>
  <c r="CZ31"/>
  <c r="CV31"/>
  <c r="CR31"/>
  <c r="CN31"/>
  <c r="CI31"/>
  <c r="CJ31" s="1"/>
  <c r="CH31"/>
  <c r="CG31"/>
  <c r="CF31"/>
  <c r="CB31"/>
  <c r="BX31"/>
  <c r="BT31"/>
  <c r="BP31"/>
  <c r="BL31"/>
  <c r="BH31"/>
  <c r="BD31"/>
  <c r="AZ31"/>
  <c r="AV31"/>
  <c r="AR31"/>
  <c r="AN31"/>
  <c r="AJ31"/>
  <c r="AF31"/>
  <c r="AA31"/>
  <c r="AB31" s="1"/>
  <c r="Z31"/>
  <c r="Y31"/>
  <c r="X31"/>
  <c r="T31"/>
  <c r="P31"/>
  <c r="L31"/>
  <c r="H31" s="1"/>
  <c r="G31"/>
  <c r="F31"/>
  <c r="E31"/>
  <c r="GZ30"/>
  <c r="GV30"/>
  <c r="GR30"/>
  <c r="GN30"/>
  <c r="GJ30"/>
  <c r="GF30"/>
  <c r="GB30"/>
  <c r="FX30"/>
  <c r="FT30"/>
  <c r="FP30"/>
  <c r="FL30"/>
  <c r="FH30"/>
  <c r="FD30"/>
  <c r="EZ30"/>
  <c r="EV30"/>
  <c r="ER30"/>
  <c r="EN30"/>
  <c r="EJ30"/>
  <c r="EF30"/>
  <c r="EB30"/>
  <c r="DX30"/>
  <c r="DT30"/>
  <c r="DP30"/>
  <c r="DL30"/>
  <c r="DH30"/>
  <c r="DD30"/>
  <c r="CZ30"/>
  <c r="CV30"/>
  <c r="CR30"/>
  <c r="CN30"/>
  <c r="CJ30"/>
  <c r="CF30"/>
  <c r="CB30"/>
  <c r="BX30"/>
  <c r="BT30"/>
  <c r="BP30"/>
  <c r="BL30"/>
  <c r="BH30"/>
  <c r="BD30"/>
  <c r="AZ30"/>
  <c r="AV30"/>
  <c r="AR30"/>
  <c r="AN30"/>
  <c r="AJ30"/>
  <c r="AE30"/>
  <c r="AF30" s="1"/>
  <c r="AD30"/>
  <c r="AC30"/>
  <c r="E30" s="1"/>
  <c r="AB30"/>
  <c r="X30"/>
  <c r="T30"/>
  <c r="P30"/>
  <c r="L30"/>
  <c r="F30"/>
  <c r="GZ29"/>
  <c r="GV29"/>
  <c r="GR29"/>
  <c r="GN29"/>
  <c r="GJ29"/>
  <c r="GF29"/>
  <c r="GB29"/>
  <c r="FX29"/>
  <c r="FT29"/>
  <c r="FP29"/>
  <c r="FL29"/>
  <c r="FH29"/>
  <c r="FD29"/>
  <c r="EZ29"/>
  <c r="EV29"/>
  <c r="ER29"/>
  <c r="EN29"/>
  <c r="EJ29"/>
  <c r="EE29"/>
  <c r="ED29"/>
  <c r="EF29" s="1"/>
  <c r="EC29"/>
  <c r="EA29"/>
  <c r="DZ29"/>
  <c r="EB29" s="1"/>
  <c r="DY29"/>
  <c r="DX29"/>
  <c r="DT29"/>
  <c r="DP29"/>
  <c r="DL29"/>
  <c r="DG29"/>
  <c r="DF29"/>
  <c r="DH29" s="1"/>
  <c r="DE29"/>
  <c r="DC29"/>
  <c r="DD29" s="1"/>
  <c r="DB29"/>
  <c r="DA29"/>
  <c r="CY29"/>
  <c r="CZ29" s="1"/>
  <c r="CX29"/>
  <c r="CW29"/>
  <c r="CU29"/>
  <c r="CV29" s="1"/>
  <c r="CT29"/>
  <c r="CS29"/>
  <c r="CR29"/>
  <c r="CN29"/>
  <c r="CJ29"/>
  <c r="CF29"/>
  <c r="CA29"/>
  <c r="CB29" s="1"/>
  <c r="BZ29"/>
  <c r="BY29"/>
  <c r="BX29"/>
  <c r="BT29"/>
  <c r="BP29"/>
  <c r="BL29"/>
  <c r="BH29"/>
  <c r="BD29"/>
  <c r="AZ29"/>
  <c r="AV29"/>
  <c r="AQ29"/>
  <c r="AR29" s="1"/>
  <c r="AP29"/>
  <c r="AO29"/>
  <c r="AN29"/>
  <c r="AI29"/>
  <c r="AJ29" s="1"/>
  <c r="AH29"/>
  <c r="AG29"/>
  <c r="AF29"/>
  <c r="AB29"/>
  <c r="X29"/>
  <c r="T29"/>
  <c r="P29"/>
  <c r="L29"/>
  <c r="H29" s="1"/>
  <c r="G29"/>
  <c r="F29"/>
  <c r="E29"/>
  <c r="GZ28"/>
  <c r="GV28"/>
  <c r="GR28"/>
  <c r="GN28"/>
  <c r="GJ28"/>
  <c r="GF28"/>
  <c r="GB28"/>
  <c r="FX28"/>
  <c r="FT28"/>
  <c r="FP28"/>
  <c r="FL28"/>
  <c r="FG28"/>
  <c r="FF28"/>
  <c r="FH28" s="1"/>
  <c r="FE28"/>
  <c r="FD28"/>
  <c r="EZ28"/>
  <c r="EV28"/>
  <c r="ER28"/>
  <c r="EN28"/>
  <c r="EJ28"/>
  <c r="EF28"/>
  <c r="EB28"/>
  <c r="DX28"/>
  <c r="DT28"/>
  <c r="DP28"/>
  <c r="DL28"/>
  <c r="DH28"/>
  <c r="DD28"/>
  <c r="CZ28"/>
  <c r="CV28"/>
  <c r="CR28"/>
  <c r="CN28"/>
  <c r="CJ28"/>
  <c r="CF28"/>
  <c r="CB28"/>
  <c r="BX28"/>
  <c r="BT28"/>
  <c r="BP28"/>
  <c r="BL28"/>
  <c r="BH28"/>
  <c r="BD28"/>
  <c r="AZ28"/>
  <c r="AV28"/>
  <c r="AR28"/>
  <c r="AN28"/>
  <c r="AJ28"/>
  <c r="AF28"/>
  <c r="AB28"/>
  <c r="X28"/>
  <c r="T28"/>
  <c r="P28"/>
  <c r="L28"/>
  <c r="G28"/>
  <c r="F28"/>
  <c r="E28"/>
  <c r="GZ27"/>
  <c r="GV27"/>
  <c r="GR27"/>
  <c r="GN27"/>
  <c r="GJ27"/>
  <c r="GE27"/>
  <c r="GF27" s="1"/>
  <c r="GD27"/>
  <c r="GC27"/>
  <c r="GB27"/>
  <c r="FX27"/>
  <c r="FT27"/>
  <c r="FP27"/>
  <c r="FL27"/>
  <c r="FH27"/>
  <c r="FD27"/>
  <c r="EZ27"/>
  <c r="EV27"/>
  <c r="ER27"/>
  <c r="EN27"/>
  <c r="EJ27"/>
  <c r="EF27"/>
  <c r="EB27"/>
  <c r="DX27"/>
  <c r="DT27"/>
  <c r="DP27"/>
  <c r="DL27"/>
  <c r="DH27"/>
  <c r="DD27"/>
  <c r="CZ27"/>
  <c r="CV27"/>
  <c r="CR27"/>
  <c r="CN27"/>
  <c r="CJ27"/>
  <c r="CF27"/>
  <c r="CB27"/>
  <c r="BX27"/>
  <c r="BT27"/>
  <c r="BP27"/>
  <c r="BL27"/>
  <c r="BH27"/>
  <c r="BD27"/>
  <c r="AZ27"/>
  <c r="AV27"/>
  <c r="AR27"/>
  <c r="AN27"/>
  <c r="AJ27"/>
  <c r="AF27"/>
  <c r="AB27"/>
  <c r="X27"/>
  <c r="T27"/>
  <c r="P27"/>
  <c r="L27"/>
  <c r="H27" s="1"/>
  <c r="G27"/>
  <c r="F27"/>
  <c r="E27"/>
  <c r="GZ26"/>
  <c r="GV26"/>
  <c r="GR26"/>
  <c r="GN26"/>
  <c r="GJ26"/>
  <c r="GF26"/>
  <c r="GB26"/>
  <c r="FX26"/>
  <c r="FS26"/>
  <c r="FT26" s="1"/>
  <c r="FR26"/>
  <c r="FQ26"/>
  <c r="FP26"/>
  <c r="FL26"/>
  <c r="FH26"/>
  <c r="FC26"/>
  <c r="FB26"/>
  <c r="FD26" s="1"/>
  <c r="FA26"/>
  <c r="EY26"/>
  <c r="EX26"/>
  <c r="EZ26" s="1"/>
  <c r="EW26"/>
  <c r="EV26"/>
  <c r="ER26"/>
  <c r="EN26"/>
  <c r="EI26"/>
  <c r="EJ26" s="1"/>
  <c r="EH26"/>
  <c r="EG26"/>
  <c r="EF26"/>
  <c r="EB26"/>
  <c r="DX26"/>
  <c r="DS26"/>
  <c r="DR26"/>
  <c r="DT26" s="1"/>
  <c r="DQ26"/>
  <c r="DP26"/>
  <c r="DL26"/>
  <c r="DH26"/>
  <c r="DD26"/>
  <c r="CZ26"/>
  <c r="CV26"/>
  <c r="CQ26"/>
  <c r="CR26" s="1"/>
  <c r="CP26"/>
  <c r="CO26"/>
  <c r="CN26"/>
  <c r="CJ26"/>
  <c r="CF26"/>
  <c r="CB26"/>
  <c r="BW26"/>
  <c r="BX26" s="1"/>
  <c r="BV26"/>
  <c r="BU26"/>
  <c r="BS26"/>
  <c r="BT26" s="1"/>
  <c r="BR26"/>
  <c r="BQ26"/>
  <c r="BP26"/>
  <c r="BL26"/>
  <c r="BH26"/>
  <c r="BD26"/>
  <c r="AZ26"/>
  <c r="AV26"/>
  <c r="AR26"/>
  <c r="AN26"/>
  <c r="AJ26"/>
  <c r="AF26"/>
  <c r="AB26"/>
  <c r="X26"/>
  <c r="S26"/>
  <c r="T26" s="1"/>
  <c r="R26"/>
  <c r="Q26"/>
  <c r="O26"/>
  <c r="P26" s="1"/>
  <c r="H26" s="1"/>
  <c r="N26"/>
  <c r="M26"/>
  <c r="L26"/>
  <c r="G26"/>
  <c r="F26"/>
  <c r="E26"/>
  <c r="GZ25"/>
  <c r="GV25"/>
  <c r="GR25"/>
  <c r="GN25"/>
  <c r="GJ25"/>
  <c r="GF25"/>
  <c r="GB25"/>
  <c r="FX25"/>
  <c r="FS25"/>
  <c r="FT25" s="1"/>
  <c r="FR25"/>
  <c r="FQ25"/>
  <c r="FP25"/>
  <c r="FL25"/>
  <c r="FH25"/>
  <c r="FD25"/>
  <c r="EZ25"/>
  <c r="EU25"/>
  <c r="ET25"/>
  <c r="EV25" s="1"/>
  <c r="ES25"/>
  <c r="ER25"/>
  <c r="EN25"/>
  <c r="EJ25"/>
  <c r="EF25"/>
  <c r="EB25"/>
  <c r="DX25"/>
  <c r="DT25"/>
  <c r="DP25"/>
  <c r="DL25"/>
  <c r="DH25"/>
  <c r="DD25"/>
  <c r="CZ25"/>
  <c r="CV25"/>
  <c r="CQ25"/>
  <c r="CR25" s="1"/>
  <c r="CP25"/>
  <c r="CO25"/>
  <c r="CN25"/>
  <c r="CJ25"/>
  <c r="CF25"/>
  <c r="CB25"/>
  <c r="BW25"/>
  <c r="BX25" s="1"/>
  <c r="BV25"/>
  <c r="BU25"/>
  <c r="BT25"/>
  <c r="BP25"/>
  <c r="BL25"/>
  <c r="BH25"/>
  <c r="BD25"/>
  <c r="AZ25"/>
  <c r="AV25"/>
  <c r="AR25"/>
  <c r="AN25"/>
  <c r="AJ25"/>
  <c r="AF25"/>
  <c r="AB25"/>
  <c r="X25"/>
  <c r="T25"/>
  <c r="O25"/>
  <c r="P25" s="1"/>
  <c r="N25"/>
  <c r="M25"/>
  <c r="L25"/>
  <c r="G25"/>
  <c r="F25"/>
  <c r="E25"/>
  <c r="GY24"/>
  <c r="GZ24" s="1"/>
  <c r="GX24"/>
  <c r="GW24"/>
  <c r="GU24"/>
  <c r="GT24"/>
  <c r="GS24"/>
  <c r="GQ24"/>
  <c r="GR24" s="1"/>
  <c r="GP24"/>
  <c r="GO24"/>
  <c r="GM24"/>
  <c r="GL24"/>
  <c r="GK24"/>
  <c r="GI24"/>
  <c r="GJ24" s="1"/>
  <c r="GH24"/>
  <c r="GG24"/>
  <c r="GE24"/>
  <c r="GD24"/>
  <c r="GC24"/>
  <c r="GA24"/>
  <c r="GB24" s="1"/>
  <c r="FZ24"/>
  <c r="FY24"/>
  <c r="FW24"/>
  <c r="FV24"/>
  <c r="FU24"/>
  <c r="FS24"/>
  <c r="FT24" s="1"/>
  <c r="FR24"/>
  <c r="FQ24"/>
  <c r="FO24"/>
  <c r="FN24"/>
  <c r="FM24"/>
  <c r="FK24"/>
  <c r="FL24" s="1"/>
  <c r="FJ24"/>
  <c r="FI24"/>
  <c r="FG24"/>
  <c r="FF24"/>
  <c r="FE24"/>
  <c r="FC24"/>
  <c r="FD24" s="1"/>
  <c r="FB24"/>
  <c r="FA24"/>
  <c r="EY24"/>
  <c r="EX24"/>
  <c r="EW24"/>
  <c r="EU24"/>
  <c r="EV24" s="1"/>
  <c r="ET24"/>
  <c r="ES24"/>
  <c r="EQ24"/>
  <c r="EP24"/>
  <c r="EO24"/>
  <c r="EM24"/>
  <c r="EN24" s="1"/>
  <c r="EL24"/>
  <c r="EK24"/>
  <c r="EI24"/>
  <c r="EH24"/>
  <c r="EG24"/>
  <c r="EE24"/>
  <c r="EF24" s="1"/>
  <c r="ED24"/>
  <c r="EC24"/>
  <c r="EA24"/>
  <c r="DZ24"/>
  <c r="DY24"/>
  <c r="DW24"/>
  <c r="DX24" s="1"/>
  <c r="DV24"/>
  <c r="DU24"/>
  <c r="DS24"/>
  <c r="DR24"/>
  <c r="DQ24"/>
  <c r="DO24"/>
  <c r="DP24" s="1"/>
  <c r="DN24"/>
  <c r="DM24"/>
  <c r="DK24"/>
  <c r="DJ24"/>
  <c r="DI24"/>
  <c r="DG24"/>
  <c r="DH24" s="1"/>
  <c r="DF24"/>
  <c r="DE24"/>
  <c r="DC24"/>
  <c r="DB24"/>
  <c r="DA24"/>
  <c r="CY24"/>
  <c r="CZ24" s="1"/>
  <c r="CX24"/>
  <c r="CW24"/>
  <c r="CU24"/>
  <c r="CT24"/>
  <c r="CS24"/>
  <c r="CQ24"/>
  <c r="CR24" s="1"/>
  <c r="CP24"/>
  <c r="CO24"/>
  <c r="CM24"/>
  <c r="CL24"/>
  <c r="CK24"/>
  <c r="CI24"/>
  <c r="CJ24" s="1"/>
  <c r="CH24"/>
  <c r="CG24"/>
  <c r="CE24"/>
  <c r="CD24"/>
  <c r="CC24"/>
  <c r="CA24"/>
  <c r="CB24" s="1"/>
  <c r="BZ24"/>
  <c r="BY24"/>
  <c r="BW24"/>
  <c r="BV24"/>
  <c r="BU24"/>
  <c r="BS24"/>
  <c r="BT24" s="1"/>
  <c r="BR24"/>
  <c r="BQ24"/>
  <c r="BO24"/>
  <c r="BN24"/>
  <c r="BM24"/>
  <c r="BK24"/>
  <c r="BL24" s="1"/>
  <c r="BJ24"/>
  <c r="BI24"/>
  <c r="BG24"/>
  <c r="BF24"/>
  <c r="BE24"/>
  <c r="BC24"/>
  <c r="BD24" s="1"/>
  <c r="BB24"/>
  <c r="BA24"/>
  <c r="AY24"/>
  <c r="AX24"/>
  <c r="AW24"/>
  <c r="AU24"/>
  <c r="AV24" s="1"/>
  <c r="AT24"/>
  <c r="AS24"/>
  <c r="AQ24"/>
  <c r="AP24"/>
  <c r="AO24"/>
  <c r="AM24"/>
  <c r="AN24" s="1"/>
  <c r="AL24"/>
  <c r="AK24"/>
  <c r="AI24"/>
  <c r="AH24"/>
  <c r="AG24"/>
  <c r="AE24"/>
  <c r="AF24" s="1"/>
  <c r="AD24"/>
  <c r="AC24"/>
  <c r="AA24"/>
  <c r="Z24"/>
  <c r="Y24"/>
  <c r="W24"/>
  <c r="X24" s="1"/>
  <c r="V24"/>
  <c r="U24"/>
  <c r="S24"/>
  <c r="R24"/>
  <c r="Q24"/>
  <c r="O24"/>
  <c r="P24" s="1"/>
  <c r="N24"/>
  <c r="M24"/>
  <c r="K24"/>
  <c r="J24"/>
  <c r="I24"/>
  <c r="F24"/>
  <c r="GZ23"/>
  <c r="GV23"/>
  <c r="GR23"/>
  <c r="GN23"/>
  <c r="GJ23"/>
  <c r="GF23"/>
  <c r="GB23"/>
  <c r="FX23"/>
  <c r="FT23"/>
  <c r="FP23"/>
  <c r="FL23"/>
  <c r="FH23"/>
  <c r="FD23"/>
  <c r="EZ23"/>
  <c r="EV23"/>
  <c r="ER23"/>
  <c r="EN23"/>
  <c r="EJ23"/>
  <c r="EF23"/>
  <c r="EB23"/>
  <c r="DX23"/>
  <c r="DT23"/>
  <c r="DP23"/>
  <c r="DL23"/>
  <c r="DH23"/>
  <c r="DD23"/>
  <c r="CZ23"/>
  <c r="CV23"/>
  <c r="CR23"/>
  <c r="CN23"/>
  <c r="CJ23"/>
  <c r="CF23"/>
  <c r="CB23"/>
  <c r="BX23"/>
  <c r="BT23"/>
  <c r="BP23"/>
  <c r="BL23"/>
  <c r="BH23"/>
  <c r="BD23"/>
  <c r="AZ23"/>
  <c r="AV23"/>
  <c r="AR23"/>
  <c r="AN23"/>
  <c r="AJ23"/>
  <c r="AF23"/>
  <c r="AB23"/>
  <c r="X23"/>
  <c r="T23"/>
  <c r="P23"/>
  <c r="L23"/>
  <c r="H23" s="1"/>
  <c r="G23"/>
  <c r="F23"/>
  <c r="E23"/>
  <c r="GZ22"/>
  <c r="GV22"/>
  <c r="GR22"/>
  <c r="GN22"/>
  <c r="GJ22"/>
  <c r="GF22"/>
  <c r="GA22"/>
  <c r="GB22" s="1"/>
  <c r="FZ22"/>
  <c r="FY22"/>
  <c r="FX22"/>
  <c r="FT22"/>
  <c r="FP22"/>
  <c r="FL22"/>
  <c r="FH22"/>
  <c r="FD22"/>
  <c r="EZ22"/>
  <c r="EV22"/>
  <c r="ER22"/>
  <c r="EN22"/>
  <c r="EJ22"/>
  <c r="EF22"/>
  <c r="EB22"/>
  <c r="DX22"/>
  <c r="DT22"/>
  <c r="DP22"/>
  <c r="DL22"/>
  <c r="DH22"/>
  <c r="DD22"/>
  <c r="CZ22"/>
  <c r="CV22"/>
  <c r="CR22"/>
  <c r="CN22"/>
  <c r="CI22"/>
  <c r="CH22"/>
  <c r="CJ22" s="1"/>
  <c r="CG22"/>
  <c r="CF22"/>
  <c r="CB22"/>
  <c r="BX22"/>
  <c r="BT22"/>
  <c r="BP22"/>
  <c r="BL22"/>
  <c r="BH22"/>
  <c r="BD22"/>
  <c r="AZ22"/>
  <c r="AV22"/>
  <c r="AR22"/>
  <c r="AN22"/>
  <c r="AJ22"/>
  <c r="AF22"/>
  <c r="AA22"/>
  <c r="Z22"/>
  <c r="AB22" s="1"/>
  <c r="Y22"/>
  <c r="X22"/>
  <c r="T22"/>
  <c r="P22"/>
  <c r="L22"/>
  <c r="G22"/>
  <c r="F22"/>
  <c r="E22"/>
  <c r="GZ21"/>
  <c r="GV21"/>
  <c r="GR21"/>
  <c r="GN21"/>
  <c r="GJ21"/>
  <c r="GF21"/>
  <c r="GB21"/>
  <c r="FW21"/>
  <c r="FX21" s="1"/>
  <c r="FV21"/>
  <c r="FU21"/>
  <c r="FT21"/>
  <c r="FP21"/>
  <c r="FL21"/>
  <c r="FH21"/>
  <c r="FD21"/>
  <c r="EZ21"/>
  <c r="EV21"/>
  <c r="ER21"/>
  <c r="EN21"/>
  <c r="EJ21"/>
  <c r="EF21"/>
  <c r="EB21"/>
  <c r="DX21"/>
  <c r="DT21"/>
  <c r="DP21"/>
  <c r="DL21"/>
  <c r="DH21"/>
  <c r="DD21"/>
  <c r="CZ21"/>
  <c r="CV21"/>
  <c r="CR21"/>
  <c r="CN21"/>
  <c r="CJ21"/>
  <c r="CF21"/>
  <c r="CB21"/>
  <c r="BX21"/>
  <c r="BT21"/>
  <c r="BP21"/>
  <c r="BL21"/>
  <c r="BH21"/>
  <c r="BD21"/>
  <c r="AZ21"/>
  <c r="AV21"/>
  <c r="AR21"/>
  <c r="AN21"/>
  <c r="AJ21"/>
  <c r="AF21"/>
  <c r="AB21"/>
  <c r="X21"/>
  <c r="T21"/>
  <c r="P21"/>
  <c r="L21"/>
  <c r="H21" s="1"/>
  <c r="G21"/>
  <c r="F21"/>
  <c r="E21"/>
  <c r="GZ20"/>
  <c r="GV20"/>
  <c r="GR20"/>
  <c r="GN20"/>
  <c r="GJ20"/>
  <c r="GF20"/>
  <c r="GB20"/>
  <c r="FX20"/>
  <c r="FT20"/>
  <c r="FP20"/>
  <c r="FL20"/>
  <c r="FH20"/>
  <c r="FD20"/>
  <c r="EZ20"/>
  <c r="EV20"/>
  <c r="ER20"/>
  <c r="EN20"/>
  <c r="EJ20"/>
  <c r="EF20"/>
  <c r="EB20"/>
  <c r="DX20"/>
  <c r="DT20"/>
  <c r="DP20"/>
  <c r="DL20"/>
  <c r="DH20"/>
  <c r="DD20"/>
  <c r="CZ20"/>
  <c r="CV20"/>
  <c r="CR20"/>
  <c r="CN20"/>
  <c r="CJ20"/>
  <c r="CF20"/>
  <c r="CA20"/>
  <c r="CB20" s="1"/>
  <c r="BZ20"/>
  <c r="BY20"/>
  <c r="BX20"/>
  <c r="BT20"/>
  <c r="BP20"/>
  <c r="BL20"/>
  <c r="BH20"/>
  <c r="BD20"/>
  <c r="AZ20"/>
  <c r="AV20"/>
  <c r="AR20"/>
  <c r="AN20"/>
  <c r="AJ20"/>
  <c r="AF20"/>
  <c r="AB20"/>
  <c r="X20"/>
  <c r="S20"/>
  <c r="T20" s="1"/>
  <c r="R20"/>
  <c r="Q20"/>
  <c r="P20"/>
  <c r="L20"/>
  <c r="G20"/>
  <c r="F20"/>
  <c r="E20"/>
  <c r="GZ19"/>
  <c r="GV19"/>
  <c r="GR19"/>
  <c r="GN19"/>
  <c r="GJ19"/>
  <c r="GF19"/>
  <c r="GB19"/>
  <c r="FX19"/>
  <c r="FT19"/>
  <c r="FP19"/>
  <c r="FL19"/>
  <c r="FH19"/>
  <c r="FD19"/>
  <c r="EZ19"/>
  <c r="EV19"/>
  <c r="ER19"/>
  <c r="EN19"/>
  <c r="EJ19"/>
  <c r="EF19"/>
  <c r="EB19"/>
  <c r="DX19"/>
  <c r="DT19"/>
  <c r="DP19"/>
  <c r="DL19"/>
  <c r="DH19"/>
  <c r="DD19"/>
  <c r="CZ19"/>
  <c r="CV19"/>
  <c r="CR19"/>
  <c r="CN19"/>
  <c r="CJ19"/>
  <c r="CF19"/>
  <c r="CB19"/>
  <c r="BX19"/>
  <c r="BT19"/>
  <c r="BP19"/>
  <c r="BL19"/>
  <c r="BH19"/>
  <c r="BD19"/>
  <c r="AZ19"/>
  <c r="AV19"/>
  <c r="AR19"/>
  <c r="AN19"/>
  <c r="AJ19"/>
  <c r="AF19"/>
  <c r="AB19"/>
  <c r="X19"/>
  <c r="T19"/>
  <c r="O19"/>
  <c r="P19" s="1"/>
  <c r="N19"/>
  <c r="M19"/>
  <c r="E19" s="1"/>
  <c r="L19"/>
  <c r="F19"/>
  <c r="GZ18"/>
  <c r="GV18"/>
  <c r="GR18"/>
  <c r="GN18"/>
  <c r="GJ18"/>
  <c r="GF18"/>
  <c r="GB18"/>
  <c r="FX18"/>
  <c r="FT18"/>
  <c r="FP18"/>
  <c r="FL18"/>
  <c r="FH18"/>
  <c r="FD18"/>
  <c r="EZ18"/>
  <c r="EV18"/>
  <c r="ER18"/>
  <c r="EN18"/>
  <c r="EJ18"/>
  <c r="EF18"/>
  <c r="EB18"/>
  <c r="DX18"/>
  <c r="DT18"/>
  <c r="DP18"/>
  <c r="DL18"/>
  <c r="DH18"/>
  <c r="DD18"/>
  <c r="CZ18"/>
  <c r="CV18"/>
  <c r="CR18"/>
  <c r="CN18"/>
  <c r="CJ18"/>
  <c r="CF18"/>
  <c r="CB18"/>
  <c r="BX18"/>
  <c r="BT18"/>
  <c r="BP18"/>
  <c r="BL18"/>
  <c r="BH18"/>
  <c r="BD18"/>
  <c r="AZ18"/>
  <c r="AV18"/>
  <c r="AQ18"/>
  <c r="AR18" s="1"/>
  <c r="AP18"/>
  <c r="AO18"/>
  <c r="AN18"/>
  <c r="AJ18"/>
  <c r="AF18"/>
  <c r="AB18"/>
  <c r="X18"/>
  <c r="T18"/>
  <c r="P18"/>
  <c r="L18"/>
  <c r="G18"/>
  <c r="F18"/>
  <c r="E18"/>
  <c r="GZ17"/>
  <c r="GV17"/>
  <c r="GR17"/>
  <c r="GN17"/>
  <c r="GJ17"/>
  <c r="GF17"/>
  <c r="GB17"/>
  <c r="FX17"/>
  <c r="FT17"/>
  <c r="FP17"/>
  <c r="FL17"/>
  <c r="FH17"/>
  <c r="FD17"/>
  <c r="EZ17"/>
  <c r="EV17"/>
  <c r="ER17"/>
  <c r="EN17"/>
  <c r="EJ17"/>
  <c r="EF17"/>
  <c r="EB17"/>
  <c r="DX17"/>
  <c r="DT17"/>
  <c r="DP17"/>
  <c r="DK17"/>
  <c r="DJ17"/>
  <c r="DL17" s="1"/>
  <c r="DI17"/>
  <c r="DH17"/>
  <c r="DD17"/>
  <c r="CZ17"/>
  <c r="CV17"/>
  <c r="CR17"/>
  <c r="CN17"/>
  <c r="CJ17"/>
  <c r="CF17"/>
  <c r="CB17"/>
  <c r="BX17"/>
  <c r="BT17"/>
  <c r="BP17"/>
  <c r="BL17"/>
  <c r="BH17"/>
  <c r="BD17"/>
  <c r="AZ17"/>
  <c r="AV17"/>
  <c r="AR17"/>
  <c r="AN17"/>
  <c r="AJ17"/>
  <c r="AF17"/>
  <c r="AB17"/>
  <c r="X17"/>
  <c r="T17"/>
  <c r="P17"/>
  <c r="L17"/>
  <c r="G17"/>
  <c r="F17"/>
  <c r="E17"/>
  <c r="GZ16"/>
  <c r="GV16"/>
  <c r="GR16"/>
  <c r="GN16"/>
  <c r="GJ16"/>
  <c r="GF16"/>
  <c r="GB16"/>
  <c r="FX16"/>
  <c r="FT16"/>
  <c r="FP16"/>
  <c r="FL16"/>
  <c r="FH16"/>
  <c r="FD16"/>
  <c r="EZ16"/>
  <c r="EV16"/>
  <c r="ER16"/>
  <c r="EN16"/>
  <c r="EJ16"/>
  <c r="EF16"/>
  <c r="EB16"/>
  <c r="DX16"/>
  <c r="DT16"/>
  <c r="DP16"/>
  <c r="DL16"/>
  <c r="DH16"/>
  <c r="DD16"/>
  <c r="CZ16"/>
  <c r="CV16"/>
  <c r="CR16"/>
  <c r="CN16"/>
  <c r="CJ16"/>
  <c r="CF16"/>
  <c r="CB16"/>
  <c r="BX16"/>
  <c r="BT16"/>
  <c r="BP16"/>
  <c r="BL16"/>
  <c r="BH16"/>
  <c r="BD16"/>
  <c r="AZ16"/>
  <c r="AV16"/>
  <c r="AR16"/>
  <c r="AM16"/>
  <c r="AL16"/>
  <c r="AN16" s="1"/>
  <c r="AK16"/>
  <c r="AJ16"/>
  <c r="AF16"/>
  <c r="AB16"/>
  <c r="X16"/>
  <c r="T16"/>
  <c r="P16"/>
  <c r="K16"/>
  <c r="J16"/>
  <c r="L16" s="1"/>
  <c r="H16" s="1"/>
  <c r="I16"/>
  <c r="G16"/>
  <c r="F16"/>
  <c r="E16"/>
  <c r="GZ15"/>
  <c r="GV15"/>
  <c r="GR15"/>
  <c r="GN15"/>
  <c r="GJ15"/>
  <c r="GF15"/>
  <c r="GB15"/>
  <c r="FX15"/>
  <c r="FT15"/>
  <c r="FP15"/>
  <c r="FL15"/>
  <c r="FH15"/>
  <c r="FD15"/>
  <c r="EZ15"/>
  <c r="EV15"/>
  <c r="ER15"/>
  <c r="EN15"/>
  <c r="EJ15"/>
  <c r="EF15"/>
  <c r="EB15"/>
  <c r="DX15"/>
  <c r="DT15"/>
  <c r="DP15"/>
  <c r="DL15"/>
  <c r="DH15"/>
  <c r="DD15"/>
  <c r="CZ15"/>
  <c r="CV15"/>
  <c r="CR15"/>
  <c r="CN15"/>
  <c r="CJ15"/>
  <c r="CF15"/>
  <c r="CB15"/>
  <c r="BX15"/>
  <c r="BT15"/>
  <c r="BP15"/>
  <c r="BL15"/>
  <c r="BH15"/>
  <c r="BD15"/>
  <c r="AZ15"/>
  <c r="AV15"/>
  <c r="AR15"/>
  <c r="AN15"/>
  <c r="AJ15"/>
  <c r="AE15"/>
  <c r="AD15"/>
  <c r="F15" s="1"/>
  <c r="AC15"/>
  <c r="AB15"/>
  <c r="X15"/>
  <c r="T15"/>
  <c r="P15"/>
  <c r="L15"/>
  <c r="G15"/>
  <c r="E15"/>
  <c r="GZ14"/>
  <c r="GV14"/>
  <c r="GR14"/>
  <c r="GN14"/>
  <c r="GJ14"/>
  <c r="GF14"/>
  <c r="GB14"/>
  <c r="FX14"/>
  <c r="FT14"/>
  <c r="FP14"/>
  <c r="FL14"/>
  <c r="FH14"/>
  <c r="FD14"/>
  <c r="EZ14"/>
  <c r="EV14"/>
  <c r="ER14"/>
  <c r="EN14"/>
  <c r="EI14"/>
  <c r="EH14"/>
  <c r="EJ14" s="1"/>
  <c r="EG14"/>
  <c r="EF14"/>
  <c r="EB14"/>
  <c r="DX14"/>
  <c r="DT14"/>
  <c r="DP14"/>
  <c r="DL14"/>
  <c r="DH14"/>
  <c r="DD14"/>
  <c r="CZ14"/>
  <c r="CV14"/>
  <c r="CR14"/>
  <c r="CN14"/>
  <c r="CJ14"/>
  <c r="CF14"/>
  <c r="CB14"/>
  <c r="BX14"/>
  <c r="BS14"/>
  <c r="BR14"/>
  <c r="BT14" s="1"/>
  <c r="BQ14"/>
  <c r="BP14"/>
  <c r="BL14"/>
  <c r="BH14"/>
  <c r="BD14"/>
  <c r="AZ14"/>
  <c r="AU14"/>
  <c r="AV14" s="1"/>
  <c r="AT14"/>
  <c r="AS14"/>
  <c r="AQ14"/>
  <c r="AR14" s="1"/>
  <c r="AP14"/>
  <c r="AO14"/>
  <c r="AN14"/>
  <c r="AJ14"/>
  <c r="AF14"/>
  <c r="AB14"/>
  <c r="X14"/>
  <c r="S14"/>
  <c r="R14"/>
  <c r="T14" s="1"/>
  <c r="Q14"/>
  <c r="P14"/>
  <c r="L14"/>
  <c r="G14"/>
  <c r="F14"/>
  <c r="E14"/>
  <c r="GZ13"/>
  <c r="GV13"/>
  <c r="GR13"/>
  <c r="GN13"/>
  <c r="GJ13"/>
  <c r="GF13"/>
  <c r="GB13"/>
  <c r="FX13"/>
  <c r="FT13"/>
  <c r="FP13"/>
  <c r="FL13"/>
  <c r="FH13"/>
  <c r="FD13"/>
  <c r="EZ13"/>
  <c r="EV13"/>
  <c r="ER13"/>
  <c r="EN13"/>
  <c r="EJ13"/>
  <c r="EF13"/>
  <c r="EB13"/>
  <c r="DX13"/>
  <c r="DT13"/>
  <c r="DP13"/>
  <c r="DL13"/>
  <c r="DH13"/>
  <c r="DD13"/>
  <c r="CZ13"/>
  <c r="CV13"/>
  <c r="CR13"/>
  <c r="CN13"/>
  <c r="CJ13"/>
  <c r="CF13"/>
  <c r="CB13"/>
  <c r="BX13"/>
  <c r="BT13"/>
  <c r="BP13"/>
  <c r="BK13"/>
  <c r="BL13" s="1"/>
  <c r="BJ13"/>
  <c r="BI13"/>
  <c r="BH13"/>
  <c r="BD13"/>
  <c r="AZ13"/>
  <c r="AV13"/>
  <c r="AR13"/>
  <c r="AN13"/>
  <c r="AJ13"/>
  <c r="AF13"/>
  <c r="AB13"/>
  <c r="X13"/>
  <c r="T13"/>
  <c r="P13"/>
  <c r="L13"/>
  <c r="G13"/>
  <c r="F13"/>
  <c r="E13"/>
  <c r="GZ12"/>
  <c r="GV12"/>
  <c r="GR12"/>
  <c r="GN12"/>
  <c r="GJ12"/>
  <c r="GE12"/>
  <c r="GF12" s="1"/>
  <c r="GD12"/>
  <c r="GC12"/>
  <c r="GB12"/>
  <c r="FX12"/>
  <c r="FT12"/>
  <c r="FP12"/>
  <c r="FL12"/>
  <c r="FG12"/>
  <c r="FH12" s="1"/>
  <c r="FF12"/>
  <c r="FE12"/>
  <c r="FD12"/>
  <c r="EZ12"/>
  <c r="EV12"/>
  <c r="ER12"/>
  <c r="EN12"/>
  <c r="EI12"/>
  <c r="EJ12" s="1"/>
  <c r="EH12"/>
  <c r="EG12"/>
  <c r="EF12"/>
  <c r="EB12"/>
  <c r="DX12"/>
  <c r="DT12"/>
  <c r="DP12"/>
  <c r="DL12"/>
  <c r="DH12"/>
  <c r="DD12"/>
  <c r="CZ12"/>
  <c r="CV12"/>
  <c r="CR12"/>
  <c r="CM12"/>
  <c r="CL12"/>
  <c r="CN12" s="1"/>
  <c r="CK12"/>
  <c r="CJ12"/>
  <c r="CF12"/>
  <c r="CB12"/>
  <c r="BW12"/>
  <c r="BX12" s="1"/>
  <c r="BV12"/>
  <c r="BU12"/>
  <c r="BT12"/>
  <c r="BP12"/>
  <c r="BL12"/>
  <c r="BH12"/>
  <c r="BD12"/>
  <c r="AZ12"/>
  <c r="AV12"/>
  <c r="AR12"/>
  <c r="AN12"/>
  <c r="AJ12"/>
  <c r="AF12"/>
  <c r="AB12"/>
  <c r="W12"/>
  <c r="X12" s="1"/>
  <c r="V12"/>
  <c r="U12"/>
  <c r="T12"/>
  <c r="P12"/>
  <c r="L12"/>
  <c r="H12" s="1"/>
  <c r="G12"/>
  <c r="F12"/>
  <c r="E12"/>
  <c r="GZ11"/>
  <c r="GV11"/>
  <c r="GR11"/>
  <c r="GN11"/>
  <c r="GJ11"/>
  <c r="GF11"/>
  <c r="GB11"/>
  <c r="FX11"/>
  <c r="FT11"/>
  <c r="FP11"/>
  <c r="FK11"/>
  <c r="FL11" s="1"/>
  <c r="FJ11"/>
  <c r="FI11"/>
  <c r="FH11"/>
  <c r="FD11"/>
  <c r="EZ11"/>
  <c r="EV11"/>
  <c r="ER11"/>
  <c r="EM11"/>
  <c r="EL11"/>
  <c r="EN11" s="1"/>
  <c r="EK11"/>
  <c r="EJ11"/>
  <c r="EE11"/>
  <c r="EF11" s="1"/>
  <c r="ED11"/>
  <c r="EC11"/>
  <c r="EA11"/>
  <c r="EB11" s="1"/>
  <c r="DZ11"/>
  <c r="DY11"/>
  <c r="DX11"/>
  <c r="DS11"/>
  <c r="DT11" s="1"/>
  <c r="DR11"/>
  <c r="DQ11"/>
  <c r="DP11"/>
  <c r="DL11"/>
  <c r="DG11"/>
  <c r="DH11" s="1"/>
  <c r="DF11"/>
  <c r="DE11"/>
  <c r="DC11"/>
  <c r="DD11" s="1"/>
  <c r="DB11"/>
  <c r="DA11"/>
  <c r="CY11"/>
  <c r="CZ11" s="1"/>
  <c r="CX11"/>
  <c r="CW11"/>
  <c r="CU11"/>
  <c r="CV11" s="1"/>
  <c r="CT11"/>
  <c r="CS11"/>
  <c r="CQ11"/>
  <c r="CR11" s="1"/>
  <c r="CP11"/>
  <c r="CO11"/>
  <c r="CN11"/>
  <c r="CJ11"/>
  <c r="CE11"/>
  <c r="CF11" s="1"/>
  <c r="CD11"/>
  <c r="CC11"/>
  <c r="CB11"/>
  <c r="BX11"/>
  <c r="BT11"/>
  <c r="BP11"/>
  <c r="BL11"/>
  <c r="BH11"/>
  <c r="BC11"/>
  <c r="BD11" s="1"/>
  <c r="BB11"/>
  <c r="BA11"/>
  <c r="AZ11"/>
  <c r="AV11"/>
  <c r="AR11"/>
  <c r="AN11"/>
  <c r="AJ11"/>
  <c r="AE11"/>
  <c r="AD11"/>
  <c r="AF11" s="1"/>
  <c r="AC11"/>
  <c r="AA11"/>
  <c r="AB11" s="1"/>
  <c r="Z11"/>
  <c r="Y11"/>
  <c r="W11"/>
  <c r="X11" s="1"/>
  <c r="V11"/>
  <c r="U11"/>
  <c r="T11"/>
  <c r="P11"/>
  <c r="L11"/>
  <c r="G11"/>
  <c r="F11"/>
  <c r="E11"/>
  <c r="GZ10"/>
  <c r="GV10"/>
  <c r="GR10"/>
  <c r="GN10"/>
  <c r="GJ10"/>
  <c r="GF10"/>
  <c r="GB10"/>
  <c r="FX10"/>
  <c r="FS10"/>
  <c r="FT10" s="1"/>
  <c r="FR10"/>
  <c r="FQ10"/>
  <c r="FP10"/>
  <c r="FL10"/>
  <c r="FH10"/>
  <c r="FC10"/>
  <c r="FB10"/>
  <c r="FD10" s="1"/>
  <c r="FA10"/>
  <c r="EY10"/>
  <c r="EZ10" s="1"/>
  <c r="EX10"/>
  <c r="EW10"/>
  <c r="EU10"/>
  <c r="EV10" s="1"/>
  <c r="ET10"/>
  <c r="ES10"/>
  <c r="ER10"/>
  <c r="EN10"/>
  <c r="EJ10"/>
  <c r="EF10"/>
  <c r="EB10"/>
  <c r="DW10"/>
  <c r="DX10" s="1"/>
  <c r="DV10"/>
  <c r="DU10"/>
  <c r="DT10"/>
  <c r="DO10"/>
  <c r="DP10" s="1"/>
  <c r="DN10"/>
  <c r="DM10"/>
  <c r="DL10"/>
  <c r="DH10"/>
  <c r="DD10"/>
  <c r="CZ10"/>
  <c r="CV10"/>
  <c r="CR10"/>
  <c r="CN10"/>
  <c r="CJ10"/>
  <c r="CF10"/>
  <c r="CB10"/>
  <c r="BX10"/>
  <c r="BT10"/>
  <c r="BO10"/>
  <c r="BP10" s="1"/>
  <c r="BN10"/>
  <c r="BM10"/>
  <c r="BL10"/>
  <c r="BH10"/>
  <c r="BD10"/>
  <c r="AZ10"/>
  <c r="AV10"/>
  <c r="AR10"/>
  <c r="AN10"/>
  <c r="AJ10"/>
  <c r="AF10"/>
  <c r="AB10"/>
  <c r="X10"/>
  <c r="T10"/>
  <c r="P10"/>
  <c r="L10"/>
  <c r="G10"/>
  <c r="F10"/>
  <c r="E10"/>
  <c r="GY9"/>
  <c r="GZ9" s="1"/>
  <c r="GX9"/>
  <c r="GW9"/>
  <c r="GU9"/>
  <c r="GT9"/>
  <c r="GS9"/>
  <c r="GQ9"/>
  <c r="GR9" s="1"/>
  <c r="GP9"/>
  <c r="GO9"/>
  <c r="GM9"/>
  <c r="GL9"/>
  <c r="GK9"/>
  <c r="GI9"/>
  <c r="GJ9" s="1"/>
  <c r="GH9"/>
  <c r="GG9"/>
  <c r="GE9"/>
  <c r="GD9"/>
  <c r="GC9"/>
  <c r="GA9"/>
  <c r="GB9" s="1"/>
  <c r="FZ9"/>
  <c r="FY9"/>
  <c r="FW9"/>
  <c r="FV9"/>
  <c r="FU9"/>
  <c r="FS9"/>
  <c r="FT9" s="1"/>
  <c r="FR9"/>
  <c r="FQ9"/>
  <c r="FO9"/>
  <c r="FN9"/>
  <c r="FM9"/>
  <c r="FK9"/>
  <c r="FL9" s="1"/>
  <c r="FJ9"/>
  <c r="FI9"/>
  <c r="FG9"/>
  <c r="FF9"/>
  <c r="FE9"/>
  <c r="FC9"/>
  <c r="FD9" s="1"/>
  <c r="FB9"/>
  <c r="FA9"/>
  <c r="EY9"/>
  <c r="EX9"/>
  <c r="EW9"/>
  <c r="EU9"/>
  <c r="EV9" s="1"/>
  <c r="ET9"/>
  <c r="ES9"/>
  <c r="EQ9"/>
  <c r="EP9"/>
  <c r="EO9"/>
  <c r="EM9"/>
  <c r="EN9" s="1"/>
  <c r="EL9"/>
  <c r="EK9"/>
  <c r="EI9"/>
  <c r="EH9"/>
  <c r="EG9"/>
  <c r="EE9"/>
  <c r="EF9" s="1"/>
  <c r="ED9"/>
  <c r="EC9"/>
  <c r="EA9"/>
  <c r="DZ9"/>
  <c r="DY9"/>
  <c r="DW9"/>
  <c r="DX9" s="1"/>
  <c r="DV9"/>
  <c r="DU9"/>
  <c r="DS9"/>
  <c r="DR9"/>
  <c r="DQ9"/>
  <c r="DO9"/>
  <c r="DP9" s="1"/>
  <c r="DN9"/>
  <c r="DM9"/>
  <c r="DK9"/>
  <c r="DJ9"/>
  <c r="DI9"/>
  <c r="DG9"/>
  <c r="DH9" s="1"/>
  <c r="DF9"/>
  <c r="DE9"/>
  <c r="DC9"/>
  <c r="DB9"/>
  <c r="DA9"/>
  <c r="CY9"/>
  <c r="CZ9" s="1"/>
  <c r="CX9"/>
  <c r="CW9"/>
  <c r="CU9"/>
  <c r="CT9"/>
  <c r="CS9"/>
  <c r="CQ9"/>
  <c r="CR9" s="1"/>
  <c r="CP9"/>
  <c r="CO9"/>
  <c r="CM9"/>
  <c r="CL9"/>
  <c r="CK9"/>
  <c r="CI9"/>
  <c r="CJ9" s="1"/>
  <c r="CH9"/>
  <c r="CG9"/>
  <c r="CE9"/>
  <c r="CD9"/>
  <c r="CC9"/>
  <c r="CA9"/>
  <c r="CB9" s="1"/>
  <c r="BZ9"/>
  <c r="BY9"/>
  <c r="BW9"/>
  <c r="BV9"/>
  <c r="BU9"/>
  <c r="BS9"/>
  <c r="BT9" s="1"/>
  <c r="BR9"/>
  <c r="BQ9"/>
  <c r="BO9"/>
  <c r="BN9"/>
  <c r="BM9"/>
  <c r="BK9"/>
  <c r="BL9" s="1"/>
  <c r="BJ9"/>
  <c r="BI9"/>
  <c r="BG9"/>
  <c r="BF9"/>
  <c r="BE9"/>
  <c r="BC9"/>
  <c r="BD9" s="1"/>
  <c r="BB9"/>
  <c r="BA9"/>
  <c r="AY9"/>
  <c r="AX9"/>
  <c r="AW9"/>
  <c r="AU9"/>
  <c r="AV9" s="1"/>
  <c r="AT9"/>
  <c r="AS9"/>
  <c r="AQ9"/>
  <c r="AP9"/>
  <c r="AO9"/>
  <c r="AM9"/>
  <c r="AN9" s="1"/>
  <c r="AL9"/>
  <c r="AK9"/>
  <c r="AI9"/>
  <c r="AH9"/>
  <c r="AG9"/>
  <c r="AE9"/>
  <c r="AF9" s="1"/>
  <c r="AD9"/>
  <c r="AC9"/>
  <c r="AA9"/>
  <c r="Z9"/>
  <c r="Y9"/>
  <c r="W9"/>
  <c r="X9" s="1"/>
  <c r="V9"/>
  <c r="U9"/>
  <c r="S9"/>
  <c r="R9"/>
  <c r="Q9"/>
  <c r="O9"/>
  <c r="P9" s="1"/>
  <c r="N9"/>
  <c r="M9"/>
  <c r="K9"/>
  <c r="J9"/>
  <c r="I9"/>
  <c r="HN8"/>
  <c r="FO8"/>
  <c r="FN8"/>
  <c r="FM8"/>
  <c r="GY6"/>
  <c r="GZ6" s="1"/>
  <c r="GX6"/>
  <c r="GW6"/>
  <c r="GW8" s="1"/>
  <c r="GU6"/>
  <c r="GV6" s="1"/>
  <c r="GT6"/>
  <c r="GS6"/>
  <c r="GS8" s="1"/>
  <c r="GQ6"/>
  <c r="GR6" s="1"/>
  <c r="GP6"/>
  <c r="GO6"/>
  <c r="GO8" s="1"/>
  <c r="GM6"/>
  <c r="GN6" s="1"/>
  <c r="GL6"/>
  <c r="GK6"/>
  <c r="GK8" s="1"/>
  <c r="GI6"/>
  <c r="GJ6" s="1"/>
  <c r="GH6"/>
  <c r="GG6"/>
  <c r="GG8" s="1"/>
  <c r="GE6"/>
  <c r="GF6" s="1"/>
  <c r="GD6"/>
  <c r="GC6"/>
  <c r="GC8" s="1"/>
  <c r="GA6"/>
  <c r="GB6" s="1"/>
  <c r="FZ6"/>
  <c r="FY6"/>
  <c r="FY8" s="1"/>
  <c r="FW6"/>
  <c r="FX6" s="1"/>
  <c r="FV6"/>
  <c r="FU6"/>
  <c r="FU8" s="1"/>
  <c r="FS6"/>
  <c r="FT6" s="1"/>
  <c r="FR6"/>
  <c r="FQ6"/>
  <c r="FQ8" s="1"/>
  <c r="FP6"/>
  <c r="FK6"/>
  <c r="FJ6"/>
  <c r="FJ8" s="1"/>
  <c r="FI6"/>
  <c r="FI8" s="1"/>
  <c r="FG6"/>
  <c r="FF6"/>
  <c r="FF8" s="1"/>
  <c r="FE6"/>
  <c r="FE44" s="1"/>
  <c r="FC6"/>
  <c r="FB6"/>
  <c r="FB8" s="1"/>
  <c r="FA6"/>
  <c r="FA8" s="1"/>
  <c r="EY6"/>
  <c r="EX6"/>
  <c r="EX8" s="1"/>
  <c r="EW6"/>
  <c r="EW8" s="1"/>
  <c r="EU6"/>
  <c r="ET6"/>
  <c r="ET8" s="1"/>
  <c r="ES6"/>
  <c r="ES8" s="1"/>
  <c r="EQ6"/>
  <c r="EP6"/>
  <c r="EP8" s="1"/>
  <c r="EO6"/>
  <c r="EO8" s="1"/>
  <c r="EM6"/>
  <c r="EL6"/>
  <c r="EL8" s="1"/>
  <c r="EK6"/>
  <c r="EK8" s="1"/>
  <c r="EI6"/>
  <c r="EH6"/>
  <c r="EH8" s="1"/>
  <c r="EG6"/>
  <c r="EG8" s="1"/>
  <c r="EE6"/>
  <c r="ED6"/>
  <c r="ED8" s="1"/>
  <c r="EC6"/>
  <c r="EC8" s="1"/>
  <c r="EA6"/>
  <c r="DZ6"/>
  <c r="DZ8" s="1"/>
  <c r="DY6"/>
  <c r="DY8" s="1"/>
  <c r="DW6"/>
  <c r="DV6"/>
  <c r="DV8" s="1"/>
  <c r="DU6"/>
  <c r="DU8" s="1"/>
  <c r="DS6"/>
  <c r="DR6"/>
  <c r="DR8" s="1"/>
  <c r="DQ6"/>
  <c r="DQ8" s="1"/>
  <c r="DO6"/>
  <c r="DN6"/>
  <c r="DN8" s="1"/>
  <c r="DM6"/>
  <c r="DM8" s="1"/>
  <c r="DK6"/>
  <c r="DJ6"/>
  <c r="DJ8" s="1"/>
  <c r="DI6"/>
  <c r="DI8" s="1"/>
  <c r="DG6"/>
  <c r="DF6"/>
  <c r="DF8" s="1"/>
  <c r="DE6"/>
  <c r="DE8" s="1"/>
  <c r="DC6"/>
  <c r="DB6"/>
  <c r="DB8" s="1"/>
  <c r="DA6"/>
  <c r="DA8" s="1"/>
  <c r="CY6"/>
  <c r="CX6"/>
  <c r="CX8" s="1"/>
  <c r="CW6"/>
  <c r="CW8" s="1"/>
  <c r="CU6"/>
  <c r="CT6"/>
  <c r="CT8" s="1"/>
  <c r="CS6"/>
  <c r="CS8" s="1"/>
  <c r="CQ6"/>
  <c r="CP6"/>
  <c r="CP8" s="1"/>
  <c r="CO6"/>
  <c r="CO8" s="1"/>
  <c r="CM6"/>
  <c r="CL6"/>
  <c r="CL8" s="1"/>
  <c r="CK6"/>
  <c r="CK8" s="1"/>
  <c r="CI6"/>
  <c r="CH6"/>
  <c r="CH8" s="1"/>
  <c r="CG6"/>
  <c r="CG8" s="1"/>
  <c r="CE6"/>
  <c r="CD6"/>
  <c r="CD8" s="1"/>
  <c r="CC6"/>
  <c r="CC8" s="1"/>
  <c r="CA6"/>
  <c r="BZ6"/>
  <c r="BZ8" s="1"/>
  <c r="BY6"/>
  <c r="BY8" s="1"/>
  <c r="BW6"/>
  <c r="BV6"/>
  <c r="BV8" s="1"/>
  <c r="BU6"/>
  <c r="BU8" s="1"/>
  <c r="BS6"/>
  <c r="BR6"/>
  <c r="BR8" s="1"/>
  <c r="BQ6"/>
  <c r="BQ8" s="1"/>
  <c r="BO6"/>
  <c r="BN6"/>
  <c r="BN8" s="1"/>
  <c r="BM6"/>
  <c r="BM8" s="1"/>
  <c r="BK6"/>
  <c r="BJ6"/>
  <c r="BJ8" s="1"/>
  <c r="BI6"/>
  <c r="BI8" s="1"/>
  <c r="BG6"/>
  <c r="BF6"/>
  <c r="BF8" s="1"/>
  <c r="BE6"/>
  <c r="BE8" s="1"/>
  <c r="BC6"/>
  <c r="BB6"/>
  <c r="BB8" s="1"/>
  <c r="BA6"/>
  <c r="BA8" s="1"/>
  <c r="AY6"/>
  <c r="AX6"/>
  <c r="AX8" s="1"/>
  <c r="AW6"/>
  <c r="AW8" s="1"/>
  <c r="AU6"/>
  <c r="AT6"/>
  <c r="AT8" s="1"/>
  <c r="AS6"/>
  <c r="AS8" s="1"/>
  <c r="AQ6"/>
  <c r="AP6"/>
  <c r="AP8" s="1"/>
  <c r="AO6"/>
  <c r="AO8" s="1"/>
  <c r="AM6"/>
  <c r="AL6"/>
  <c r="AL8" s="1"/>
  <c r="AK6"/>
  <c r="AK8" s="1"/>
  <c r="AI6"/>
  <c r="AH6"/>
  <c r="AH8" s="1"/>
  <c r="AG6"/>
  <c r="AG8" s="1"/>
  <c r="AE6"/>
  <c r="AD6"/>
  <c r="AD8" s="1"/>
  <c r="AC6"/>
  <c r="AC8" s="1"/>
  <c r="AA6"/>
  <c r="Z6"/>
  <c r="Z8" s="1"/>
  <c r="Y6"/>
  <c r="Y8" s="1"/>
  <c r="W6"/>
  <c r="V6"/>
  <c r="V8" s="1"/>
  <c r="U6"/>
  <c r="U8" s="1"/>
  <c r="S6"/>
  <c r="R6"/>
  <c r="R8" s="1"/>
  <c r="Q6"/>
  <c r="Q8" s="1"/>
  <c r="O6"/>
  <c r="N6"/>
  <c r="N8" s="1"/>
  <c r="M6"/>
  <c r="M8" s="1"/>
  <c r="K6"/>
  <c r="J6"/>
  <c r="J8" s="1"/>
  <c r="I6"/>
  <c r="I8" s="1"/>
  <c r="G6"/>
  <c r="F6"/>
  <c r="E6"/>
  <c r="AI47" i="7"/>
  <c r="U35"/>
  <c r="U29"/>
  <c r="U25"/>
  <c r="U23"/>
  <c r="U21"/>
  <c r="U19"/>
  <c r="U15"/>
  <c r="U13"/>
  <c r="U11"/>
  <c r="U9"/>
  <c r="AJ66"/>
  <c r="AJ64"/>
  <c r="AJ62"/>
  <c r="AJ60"/>
  <c r="AJ58"/>
  <c r="AJ55"/>
  <c r="AJ53"/>
  <c r="AJ51"/>
  <c r="AJ49"/>
  <c r="AJ47"/>
  <c r="AJ45"/>
  <c r="AJ43"/>
  <c r="AJ41"/>
  <c r="AJ39"/>
  <c r="AJ37"/>
  <c r="AJ35"/>
  <c r="AJ33"/>
  <c r="AJ31"/>
  <c r="AJ29"/>
  <c r="AJ27"/>
  <c r="AJ25"/>
  <c r="AJ23"/>
  <c r="AJ21"/>
  <c r="AJ19"/>
  <c r="AJ17"/>
  <c r="AJ15"/>
  <c r="AJ13"/>
  <c r="AF66" i="6"/>
  <c r="AF64"/>
  <c r="AF62"/>
  <c r="AF60"/>
  <c r="AF58"/>
  <c r="AF56"/>
  <c r="AF54"/>
  <c r="AF52"/>
  <c r="AF50"/>
  <c r="AF48"/>
  <c r="AF46"/>
  <c r="AF44"/>
  <c r="AF42"/>
  <c r="AF40"/>
  <c r="AF38"/>
  <c r="AF36"/>
  <c r="AF34"/>
  <c r="AF32"/>
  <c r="AF30"/>
  <c r="AF28"/>
  <c r="AF26"/>
  <c r="AF24"/>
  <c r="AF22"/>
  <c r="AF20"/>
  <c r="AF18"/>
  <c r="AF16"/>
  <c r="AF14"/>
  <c r="AF10"/>
  <c r="AF36" i="5"/>
  <c r="AG36" s="1"/>
  <c r="AF38"/>
  <c r="AG38" s="1"/>
  <c r="AF34"/>
  <c r="AG34" s="1"/>
  <c r="AF42"/>
  <c r="AG42" s="1"/>
  <c r="AF24"/>
  <c r="AG24" s="1"/>
  <c r="AF71"/>
  <c r="AF69"/>
  <c r="AF67"/>
  <c r="AF65"/>
  <c r="AG65" s="1"/>
  <c r="AF63"/>
  <c r="AF32"/>
  <c r="AG32" s="1"/>
  <c r="AF54"/>
  <c r="AF52"/>
  <c r="AF50"/>
  <c r="AF46"/>
  <c r="AG46" s="1"/>
  <c r="AF12"/>
  <c r="AF44"/>
  <c r="AF30"/>
  <c r="AF26"/>
  <c r="AG26" s="1"/>
  <c r="AF28"/>
  <c r="AG28" s="1"/>
  <c r="AF18"/>
  <c r="AF61"/>
  <c r="AG61" s="1"/>
  <c r="AF14"/>
  <c r="AG14" s="1"/>
  <c r="AF22"/>
  <c r="AF10"/>
  <c r="AF20"/>
  <c r="AG20" s="1"/>
  <c r="AF48"/>
  <c r="AF16"/>
  <c r="AG16" s="1"/>
  <c r="AF40"/>
  <c r="AF66" i="4"/>
  <c r="AF64"/>
  <c r="AF62"/>
  <c r="AF60"/>
  <c r="AF58"/>
  <c r="AF56"/>
  <c r="AF54"/>
  <c r="AF52"/>
  <c r="AF50"/>
  <c r="AF48"/>
  <c r="AF46"/>
  <c r="AF44"/>
  <c r="AF42"/>
  <c r="AF40"/>
  <c r="AF38"/>
  <c r="AF36"/>
  <c r="AF34"/>
  <c r="AF32"/>
  <c r="AF30"/>
  <c r="AF28"/>
  <c r="AF26"/>
  <c r="AF24"/>
  <c r="AF22"/>
  <c r="AF20"/>
  <c r="AF18"/>
  <c r="AF16"/>
  <c r="AF14"/>
  <c r="AF10"/>
  <c r="F14" i="3" l="1"/>
  <c r="AJ69" s="1"/>
  <c r="F19"/>
  <c r="F13"/>
  <c r="AJ67" s="1"/>
  <c r="DX133" i="8"/>
  <c r="DW131"/>
  <c r="DX131" s="1"/>
  <c r="GF133"/>
  <c r="GE131"/>
  <c r="GF131" s="1"/>
  <c r="EZ133"/>
  <c r="EY131"/>
  <c r="EZ131" s="1"/>
  <c r="N131"/>
  <c r="R131"/>
  <c r="V131"/>
  <c r="BJ131"/>
  <c r="BN131"/>
  <c r="BN149" s="1"/>
  <c r="BR131"/>
  <c r="BV131"/>
  <c r="BZ131"/>
  <c r="CT131"/>
  <c r="CX131"/>
  <c r="DB131"/>
  <c r="FJ131"/>
  <c r="GH131"/>
  <c r="GH149" s="1"/>
  <c r="M167"/>
  <c r="H135"/>
  <c r="P137"/>
  <c r="X137"/>
  <c r="AF137"/>
  <c r="AN137"/>
  <c r="AV137"/>
  <c r="BD137"/>
  <c r="BL137"/>
  <c r="BT137"/>
  <c r="BX137"/>
  <c r="CF137"/>
  <c r="CN137"/>
  <c r="CV137"/>
  <c r="DD137"/>
  <c r="DL137"/>
  <c r="DT137"/>
  <c r="EB137"/>
  <c r="EJ137"/>
  <c r="ER137"/>
  <c r="EZ137"/>
  <c r="FH137"/>
  <c r="FP137"/>
  <c r="FX137"/>
  <c r="GF137"/>
  <c r="GN137"/>
  <c r="GV137"/>
  <c r="H138"/>
  <c r="H139"/>
  <c r="H140"/>
  <c r="H143"/>
  <c r="F144"/>
  <c r="H145"/>
  <c r="H148"/>
  <c r="FD107"/>
  <c r="FC105"/>
  <c r="FD105" s="1"/>
  <c r="EJ119"/>
  <c r="EI117"/>
  <c r="BX122"/>
  <c r="H122" s="1"/>
  <c r="G122"/>
  <c r="G120" s="1"/>
  <c r="BW120"/>
  <c r="FX126"/>
  <c r="FX101" s="1"/>
  <c r="G126"/>
  <c r="FW101"/>
  <c r="FW99" s="1"/>
  <c r="FX99" s="1"/>
  <c r="ER123"/>
  <c r="ER101" s="1"/>
  <c r="EQ101"/>
  <c r="EQ99" s="1"/>
  <c r="ER99" s="1"/>
  <c r="K133"/>
  <c r="J131"/>
  <c r="FP8"/>
  <c r="L9"/>
  <c r="T9"/>
  <c r="AB9"/>
  <c r="AJ9"/>
  <c r="AR9"/>
  <c r="AZ9"/>
  <c r="BH9"/>
  <c r="BP9"/>
  <c r="BX9"/>
  <c r="CF9"/>
  <c r="CN9"/>
  <c r="CV9"/>
  <c r="DD9"/>
  <c r="DL9"/>
  <c r="DT9"/>
  <c r="EB9"/>
  <c r="EJ9"/>
  <c r="ER9"/>
  <c r="EZ9"/>
  <c r="FH9"/>
  <c r="FP9"/>
  <c r="FX9"/>
  <c r="GF9"/>
  <c r="GN9"/>
  <c r="GV9"/>
  <c r="H17"/>
  <c r="H18"/>
  <c r="E9"/>
  <c r="H19"/>
  <c r="L24"/>
  <c r="T24"/>
  <c r="AB24"/>
  <c r="AJ24"/>
  <c r="AR24"/>
  <c r="AZ24"/>
  <c r="BH24"/>
  <c r="BP24"/>
  <c r="BX24"/>
  <c r="CF24"/>
  <c r="CN24"/>
  <c r="CV24"/>
  <c r="DD24"/>
  <c r="DL24"/>
  <c r="DT24"/>
  <c r="EB24"/>
  <c r="EJ24"/>
  <c r="ER24"/>
  <c r="EZ24"/>
  <c r="FH24"/>
  <c r="FP24"/>
  <c r="FX24"/>
  <c r="GF24"/>
  <c r="GN24"/>
  <c r="GV24"/>
  <c r="H35"/>
  <c r="H46"/>
  <c r="BH55"/>
  <c r="CZ56"/>
  <c r="DH56"/>
  <c r="DP56"/>
  <c r="DX56"/>
  <c r="EF56"/>
  <c r="EN56"/>
  <c r="EV56"/>
  <c r="FD56"/>
  <c r="FL56"/>
  <c r="FT56"/>
  <c r="GB56"/>
  <c r="GN56"/>
  <c r="GV56"/>
  <c r="GV57"/>
  <c r="T58"/>
  <c r="AF58"/>
  <c r="AR58"/>
  <c r="BL58"/>
  <c r="BT58"/>
  <c r="CB58"/>
  <c r="CZ58"/>
  <c r="DP58"/>
  <c r="EJ58"/>
  <c r="EV58"/>
  <c r="FH58"/>
  <c r="GB58"/>
  <c r="GJ58"/>
  <c r="GR58"/>
  <c r="P61"/>
  <c r="X61"/>
  <c r="BL61"/>
  <c r="BT61"/>
  <c r="BX61"/>
  <c r="H62"/>
  <c r="H61" s="1"/>
  <c r="DT57"/>
  <c r="ER57"/>
  <c r="FD57"/>
  <c r="FP61"/>
  <c r="P64"/>
  <c r="X64"/>
  <c r="AF64"/>
  <c r="CJ64"/>
  <c r="EF64"/>
  <c r="CJ57"/>
  <c r="P67"/>
  <c r="BX67"/>
  <c r="FT67"/>
  <c r="BH57"/>
  <c r="CN57"/>
  <c r="GF57"/>
  <c r="H77"/>
  <c r="E57"/>
  <c r="H81"/>
  <c r="FT82"/>
  <c r="H86"/>
  <c r="H85" s="1"/>
  <c r="DL57"/>
  <c r="FP56"/>
  <c r="FD94"/>
  <c r="E94"/>
  <c r="H103"/>
  <c r="H106"/>
  <c r="H109"/>
  <c r="H115"/>
  <c r="H116"/>
  <c r="H129"/>
  <c r="H10"/>
  <c r="H11"/>
  <c r="H13"/>
  <c r="F9"/>
  <c r="H22"/>
  <c r="H28"/>
  <c r="E24"/>
  <c r="H30"/>
  <c r="H32"/>
  <c r="H38"/>
  <c r="H40"/>
  <c r="H42"/>
  <c r="H48"/>
  <c r="H50"/>
  <c r="H52"/>
  <c r="CZ55"/>
  <c r="EN55"/>
  <c r="EV55"/>
  <c r="FT55"/>
  <c r="GF55"/>
  <c r="GN55"/>
  <c r="GV55"/>
  <c r="L55"/>
  <c r="T56"/>
  <c r="AB56"/>
  <c r="AJ56"/>
  <c r="AR56"/>
  <c r="AZ56"/>
  <c r="BH56"/>
  <c r="BP56"/>
  <c r="BX56"/>
  <c r="CF56"/>
  <c r="CN56"/>
  <c r="CV56"/>
  <c r="DD56"/>
  <c r="DL56"/>
  <c r="DT56"/>
  <c r="EB56"/>
  <c r="EJ56"/>
  <c r="CZ61"/>
  <c r="DP61"/>
  <c r="EJ61"/>
  <c r="EV61"/>
  <c r="FD61"/>
  <c r="GR61"/>
  <c r="CR57"/>
  <c r="AB57"/>
  <c r="AJ57"/>
  <c r="AZ57"/>
  <c r="CF57"/>
  <c r="H71"/>
  <c r="H70" s="1"/>
  <c r="P73"/>
  <c r="X73"/>
  <c r="AN73"/>
  <c r="AV73"/>
  <c r="BH73"/>
  <c r="BT73"/>
  <c r="CB73"/>
  <c r="DH73"/>
  <c r="DX73"/>
  <c r="EJ73"/>
  <c r="FD73"/>
  <c r="FT73"/>
  <c r="GV73"/>
  <c r="BD57"/>
  <c r="DH57"/>
  <c r="EB57"/>
  <c r="FP73"/>
  <c r="FX57"/>
  <c r="P76"/>
  <c r="CR88"/>
  <c r="H93"/>
  <c r="H91" s="1"/>
  <c r="H98"/>
  <c r="X99"/>
  <c r="AJ99"/>
  <c r="AZ99"/>
  <c r="BH99"/>
  <c r="BP99"/>
  <c r="CF99"/>
  <c r="CN99"/>
  <c r="CV99"/>
  <c r="DD99"/>
  <c r="DL99"/>
  <c r="DX99"/>
  <c r="EF99"/>
  <c r="EZ99"/>
  <c r="FL99"/>
  <c r="FT99"/>
  <c r="GB99"/>
  <c r="GJ99"/>
  <c r="GR99"/>
  <c r="GZ99"/>
  <c r="AB100"/>
  <c r="AJ100"/>
  <c r="AZ100"/>
  <c r="BH100"/>
  <c r="BP100"/>
  <c r="CF100"/>
  <c r="CN100"/>
  <c r="CV100"/>
  <c r="DD100"/>
  <c r="DL100"/>
  <c r="DT100"/>
  <c r="EB100"/>
  <c r="EJ100"/>
  <c r="ER100"/>
  <c r="EZ100"/>
  <c r="FH100"/>
  <c r="FP100"/>
  <c r="GF100"/>
  <c r="GN100"/>
  <c r="GV100"/>
  <c r="AF102"/>
  <c r="AZ102"/>
  <c r="CR102"/>
  <c r="DH102"/>
  <c r="EF102"/>
  <c r="FH102"/>
  <c r="DP105"/>
  <c r="EN105"/>
  <c r="AB108"/>
  <c r="CJ108"/>
  <c r="GR108"/>
  <c r="CB114"/>
  <c r="G116"/>
  <c r="G114" s="1"/>
  <c r="EJ117"/>
  <c r="BX120"/>
  <c r="H121"/>
  <c r="H120" s="1"/>
  <c r="Z133"/>
  <c r="AH133"/>
  <c r="AL133"/>
  <c r="AX133"/>
  <c r="BB133"/>
  <c r="BF133"/>
  <c r="CD133"/>
  <c r="CH133"/>
  <c r="FD44"/>
  <c r="G44"/>
  <c r="H60"/>
  <c r="H58" s="1"/>
  <c r="E67"/>
  <c r="E56"/>
  <c r="E55" s="1"/>
  <c r="F56"/>
  <c r="F79"/>
  <c r="H14"/>
  <c r="H20"/>
  <c r="H25"/>
  <c r="H24" s="1"/>
  <c r="H36"/>
  <c r="H44"/>
  <c r="H45"/>
  <c r="H65"/>
  <c r="H68"/>
  <c r="H67" s="1"/>
  <c r="H88"/>
  <c r="H90"/>
  <c r="H96"/>
  <c r="FP57"/>
  <c r="FP58"/>
  <c r="L57"/>
  <c r="H66"/>
  <c r="L56"/>
  <c r="H74"/>
  <c r="H73" s="1"/>
  <c r="F57"/>
  <c r="F76"/>
  <c r="H94"/>
  <c r="HG117"/>
  <c r="HG116" s="1"/>
  <c r="HG110"/>
  <c r="HL110"/>
  <c r="HL117"/>
  <c r="HL116" s="1"/>
  <c r="HD110"/>
  <c r="HD117"/>
  <c r="HD116" s="1"/>
  <c r="HF110"/>
  <c r="HF117"/>
  <c r="HF116" s="1"/>
  <c r="HJ110"/>
  <c r="HJ117"/>
  <c r="HJ116" s="1"/>
  <c r="HI117"/>
  <c r="HI116" s="1"/>
  <c r="HI110"/>
  <c r="HE117"/>
  <c r="HE116" s="1"/>
  <c r="HE110"/>
  <c r="HC117"/>
  <c r="HC116" s="1"/>
  <c r="HC110"/>
  <c r="HH110"/>
  <c r="HH117"/>
  <c r="HH116" s="1"/>
  <c r="HM117"/>
  <c r="HM116" s="1"/>
  <c r="HM110"/>
  <c r="H166"/>
  <c r="J136"/>
  <c r="F166"/>
  <c r="N136"/>
  <c r="K166"/>
  <c r="R136"/>
  <c r="M166"/>
  <c r="V136"/>
  <c r="AA136"/>
  <c r="Z134"/>
  <c r="AE136"/>
  <c r="AD134"/>
  <c r="AD149" s="1"/>
  <c r="AI136"/>
  <c r="AH134"/>
  <c r="AM136"/>
  <c r="AL134"/>
  <c r="J166"/>
  <c r="AP136"/>
  <c r="AU136"/>
  <c r="AT134"/>
  <c r="AY136"/>
  <c r="AX134"/>
  <c r="BC136"/>
  <c r="BB134"/>
  <c r="BG136"/>
  <c r="BF134"/>
  <c r="BK136"/>
  <c r="BJ134"/>
  <c r="BJ149" s="1"/>
  <c r="BO136"/>
  <c r="BN134"/>
  <c r="BS136"/>
  <c r="BR134"/>
  <c r="BR149" s="1"/>
  <c r="I166"/>
  <c r="BV136"/>
  <c r="L166"/>
  <c r="BZ136"/>
  <c r="CE136"/>
  <c r="CD134"/>
  <c r="CI136"/>
  <c r="CH134"/>
  <c r="CM136"/>
  <c r="CL134"/>
  <c r="CL149" s="1"/>
  <c r="G166"/>
  <c r="CP136"/>
  <c r="CU136"/>
  <c r="CT134"/>
  <c r="CY136"/>
  <c r="CX134"/>
  <c r="DC136"/>
  <c r="DB134"/>
  <c r="DG136"/>
  <c r="DF134"/>
  <c r="DK136"/>
  <c r="DJ134"/>
  <c r="DO136"/>
  <c r="DN134"/>
  <c r="DS136"/>
  <c r="DR134"/>
  <c r="DW136"/>
  <c r="DV134"/>
  <c r="EA136"/>
  <c r="DZ134"/>
  <c r="EE136"/>
  <c r="ED134"/>
  <c r="EI136"/>
  <c r="EH134"/>
  <c r="EM136"/>
  <c r="EL134"/>
  <c r="EL149" s="1"/>
  <c r="EQ136"/>
  <c r="EP134"/>
  <c r="EP149" s="1"/>
  <c r="EU136"/>
  <c r="ET134"/>
  <c r="ET149" s="1"/>
  <c r="EY136"/>
  <c r="EX134"/>
  <c r="EX149" s="1"/>
  <c r="FC136"/>
  <c r="FB134"/>
  <c r="FG136"/>
  <c r="FF134"/>
  <c r="FK136"/>
  <c r="FJ134"/>
  <c r="FJ149" s="1"/>
  <c r="FO136"/>
  <c r="FN134"/>
  <c r="FN149" s="1"/>
  <c r="FS136"/>
  <c r="FR134"/>
  <c r="N166"/>
  <c r="FV136"/>
  <c r="GA136"/>
  <c r="FZ134"/>
  <c r="FZ149" s="1"/>
  <c r="GE136"/>
  <c r="GD134"/>
  <c r="GI136"/>
  <c r="GH134"/>
  <c r="GM136"/>
  <c r="GL134"/>
  <c r="GQ136"/>
  <c r="GP134"/>
  <c r="GU136"/>
  <c r="GT134"/>
  <c r="GY136"/>
  <c r="GX134"/>
  <c r="GX149" s="1"/>
  <c r="GX160" s="1"/>
  <c r="GX161" s="1"/>
  <c r="T104"/>
  <c r="S102"/>
  <c r="T102" s="1"/>
  <c r="X104"/>
  <c r="W102"/>
  <c r="X102" s="1"/>
  <c r="BP104"/>
  <c r="BO102"/>
  <c r="BP102" s="1"/>
  <c r="BV102"/>
  <c r="BW104"/>
  <c r="F104"/>
  <c r="CY102"/>
  <c r="CZ102" s="1"/>
  <c r="CZ104"/>
  <c r="CZ101" s="1"/>
  <c r="DO102"/>
  <c r="DP102" s="1"/>
  <c r="DP104"/>
  <c r="DX104"/>
  <c r="DX101" s="1"/>
  <c r="DW102"/>
  <c r="DX102" s="1"/>
  <c r="EN104"/>
  <c r="EN101" s="1"/>
  <c r="EM102"/>
  <c r="EN102" s="1"/>
  <c r="EV104"/>
  <c r="EV101" s="1"/>
  <c r="EU102"/>
  <c r="EV102" s="1"/>
  <c r="FD104"/>
  <c r="FC102"/>
  <c r="FD102" s="1"/>
  <c r="FP104"/>
  <c r="FO102"/>
  <c r="FP102" s="1"/>
  <c r="GN104"/>
  <c r="GN101" s="1"/>
  <c r="GM102"/>
  <c r="GN102" s="1"/>
  <c r="AR107"/>
  <c r="AQ105"/>
  <c r="AR105" s="1"/>
  <c r="BW107"/>
  <c r="BV105"/>
  <c r="F107"/>
  <c r="F105" s="1"/>
  <c r="FH107"/>
  <c r="FH101" s="1"/>
  <c r="FG105"/>
  <c r="FH105" s="1"/>
  <c r="FP107"/>
  <c r="FO105"/>
  <c r="FP105" s="1"/>
  <c r="AI108"/>
  <c r="AJ108" s="1"/>
  <c r="AJ110"/>
  <c r="AJ101" s="1"/>
  <c r="AZ110"/>
  <c r="AZ101" s="1"/>
  <c r="AY108"/>
  <c r="AZ108" s="1"/>
  <c r="CE108"/>
  <c r="CF108" s="1"/>
  <c r="CF110"/>
  <c r="CF101" s="1"/>
  <c r="P113"/>
  <c r="O111"/>
  <c r="P111" s="1"/>
  <c r="X113"/>
  <c r="W111"/>
  <c r="X111" s="1"/>
  <c r="AN113"/>
  <c r="AN101" s="1"/>
  <c r="AM111"/>
  <c r="AN111" s="1"/>
  <c r="AT111"/>
  <c r="AU113"/>
  <c r="BD113"/>
  <c r="BD101" s="1"/>
  <c r="BC111"/>
  <c r="BD111" s="1"/>
  <c r="BW113"/>
  <c r="BV111"/>
  <c r="CN113"/>
  <c r="CN101" s="1"/>
  <c r="CM111"/>
  <c r="CN111" s="1"/>
  <c r="DD113"/>
  <c r="DC111"/>
  <c r="DD111" s="1"/>
  <c r="FP113"/>
  <c r="FO111"/>
  <c r="FP111" s="1"/>
  <c r="FT113"/>
  <c r="FS111"/>
  <c r="FT111" s="1"/>
  <c r="GF113"/>
  <c r="GF101" s="1"/>
  <c r="GE111"/>
  <c r="GF111" s="1"/>
  <c r="GV113"/>
  <c r="GV101" s="1"/>
  <c r="GU111"/>
  <c r="GV111" s="1"/>
  <c r="G119"/>
  <c r="G117" s="1"/>
  <c r="P119"/>
  <c r="H119" s="1"/>
  <c r="O117"/>
  <c r="P117" s="1"/>
  <c r="FC123"/>
  <c r="FD123" s="1"/>
  <c r="F123"/>
  <c r="DL125"/>
  <c r="DL101" s="1"/>
  <c r="G125"/>
  <c r="EJ130"/>
  <c r="H130" s="1"/>
  <c r="G130"/>
  <c r="G128" s="1"/>
  <c r="EI128"/>
  <c r="EJ128" s="1"/>
  <c r="H128" s="1"/>
  <c r="DL133"/>
  <c r="DK131"/>
  <c r="DL131" s="1"/>
  <c r="DP133"/>
  <c r="DO131"/>
  <c r="DP131" s="1"/>
  <c r="DT133"/>
  <c r="DS131"/>
  <c r="DT131" s="1"/>
  <c r="EN133"/>
  <c r="EM131"/>
  <c r="EN131" s="1"/>
  <c r="ER133"/>
  <c r="EQ131"/>
  <c r="ER131" s="1"/>
  <c r="EV133"/>
  <c r="EU131"/>
  <c r="EV131" s="1"/>
  <c r="GB133"/>
  <c r="GA131"/>
  <c r="GB131" s="1"/>
  <c r="GZ133"/>
  <c r="GY131"/>
  <c r="GZ131" s="1"/>
  <c r="GD149"/>
  <c r="GL149"/>
  <c r="HD7"/>
  <c r="HD9" s="1"/>
  <c r="HF7"/>
  <c r="HF9" s="1"/>
  <c r="HH7"/>
  <c r="HH9" s="1"/>
  <c r="HJ7"/>
  <c r="HJ9" s="1"/>
  <c r="HL7"/>
  <c r="HL9" s="1"/>
  <c r="FR8"/>
  <c r="FV8"/>
  <c r="FZ8"/>
  <c r="GD8"/>
  <c r="GH8"/>
  <c r="GL8"/>
  <c r="GP8"/>
  <c r="GT8"/>
  <c r="GX8"/>
  <c r="AF15"/>
  <c r="H15" s="1"/>
  <c r="H9" s="1"/>
  <c r="G30"/>
  <c r="G24" s="1"/>
  <c r="G35"/>
  <c r="Y44"/>
  <c r="AC44"/>
  <c r="BU44"/>
  <c r="BY44"/>
  <c r="EG44"/>
  <c r="BX47"/>
  <c r="H47" s="1"/>
  <c r="AV51"/>
  <c r="H51" s="1"/>
  <c r="AB53"/>
  <c r="H53" s="1"/>
  <c r="FP55"/>
  <c r="CB78"/>
  <c r="H78" s="1"/>
  <c r="H76" s="1"/>
  <c r="CZ80"/>
  <c r="H80" s="1"/>
  <c r="H79" s="1"/>
  <c r="P83"/>
  <c r="H83" s="1"/>
  <c r="P84"/>
  <c r="P57" s="1"/>
  <c r="EJ97"/>
  <c r="EJ57" s="1"/>
  <c r="P100"/>
  <c r="T100"/>
  <c r="X100"/>
  <c r="AR100"/>
  <c r="AV100"/>
  <c r="BT100"/>
  <c r="BX100"/>
  <c r="CB100"/>
  <c r="HK111"/>
  <c r="DH100"/>
  <c r="FX100"/>
  <c r="H117"/>
  <c r="H125"/>
  <c r="P104"/>
  <c r="BL104"/>
  <c r="BL101" s="1"/>
  <c r="BK102"/>
  <c r="BL102" s="1"/>
  <c r="BT104"/>
  <c r="BS102"/>
  <c r="BT102" s="1"/>
  <c r="BZ102"/>
  <c r="CA104"/>
  <c r="G104" s="1"/>
  <c r="DD104"/>
  <c r="DD101" s="1"/>
  <c r="DC102"/>
  <c r="DD102" s="1"/>
  <c r="EI104"/>
  <c r="EH102"/>
  <c r="EZ104"/>
  <c r="EY102"/>
  <c r="EZ102" s="1"/>
  <c r="FL104"/>
  <c r="FL101" s="1"/>
  <c r="FK102"/>
  <c r="FL102" s="1"/>
  <c r="FT104"/>
  <c r="FT101" s="1"/>
  <c r="FS102"/>
  <c r="FT102" s="1"/>
  <c r="GB104"/>
  <c r="GA102"/>
  <c r="GB102" s="1"/>
  <c r="GJ104"/>
  <c r="GJ101" s="1"/>
  <c r="GI102"/>
  <c r="GJ102" s="1"/>
  <c r="GR104"/>
  <c r="GQ102"/>
  <c r="GR102" s="1"/>
  <c r="X107"/>
  <c r="W105"/>
  <c r="X105" s="1"/>
  <c r="BT107"/>
  <c r="BS105"/>
  <c r="BT105" s="1"/>
  <c r="CA107"/>
  <c r="G107" s="1"/>
  <c r="G105" s="1"/>
  <c r="BZ105"/>
  <c r="EJ107"/>
  <c r="EI105"/>
  <c r="EJ105" s="1"/>
  <c r="EZ107"/>
  <c r="EY105"/>
  <c r="EZ105" s="1"/>
  <c r="P110"/>
  <c r="O108"/>
  <c r="P108" s="1"/>
  <c r="W108"/>
  <c r="X108" s="1"/>
  <c r="X110"/>
  <c r="AE110"/>
  <c r="F110"/>
  <c r="F108" s="1"/>
  <c r="AD108"/>
  <c r="L113"/>
  <c r="K111"/>
  <c r="L111" s="1"/>
  <c r="S113"/>
  <c r="R111"/>
  <c r="F113"/>
  <c r="F111" s="1"/>
  <c r="AB113"/>
  <c r="AB101" s="1"/>
  <c r="AA111"/>
  <c r="AB111" s="1"/>
  <c r="AP111"/>
  <c r="AQ113"/>
  <c r="BG111"/>
  <c r="BH111" s="1"/>
  <c r="BH113"/>
  <c r="BH101" s="1"/>
  <c r="BP113"/>
  <c r="BO111"/>
  <c r="BP111" s="1"/>
  <c r="BT113"/>
  <c r="BS111"/>
  <c r="BT111" s="1"/>
  <c r="CA113"/>
  <c r="BZ111"/>
  <c r="CI111"/>
  <c r="CJ111" s="1"/>
  <c r="CJ113"/>
  <c r="CJ101" s="1"/>
  <c r="DH113"/>
  <c r="DH101" s="1"/>
  <c r="DG111"/>
  <c r="DH111" s="1"/>
  <c r="DO113"/>
  <c r="DN111"/>
  <c r="EB113"/>
  <c r="EB101" s="1"/>
  <c r="EA111"/>
  <c r="EB111" s="1"/>
  <c r="EI113"/>
  <c r="EH111"/>
  <c r="FB111"/>
  <c r="FC113"/>
  <c r="GQ111"/>
  <c r="GR111" s="1"/>
  <c r="GR113"/>
  <c r="G123"/>
  <c r="CR123"/>
  <c r="GB127"/>
  <c r="H127" s="1"/>
  <c r="G127"/>
  <c r="L133"/>
  <c r="K131"/>
  <c r="P133"/>
  <c r="O131"/>
  <c r="T133"/>
  <c r="S131"/>
  <c r="T131" s="1"/>
  <c r="X133"/>
  <c r="W131"/>
  <c r="AF133"/>
  <c r="AE131"/>
  <c r="AF131" s="1"/>
  <c r="AR133"/>
  <c r="AQ131"/>
  <c r="AR131" s="1"/>
  <c r="AV133"/>
  <c r="AU131"/>
  <c r="AV131" s="1"/>
  <c r="BL133"/>
  <c r="BK131"/>
  <c r="BL131" s="1"/>
  <c r="BP133"/>
  <c r="BO131"/>
  <c r="BT133"/>
  <c r="BS131"/>
  <c r="BT131" s="1"/>
  <c r="BX133"/>
  <c r="BW131"/>
  <c r="CB133"/>
  <c r="CA131"/>
  <c r="CB131" s="1"/>
  <c r="CV133"/>
  <c r="CU131"/>
  <c r="CZ133"/>
  <c r="CY131"/>
  <c r="CZ131" s="1"/>
  <c r="DD133"/>
  <c r="DC131"/>
  <c r="FL133"/>
  <c r="FK131"/>
  <c r="FL131" s="1"/>
  <c r="GJ133"/>
  <c r="GI131"/>
  <c r="L6"/>
  <c r="P6"/>
  <c r="T6"/>
  <c r="X6"/>
  <c r="AB6"/>
  <c r="AF6"/>
  <c r="AJ6"/>
  <c r="AN6"/>
  <c r="AR6"/>
  <c r="AT149"/>
  <c r="AV6"/>
  <c r="AZ6"/>
  <c r="BD6"/>
  <c r="BH6"/>
  <c r="BL6"/>
  <c r="BP6"/>
  <c r="BT6"/>
  <c r="BX6"/>
  <c r="CB6"/>
  <c r="CF6"/>
  <c r="CJ6"/>
  <c r="CN6"/>
  <c r="CR6"/>
  <c r="CT149"/>
  <c r="CV6"/>
  <c r="CX149"/>
  <c r="CZ6"/>
  <c r="DB149"/>
  <c r="DD6"/>
  <c r="DF149"/>
  <c r="DH6"/>
  <c r="DJ149"/>
  <c r="DL6"/>
  <c r="DN149"/>
  <c r="DP6"/>
  <c r="DR149"/>
  <c r="DT6"/>
  <c r="DV149"/>
  <c r="DX6"/>
  <c r="EB6"/>
  <c r="EF6"/>
  <c r="EJ6"/>
  <c r="EN6"/>
  <c r="ER6"/>
  <c r="EV6"/>
  <c r="EZ6"/>
  <c r="FD6"/>
  <c r="FH6"/>
  <c r="FL6"/>
  <c r="HC7"/>
  <c r="HE7"/>
  <c r="HE9" s="1"/>
  <c r="HG7"/>
  <c r="HG9" s="1"/>
  <c r="HI7"/>
  <c r="HI9" s="1"/>
  <c r="HK7"/>
  <c r="HK9" s="1"/>
  <c r="HM7"/>
  <c r="HM9" s="1"/>
  <c r="K8"/>
  <c r="O8"/>
  <c r="P8" s="1"/>
  <c r="S8"/>
  <c r="T8" s="1"/>
  <c r="W8"/>
  <c r="X8" s="1"/>
  <c r="AA8"/>
  <c r="AB8" s="1"/>
  <c r="AE8"/>
  <c r="AF8" s="1"/>
  <c r="AI8"/>
  <c r="AJ8" s="1"/>
  <c r="AM8"/>
  <c r="AN8" s="1"/>
  <c r="AQ8"/>
  <c r="AR8" s="1"/>
  <c r="AU8"/>
  <c r="AV8" s="1"/>
  <c r="AY8"/>
  <c r="AZ8" s="1"/>
  <c r="BC8"/>
  <c r="BD8" s="1"/>
  <c r="BG8"/>
  <c r="BH8" s="1"/>
  <c r="BK8"/>
  <c r="BL8" s="1"/>
  <c r="BO8"/>
  <c r="BS8"/>
  <c r="BT8" s="1"/>
  <c r="BW8"/>
  <c r="BX8" s="1"/>
  <c r="CA8"/>
  <c r="CB8" s="1"/>
  <c r="CE8"/>
  <c r="CF8" s="1"/>
  <c r="CI8"/>
  <c r="CJ8" s="1"/>
  <c r="CM8"/>
  <c r="CN8" s="1"/>
  <c r="CQ8"/>
  <c r="CR8" s="1"/>
  <c r="CU8"/>
  <c r="CV8" s="1"/>
  <c r="CY8"/>
  <c r="CZ8" s="1"/>
  <c r="DC8"/>
  <c r="DD8" s="1"/>
  <c r="DG8"/>
  <c r="DH8" s="1"/>
  <c r="DK8"/>
  <c r="DL8" s="1"/>
  <c r="DO8"/>
  <c r="DP8" s="1"/>
  <c r="DS8"/>
  <c r="DT8" s="1"/>
  <c r="DW8"/>
  <c r="DX8" s="1"/>
  <c r="EA8"/>
  <c r="EB8" s="1"/>
  <c r="EE8"/>
  <c r="EF8" s="1"/>
  <c r="EI8"/>
  <c r="EJ8" s="1"/>
  <c r="EM8"/>
  <c r="EN8" s="1"/>
  <c r="EQ8"/>
  <c r="ER8" s="1"/>
  <c r="EU8"/>
  <c r="EV8" s="1"/>
  <c r="EY8"/>
  <c r="EZ8" s="1"/>
  <c r="FC8"/>
  <c r="FD8" s="1"/>
  <c r="FE8"/>
  <c r="E8" s="1"/>
  <c r="FG8"/>
  <c r="FH8" s="1"/>
  <c r="FK8"/>
  <c r="FL8" s="1"/>
  <c r="FS8"/>
  <c r="FT8" s="1"/>
  <c r="FW8"/>
  <c r="FX8" s="1"/>
  <c r="GA8"/>
  <c r="GB8" s="1"/>
  <c r="GE8"/>
  <c r="GF8" s="1"/>
  <c r="GI8"/>
  <c r="GJ8" s="1"/>
  <c r="GM8"/>
  <c r="GN8" s="1"/>
  <c r="GQ8"/>
  <c r="GR8" s="1"/>
  <c r="GU8"/>
  <c r="GV8" s="1"/>
  <c r="GY8"/>
  <c r="GZ8" s="1"/>
  <c r="G19"/>
  <c r="G9" s="1"/>
  <c r="G46"/>
  <c r="G48"/>
  <c r="G50"/>
  <c r="G52"/>
  <c r="G54"/>
  <c r="O55"/>
  <c r="P55" s="1"/>
  <c r="S55"/>
  <c r="T55" s="1"/>
  <c r="W55"/>
  <c r="X55" s="1"/>
  <c r="AA55"/>
  <c r="AB55" s="1"/>
  <c r="AE55"/>
  <c r="AF55" s="1"/>
  <c r="AI55"/>
  <c r="AJ55" s="1"/>
  <c r="AM55"/>
  <c r="AN55" s="1"/>
  <c r="AQ55"/>
  <c r="AR55" s="1"/>
  <c r="AU55"/>
  <c r="AV55" s="1"/>
  <c r="AY55"/>
  <c r="AZ55" s="1"/>
  <c r="BC55"/>
  <c r="BD55" s="1"/>
  <c r="G68"/>
  <c r="BY76"/>
  <c r="CA76"/>
  <c r="CB76" s="1"/>
  <c r="G77"/>
  <c r="G76" s="1"/>
  <c r="CX79"/>
  <c r="CZ79" s="1"/>
  <c r="G81"/>
  <c r="G79" s="1"/>
  <c r="FW91"/>
  <c r="FX91" s="1"/>
  <c r="G96"/>
  <c r="G94" s="1"/>
  <c r="G98"/>
  <c r="HC100"/>
  <c r="HE100"/>
  <c r="HG100"/>
  <c r="HI100"/>
  <c r="HK100"/>
  <c r="HK106" s="1"/>
  <c r="HK112"/>
  <c r="HK118" s="1"/>
  <c r="H126"/>
  <c r="G167"/>
  <c r="CO136"/>
  <c r="CO134" s="1"/>
  <c r="N167"/>
  <c r="FU136"/>
  <c r="FU134" s="1"/>
  <c r="G147"/>
  <c r="P147"/>
  <c r="H146"/>
  <c r="H167"/>
  <c r="I136"/>
  <c r="F167"/>
  <c r="M136"/>
  <c r="M134" s="1"/>
  <c r="J167"/>
  <c r="AO136"/>
  <c r="AO134" s="1"/>
  <c r="I167"/>
  <c r="BU136"/>
  <c r="BU134" s="1"/>
  <c r="L167"/>
  <c r="BY136"/>
  <c r="BY134" s="1"/>
  <c r="G144"/>
  <c r="FH144"/>
  <c r="P146"/>
  <c r="G146"/>
  <c r="E133"/>
  <c r="E131" s="1"/>
  <c r="CP133"/>
  <c r="DZ133"/>
  <c r="ED133"/>
  <c r="EH133"/>
  <c r="FB133"/>
  <c r="FF133"/>
  <c r="FR133"/>
  <c r="FV133"/>
  <c r="GP133"/>
  <c r="GT133"/>
  <c r="Q134"/>
  <c r="U134"/>
  <c r="H141"/>
  <c r="H142"/>
  <c r="H144"/>
  <c r="H147"/>
  <c r="H137" l="1"/>
  <c r="GJ131"/>
  <c r="DD131"/>
  <c r="CV131"/>
  <c r="BX131"/>
  <c r="BP131"/>
  <c r="X131"/>
  <c r="P131"/>
  <c r="L131"/>
  <c r="CE133"/>
  <c r="CD131"/>
  <c r="CD149" s="1"/>
  <c r="BC133"/>
  <c r="BB131"/>
  <c r="BB149" s="1"/>
  <c r="AM133"/>
  <c r="AL131"/>
  <c r="AL149" s="1"/>
  <c r="AA133"/>
  <c r="Z131"/>
  <c r="Z149" s="1"/>
  <c r="H114"/>
  <c r="CI133"/>
  <c r="CH131"/>
  <c r="CH149" s="1"/>
  <c r="BG133"/>
  <c r="BF131"/>
  <c r="BF149" s="1"/>
  <c r="AY133"/>
  <c r="AX131"/>
  <c r="AX149" s="1"/>
  <c r="AI133"/>
  <c r="AH131"/>
  <c r="AH149" s="1"/>
  <c r="H102"/>
  <c r="H100"/>
  <c r="H99" s="1"/>
  <c r="H55"/>
  <c r="F8"/>
  <c r="GT131"/>
  <c r="GT149" s="1"/>
  <c r="GU133"/>
  <c r="FV131"/>
  <c r="FW133"/>
  <c r="FF131"/>
  <c r="FF149" s="1"/>
  <c r="FG133"/>
  <c r="EH131"/>
  <c r="EH149" s="1"/>
  <c r="EI133"/>
  <c r="DZ131"/>
  <c r="DZ149" s="1"/>
  <c r="EA133"/>
  <c r="HG106"/>
  <c r="HG104" s="1"/>
  <c r="HG98"/>
  <c r="HC106"/>
  <c r="HC104" s="1"/>
  <c r="HC98"/>
  <c r="G67"/>
  <c r="G56"/>
  <c r="G8"/>
  <c r="L8"/>
  <c r="HC9"/>
  <c r="HN9" s="1"/>
  <c r="HN7"/>
  <c r="BP8"/>
  <c r="H6"/>
  <c r="H123"/>
  <c r="CR101"/>
  <c r="FD113"/>
  <c r="FC111"/>
  <c r="FD111" s="1"/>
  <c r="FC101"/>
  <c r="FC99" s="1"/>
  <c r="AR113"/>
  <c r="AQ111"/>
  <c r="AR111" s="1"/>
  <c r="AQ101"/>
  <c r="AQ99" s="1"/>
  <c r="AR99" s="1"/>
  <c r="T113"/>
  <c r="S111"/>
  <c r="T111" s="1"/>
  <c r="S101"/>
  <c r="S99" s="1"/>
  <c r="T99" s="1"/>
  <c r="AF110"/>
  <c r="AF101" s="1"/>
  <c r="AE108"/>
  <c r="AF108" s="1"/>
  <c r="AE101"/>
  <c r="AE99" s="1"/>
  <c r="AF99" s="1"/>
  <c r="EI102"/>
  <c r="EJ102" s="1"/>
  <c r="EJ104"/>
  <c r="EI101"/>
  <c r="EI99" s="1"/>
  <c r="HK117"/>
  <c r="HK116" s="1"/>
  <c r="HK110"/>
  <c r="GL153"/>
  <c r="GL160"/>
  <c r="GL161" s="1"/>
  <c r="GL152"/>
  <c r="GD153"/>
  <c r="GD160"/>
  <c r="GD161" s="1"/>
  <c r="GD152"/>
  <c r="AV113"/>
  <c r="AV101" s="1"/>
  <c r="AU111"/>
  <c r="AV111" s="1"/>
  <c r="AU101"/>
  <c r="AU99" s="1"/>
  <c r="AV99" s="1"/>
  <c r="BX107"/>
  <c r="BW105"/>
  <c r="BX105" s="1"/>
  <c r="BX104"/>
  <c r="BW102"/>
  <c r="BX102" s="1"/>
  <c r="BW101"/>
  <c r="BW99" s="1"/>
  <c r="FW136"/>
  <c r="FV134"/>
  <c r="CQ136"/>
  <c r="CP134"/>
  <c r="CA136"/>
  <c r="BZ134"/>
  <c r="BZ149" s="1"/>
  <c r="BW136"/>
  <c r="BV134"/>
  <c r="BV149" s="1"/>
  <c r="AQ136"/>
  <c r="AP134"/>
  <c r="AP149" s="1"/>
  <c r="W136"/>
  <c r="V134"/>
  <c r="V149" s="1"/>
  <c r="S136"/>
  <c r="R134"/>
  <c r="R149" s="1"/>
  <c r="O136"/>
  <c r="N134"/>
  <c r="N149" s="1"/>
  <c r="F136"/>
  <c r="F134" s="1"/>
  <c r="K136"/>
  <c r="J134"/>
  <c r="J149" s="1"/>
  <c r="M170"/>
  <c r="O167"/>
  <c r="Q167" s="1"/>
  <c r="G113"/>
  <c r="G111" s="1"/>
  <c r="H110"/>
  <c r="H108" s="1"/>
  <c r="GR101"/>
  <c r="GB101"/>
  <c r="EZ101"/>
  <c r="BT101"/>
  <c r="AR101"/>
  <c r="FP101"/>
  <c r="FD101"/>
  <c r="HN110"/>
  <c r="HO116" s="1"/>
  <c r="HN116"/>
  <c r="H97"/>
  <c r="H84"/>
  <c r="H82" s="1"/>
  <c r="F55"/>
  <c r="GP131"/>
  <c r="GP149" s="1"/>
  <c r="GQ133"/>
  <c r="FR131"/>
  <c r="FR149" s="1"/>
  <c r="FS133"/>
  <c r="FB131"/>
  <c r="FB149" s="1"/>
  <c r="FC133"/>
  <c r="ED131"/>
  <c r="ED149" s="1"/>
  <c r="EE133"/>
  <c r="CP131"/>
  <c r="CP149" s="1"/>
  <c r="CQ133"/>
  <c r="F133"/>
  <c r="F131" s="1"/>
  <c r="E136"/>
  <c r="E134" s="1"/>
  <c r="I134"/>
  <c r="HI106"/>
  <c r="HI104" s="1"/>
  <c r="HI98"/>
  <c r="HE106"/>
  <c r="HE104" s="1"/>
  <c r="HN104" s="1"/>
  <c r="HE98"/>
  <c r="FJ153"/>
  <c r="FJ152"/>
  <c r="FJ160"/>
  <c r="FJ161" s="1"/>
  <c r="EX153"/>
  <c r="EX160"/>
  <c r="EX161" s="1"/>
  <c r="EX152"/>
  <c r="ET153"/>
  <c r="ET152"/>
  <c r="ET160"/>
  <c r="ET161" s="1"/>
  <c r="EP153"/>
  <c r="EP160"/>
  <c r="EP161" s="1"/>
  <c r="EP152"/>
  <c r="EL153"/>
  <c r="EL152"/>
  <c r="EL160"/>
  <c r="EL161" s="1"/>
  <c r="DV153"/>
  <c r="DV152"/>
  <c r="DV160"/>
  <c r="DV161" s="1"/>
  <c r="HK146"/>
  <c r="HK148" s="1"/>
  <c r="DR153"/>
  <c r="DR160"/>
  <c r="DR161" s="1"/>
  <c r="DR152"/>
  <c r="DN153"/>
  <c r="DN152"/>
  <c r="DN160"/>
  <c r="DN161" s="1"/>
  <c r="DJ153"/>
  <c r="DJ160"/>
  <c r="DJ161" s="1"/>
  <c r="DJ152"/>
  <c r="DF153"/>
  <c r="DF152"/>
  <c r="DF160"/>
  <c r="DF161" s="1"/>
  <c r="DB153"/>
  <c r="DB160"/>
  <c r="DB161" s="1"/>
  <c r="DB152"/>
  <c r="CX153"/>
  <c r="CX152"/>
  <c r="CX160"/>
  <c r="CX161" s="1"/>
  <c r="CT153"/>
  <c r="CT160"/>
  <c r="CT161" s="1"/>
  <c r="CT152"/>
  <c r="CL153"/>
  <c r="CL160"/>
  <c r="CL161" s="1"/>
  <c r="CL152"/>
  <c r="CH153"/>
  <c r="CH152"/>
  <c r="CH160"/>
  <c r="CH161" s="1"/>
  <c r="CD153"/>
  <c r="CD160"/>
  <c r="CD161" s="1"/>
  <c r="CD152"/>
  <c r="BR153"/>
  <c r="BR152"/>
  <c r="BR160"/>
  <c r="BR161" s="1"/>
  <c r="HE146"/>
  <c r="HE148" s="1"/>
  <c r="BN153"/>
  <c r="BN160"/>
  <c r="BN161" s="1"/>
  <c r="BN152"/>
  <c r="BJ153"/>
  <c r="BJ152"/>
  <c r="BJ160"/>
  <c r="BJ161" s="1"/>
  <c r="BF153"/>
  <c r="BF160"/>
  <c r="BF161" s="1"/>
  <c r="BF152"/>
  <c r="BB153"/>
  <c r="BB152"/>
  <c r="BB160"/>
  <c r="BB161" s="1"/>
  <c r="AX153"/>
  <c r="AX160"/>
  <c r="AX161" s="1"/>
  <c r="AX152"/>
  <c r="AT153"/>
  <c r="AT152"/>
  <c r="AT160"/>
  <c r="AT161" s="1"/>
  <c r="HI146"/>
  <c r="HI148" s="1"/>
  <c r="AL153"/>
  <c r="AL152"/>
  <c r="AL160"/>
  <c r="AL161" s="1"/>
  <c r="AH153"/>
  <c r="AH160"/>
  <c r="AH161" s="1"/>
  <c r="AH152"/>
  <c r="AD153"/>
  <c r="AD152"/>
  <c r="AD160"/>
  <c r="AD161" s="1"/>
  <c r="Z153"/>
  <c r="Z160"/>
  <c r="Z161" s="1"/>
  <c r="Z152"/>
  <c r="EJ113"/>
  <c r="EI111"/>
  <c r="EJ111" s="1"/>
  <c r="DP113"/>
  <c r="DO111"/>
  <c r="DP111" s="1"/>
  <c r="DO101"/>
  <c r="DO99" s="1"/>
  <c r="CB113"/>
  <c r="CA111"/>
  <c r="CB111" s="1"/>
  <c r="L101"/>
  <c r="CB107"/>
  <c r="CA105"/>
  <c r="CB105" s="1"/>
  <c r="CB104"/>
  <c r="CB101" s="1"/>
  <c r="CA102"/>
  <c r="CB102" s="1"/>
  <c r="CA101"/>
  <c r="CA99" s="1"/>
  <c r="FN153"/>
  <c r="FN160"/>
  <c r="FN161" s="1"/>
  <c r="FN152"/>
  <c r="GH153"/>
  <c r="GH152"/>
  <c r="GH160"/>
  <c r="GH161" s="1"/>
  <c r="FZ153"/>
  <c r="FZ152"/>
  <c r="FZ160"/>
  <c r="FZ161" s="1"/>
  <c r="BX113"/>
  <c r="H113" s="1"/>
  <c r="H111" s="1"/>
  <c r="BW111"/>
  <c r="BX111" s="1"/>
  <c r="GY134"/>
  <c r="GZ136"/>
  <c r="GV136"/>
  <c r="GU134"/>
  <c r="GV134" s="1"/>
  <c r="GR136"/>
  <c r="GQ134"/>
  <c r="GR134" s="1"/>
  <c r="GN136"/>
  <c r="GM134"/>
  <c r="GJ136"/>
  <c r="GI134"/>
  <c r="GF136"/>
  <c r="GE134"/>
  <c r="GB136"/>
  <c r="GA134"/>
  <c r="FT136"/>
  <c r="FS134"/>
  <c r="FT134" s="1"/>
  <c r="FP136"/>
  <c r="FO134"/>
  <c r="FL136"/>
  <c r="FK134"/>
  <c r="FL134" s="1"/>
  <c r="FL149" s="1"/>
  <c r="FL152" s="1"/>
  <c r="FH136"/>
  <c r="FG134"/>
  <c r="FH134" s="1"/>
  <c r="FD136"/>
  <c r="FC134"/>
  <c r="FD134" s="1"/>
  <c r="EZ136"/>
  <c r="EY134"/>
  <c r="EV136"/>
  <c r="EU134"/>
  <c r="ER136"/>
  <c r="EQ134"/>
  <c r="EN136"/>
  <c r="EM134"/>
  <c r="EJ136"/>
  <c r="EI134"/>
  <c r="EJ134" s="1"/>
  <c r="EF136"/>
  <c r="EE134"/>
  <c r="EF134" s="1"/>
  <c r="EB136"/>
  <c r="EA134"/>
  <c r="EB134" s="1"/>
  <c r="DX136"/>
  <c r="DW134"/>
  <c r="DT136"/>
  <c r="DS134"/>
  <c r="DP136"/>
  <c r="DO134"/>
  <c r="DP134" s="1"/>
  <c r="DL136"/>
  <c r="DK134"/>
  <c r="DH136"/>
  <c r="DG134"/>
  <c r="DD136"/>
  <c r="DC134"/>
  <c r="DD134" s="1"/>
  <c r="DD149" s="1"/>
  <c r="DD152" s="1"/>
  <c r="CZ136"/>
  <c r="CY134"/>
  <c r="CZ134" s="1"/>
  <c r="CZ149" s="1"/>
  <c r="CZ152" s="1"/>
  <c r="CV136"/>
  <c r="CU134"/>
  <c r="CV134" s="1"/>
  <c r="CV149" s="1"/>
  <c r="CV152" s="1"/>
  <c r="CN136"/>
  <c r="CM134"/>
  <c r="CJ136"/>
  <c r="CI134"/>
  <c r="CJ134" s="1"/>
  <c r="CF136"/>
  <c r="CE134"/>
  <c r="CF134" s="1"/>
  <c r="BT136"/>
  <c r="BS134"/>
  <c r="BT134" s="1"/>
  <c r="BT149" s="1"/>
  <c r="BT152" s="1"/>
  <c r="BP136"/>
  <c r="BO134"/>
  <c r="BP134" s="1"/>
  <c r="BP149" s="1"/>
  <c r="BP152" s="1"/>
  <c r="BL136"/>
  <c r="BK134"/>
  <c r="BL134" s="1"/>
  <c r="BL149" s="1"/>
  <c r="BL152" s="1"/>
  <c r="BH136"/>
  <c r="BG134"/>
  <c r="BH134" s="1"/>
  <c r="BD136"/>
  <c r="BC134"/>
  <c r="BD134" s="1"/>
  <c r="AZ136"/>
  <c r="AY134"/>
  <c r="AZ134" s="1"/>
  <c r="AV136"/>
  <c r="AU134"/>
  <c r="AV134" s="1"/>
  <c r="AV149" s="1"/>
  <c r="AV152" s="1"/>
  <c r="AN136"/>
  <c r="AM134"/>
  <c r="AN134" s="1"/>
  <c r="AJ136"/>
  <c r="AI134"/>
  <c r="AJ134" s="1"/>
  <c r="AF136"/>
  <c r="AE134"/>
  <c r="AF134" s="1"/>
  <c r="AF149" s="1"/>
  <c r="AF152" s="1"/>
  <c r="AB136"/>
  <c r="AA134"/>
  <c r="AB134" s="1"/>
  <c r="G57"/>
  <c r="G110"/>
  <c r="G108" s="1"/>
  <c r="H107"/>
  <c r="H105" s="1"/>
  <c r="P101"/>
  <c r="H104"/>
  <c r="E44"/>
  <c r="FK149"/>
  <c r="AU149"/>
  <c r="DP101"/>
  <c r="F101"/>
  <c r="BP101"/>
  <c r="X101"/>
  <c r="T101"/>
  <c r="M169"/>
  <c r="O166"/>
  <c r="Q166" s="1"/>
  <c r="H64"/>
  <c r="H57"/>
  <c r="H56"/>
  <c r="AA131" l="1"/>
  <c r="AB131" s="1"/>
  <c r="AB133"/>
  <c r="AM131"/>
  <c r="AN131" s="1"/>
  <c r="AN133"/>
  <c r="BC131"/>
  <c r="BD131" s="1"/>
  <c r="BD133"/>
  <c r="CE131"/>
  <c r="CF131" s="1"/>
  <c r="CF133"/>
  <c r="AE149"/>
  <c r="BK149"/>
  <c r="AI131"/>
  <c r="AJ131" s="1"/>
  <c r="AJ149" s="1"/>
  <c r="AJ152" s="1"/>
  <c r="AJ133"/>
  <c r="AY131"/>
  <c r="AZ131" s="1"/>
  <c r="AZ149" s="1"/>
  <c r="AZ152" s="1"/>
  <c r="AZ133"/>
  <c r="BG131"/>
  <c r="BH131" s="1"/>
  <c r="BH149" s="1"/>
  <c r="BH152" s="1"/>
  <c r="BH133"/>
  <c r="CI131"/>
  <c r="CJ133"/>
  <c r="AB149"/>
  <c r="AB152" s="1"/>
  <c r="AN149"/>
  <c r="AN152" s="1"/>
  <c r="BD149"/>
  <c r="BD152" s="1"/>
  <c r="CF149"/>
  <c r="CF152" s="1"/>
  <c r="AE160"/>
  <c r="AE161" s="1"/>
  <c r="AE153"/>
  <c r="AE152"/>
  <c r="AU160"/>
  <c r="AU161" s="1"/>
  <c r="AU153"/>
  <c r="AU152"/>
  <c r="BK160"/>
  <c r="BK161" s="1"/>
  <c r="BK153"/>
  <c r="BK152"/>
  <c r="FK160"/>
  <c r="FK161" s="1"/>
  <c r="FK153"/>
  <c r="FK152"/>
  <c r="CN134"/>
  <c r="CN149" s="1"/>
  <c r="CN152" s="1"/>
  <c r="CM149"/>
  <c r="DH134"/>
  <c r="DH149" s="1"/>
  <c r="DH152" s="1"/>
  <c r="DG149"/>
  <c r="DL134"/>
  <c r="DL149" s="1"/>
  <c r="DL152" s="1"/>
  <c r="DK149"/>
  <c r="DT134"/>
  <c r="DT149" s="1"/>
  <c r="DT152" s="1"/>
  <c r="DS149"/>
  <c r="DX134"/>
  <c r="DX149" s="1"/>
  <c r="DX152" s="1"/>
  <c r="DW149"/>
  <c r="EN134"/>
  <c r="EN149" s="1"/>
  <c r="EN152" s="1"/>
  <c r="EM149"/>
  <c r="ER134"/>
  <c r="ER149" s="1"/>
  <c r="ER152" s="1"/>
  <c r="EQ149"/>
  <c r="EV134"/>
  <c r="EV149" s="1"/>
  <c r="EV152" s="1"/>
  <c r="EU149"/>
  <c r="EZ134"/>
  <c r="EZ149" s="1"/>
  <c r="EZ152" s="1"/>
  <c r="EY149"/>
  <c r="FP134"/>
  <c r="FP149" s="1"/>
  <c r="FP152" s="1"/>
  <c r="FO149"/>
  <c r="GB134"/>
  <c r="GB149" s="1"/>
  <c r="GB152" s="1"/>
  <c r="GA149"/>
  <c r="GF134"/>
  <c r="GF149" s="1"/>
  <c r="GF152" s="1"/>
  <c r="GE149"/>
  <c r="GJ134"/>
  <c r="GJ149" s="1"/>
  <c r="GJ152" s="1"/>
  <c r="GI149"/>
  <c r="GN134"/>
  <c r="GN149" s="1"/>
  <c r="GN152" s="1"/>
  <c r="GM149"/>
  <c r="DP99"/>
  <c r="DP149" s="1"/>
  <c r="DP152" s="1"/>
  <c r="DO149"/>
  <c r="CR133"/>
  <c r="CQ131"/>
  <c r="G133"/>
  <c r="G131" s="1"/>
  <c r="EF133"/>
  <c r="EE131"/>
  <c r="FD133"/>
  <c r="FC131"/>
  <c r="FD131" s="1"/>
  <c r="FT133"/>
  <c r="FS131"/>
  <c r="GR133"/>
  <c r="GQ131"/>
  <c r="H154"/>
  <c r="J153"/>
  <c r="J160"/>
  <c r="J161" s="1"/>
  <c r="J152"/>
  <c r="HG146"/>
  <c r="HG148" s="1"/>
  <c r="P136"/>
  <c r="O134"/>
  <c r="T136"/>
  <c r="S134"/>
  <c r="X136"/>
  <c r="W134"/>
  <c r="AR136"/>
  <c r="AQ134"/>
  <c r="BX136"/>
  <c r="BW134"/>
  <c r="BX134" s="1"/>
  <c r="CB136"/>
  <c r="CA134"/>
  <c r="CB134" s="1"/>
  <c r="CR136"/>
  <c r="CQ134"/>
  <c r="CR134" s="1"/>
  <c r="FX136"/>
  <c r="FW134"/>
  <c r="FX134" s="1"/>
  <c r="EB133"/>
  <c r="EA131"/>
  <c r="EJ133"/>
  <c r="EI131"/>
  <c r="EJ131" s="1"/>
  <c r="FH133"/>
  <c r="FG131"/>
  <c r="FX133"/>
  <c r="FW131"/>
  <c r="GV133"/>
  <c r="GU131"/>
  <c r="H101"/>
  <c r="F149"/>
  <c r="AA149"/>
  <c r="BG149"/>
  <c r="CE149"/>
  <c r="DC149"/>
  <c r="EJ101"/>
  <c r="H8"/>
  <c r="G55"/>
  <c r="HN98"/>
  <c r="HO104" s="1"/>
  <c r="GZ134"/>
  <c r="GZ149" s="1"/>
  <c r="GY149"/>
  <c r="GY160" s="1"/>
  <c r="GY161" s="1"/>
  <c r="CB99"/>
  <c r="CB149" s="1"/>
  <c r="CB152" s="1"/>
  <c r="CA149"/>
  <c r="CP153"/>
  <c r="CP152"/>
  <c r="CP160"/>
  <c r="CP161" s="1"/>
  <c r="H155"/>
  <c r="ED153"/>
  <c r="ED152"/>
  <c r="ED160"/>
  <c r="ED161" s="1"/>
  <c r="FB153"/>
  <c r="FB152"/>
  <c r="FB160"/>
  <c r="FB161" s="1"/>
  <c r="FR153"/>
  <c r="FR152"/>
  <c r="FR160"/>
  <c r="FR161" s="1"/>
  <c r="GP153"/>
  <c r="GP152"/>
  <c r="GP160"/>
  <c r="GP161" s="1"/>
  <c r="L136"/>
  <c r="H136" s="1"/>
  <c r="G136"/>
  <c r="G134" s="1"/>
  <c r="K134"/>
  <c r="N153"/>
  <c r="N152"/>
  <c r="N160"/>
  <c r="N161" s="1"/>
  <c r="HL146"/>
  <c r="HL148" s="1"/>
  <c r="R153"/>
  <c r="R160"/>
  <c r="R161" s="1"/>
  <c r="R152"/>
  <c r="HD146"/>
  <c r="HD148" s="1"/>
  <c r="V153"/>
  <c r="V152"/>
  <c r="V160"/>
  <c r="V161" s="1"/>
  <c r="HF146"/>
  <c r="HF148" s="1"/>
  <c r="AP153"/>
  <c r="AP160"/>
  <c r="AP161" s="1"/>
  <c r="AP152"/>
  <c r="HJ146"/>
  <c r="HJ148" s="1"/>
  <c r="BV153"/>
  <c r="BV160"/>
  <c r="BV161" s="1"/>
  <c r="BV152"/>
  <c r="HC146"/>
  <c r="BZ153"/>
  <c r="BZ152"/>
  <c r="BZ160"/>
  <c r="HH146"/>
  <c r="HH148" s="1"/>
  <c r="BX99"/>
  <c r="BX149" s="1"/>
  <c r="BX152" s="1"/>
  <c r="BW149"/>
  <c r="EJ99"/>
  <c r="EJ149" s="1"/>
  <c r="EJ152" s="1"/>
  <c r="EI149"/>
  <c r="FD99"/>
  <c r="FD149" s="1"/>
  <c r="FD152" s="1"/>
  <c r="FC149"/>
  <c r="DZ153"/>
  <c r="DZ160"/>
  <c r="DZ161" s="1"/>
  <c r="DZ152"/>
  <c r="EH153"/>
  <c r="EH160"/>
  <c r="EH161" s="1"/>
  <c r="EH152"/>
  <c r="FF153"/>
  <c r="FF160"/>
  <c r="FF161" s="1"/>
  <c r="FF152"/>
  <c r="GT153"/>
  <c r="GT160"/>
  <c r="GT161" s="1"/>
  <c r="GT152"/>
  <c r="AM149"/>
  <c r="BC149"/>
  <c r="BS149"/>
  <c r="CY149"/>
  <c r="AI149"/>
  <c r="AY149"/>
  <c r="BO149"/>
  <c r="CU149"/>
  <c r="BX101"/>
  <c r="FV149"/>
  <c r="G101"/>
  <c r="CJ131" l="1"/>
  <c r="CJ149" s="1"/>
  <c r="CJ152" s="1"/>
  <c r="CI149"/>
  <c r="FV153"/>
  <c r="FV160"/>
  <c r="FV161" s="1"/>
  <c r="FV152"/>
  <c r="HM146"/>
  <c r="HM148" s="1"/>
  <c r="CU160"/>
  <c r="CU161" s="1"/>
  <c r="CU152"/>
  <c r="CU153"/>
  <c r="AY160"/>
  <c r="AY161" s="1"/>
  <c r="AY152"/>
  <c r="AY153"/>
  <c r="CY160"/>
  <c r="CY161" s="1"/>
  <c r="CY153"/>
  <c r="CY152"/>
  <c r="BC160"/>
  <c r="BC161" s="1"/>
  <c r="BC153"/>
  <c r="BC152"/>
  <c r="FC160"/>
  <c r="FC161" s="1"/>
  <c r="FC153"/>
  <c r="FC152"/>
  <c r="EI160"/>
  <c r="EI161" s="1"/>
  <c r="EI152"/>
  <c r="EI153"/>
  <c r="BW160"/>
  <c r="BW161" s="1"/>
  <c r="BW152"/>
  <c r="BW153"/>
  <c r="HN146"/>
  <c r="HC148"/>
  <c r="L134"/>
  <c r="K149"/>
  <c r="DC160"/>
  <c r="DC161" s="1"/>
  <c r="DC152"/>
  <c r="DC153"/>
  <c r="BG160"/>
  <c r="BG161" s="1"/>
  <c r="BG152"/>
  <c r="BG153"/>
  <c r="F160"/>
  <c r="F153"/>
  <c r="F152"/>
  <c r="GV131"/>
  <c r="GV149" s="1"/>
  <c r="GV152" s="1"/>
  <c r="GU149"/>
  <c r="FX131"/>
  <c r="FX149" s="1"/>
  <c r="FX152" s="1"/>
  <c r="FW149"/>
  <c r="FH131"/>
  <c r="FH149" s="1"/>
  <c r="FH152" s="1"/>
  <c r="FG149"/>
  <c r="EB131"/>
  <c r="EB149" s="1"/>
  <c r="EB152" s="1"/>
  <c r="EA149"/>
  <c r="AR134"/>
  <c r="AR149" s="1"/>
  <c r="AR152" s="1"/>
  <c r="AQ149"/>
  <c r="X134"/>
  <c r="X149" s="1"/>
  <c r="X152" s="1"/>
  <c r="W149"/>
  <c r="T134"/>
  <c r="T149" s="1"/>
  <c r="T152" s="1"/>
  <c r="S149"/>
  <c r="P134"/>
  <c r="P149" s="1"/>
  <c r="P152" s="1"/>
  <c r="O149"/>
  <c r="CR131"/>
  <c r="CQ149"/>
  <c r="DO160"/>
  <c r="DO161" s="1"/>
  <c r="DO153"/>
  <c r="DO152"/>
  <c r="GM160"/>
  <c r="GM161" s="1"/>
  <c r="GM152"/>
  <c r="GM153"/>
  <c r="GI160"/>
  <c r="GI161" s="1"/>
  <c r="GI153"/>
  <c r="GI152"/>
  <c r="GE160"/>
  <c r="GE161" s="1"/>
  <c r="GE152"/>
  <c r="GE153"/>
  <c r="GA160"/>
  <c r="GA161" s="1"/>
  <c r="GA153"/>
  <c r="GA152"/>
  <c r="FO160"/>
  <c r="FO161" s="1"/>
  <c r="FO152"/>
  <c r="FO153"/>
  <c r="EY160"/>
  <c r="EY161" s="1"/>
  <c r="EY152"/>
  <c r="EY153"/>
  <c r="EU160"/>
  <c r="EU161" s="1"/>
  <c r="EU153"/>
  <c r="EU152"/>
  <c r="EQ160"/>
  <c r="EQ161" s="1"/>
  <c r="EQ152"/>
  <c r="EQ153"/>
  <c r="EM160"/>
  <c r="EM161" s="1"/>
  <c r="EM153"/>
  <c r="EM152"/>
  <c r="DW160"/>
  <c r="DW161" s="1"/>
  <c r="DW153"/>
  <c r="DW152"/>
  <c r="DS160"/>
  <c r="DS161" s="1"/>
  <c r="DS152"/>
  <c r="DS153"/>
  <c r="DK160"/>
  <c r="DK161" s="1"/>
  <c r="DK152"/>
  <c r="DK153"/>
  <c r="DG160"/>
  <c r="DG161" s="1"/>
  <c r="DG153"/>
  <c r="DG152"/>
  <c r="CM160"/>
  <c r="CM161" s="1"/>
  <c r="CM152"/>
  <c r="CM153"/>
  <c r="HN148"/>
  <c r="G149"/>
  <c r="H156"/>
  <c r="H157" s="1"/>
  <c r="BO160"/>
  <c r="BO161" s="1"/>
  <c r="BO152"/>
  <c r="BO153"/>
  <c r="AI160"/>
  <c r="AI161" s="1"/>
  <c r="AI152"/>
  <c r="AI153"/>
  <c r="BS160"/>
  <c r="BS161" s="1"/>
  <c r="BS153"/>
  <c r="BS152"/>
  <c r="AM160"/>
  <c r="AM161" s="1"/>
  <c r="AM153"/>
  <c r="AM152"/>
  <c r="BZ161"/>
  <c r="F161"/>
  <c r="F162" s="1"/>
  <c r="CA160"/>
  <c r="CA153"/>
  <c r="CA152"/>
  <c r="CE160"/>
  <c r="CE161" s="1"/>
  <c r="CE152"/>
  <c r="CE153"/>
  <c r="AA160"/>
  <c r="AA161" s="1"/>
  <c r="AA152"/>
  <c r="AA153"/>
  <c r="GR131"/>
  <c r="GR149" s="1"/>
  <c r="GR152" s="1"/>
  <c r="GQ149"/>
  <c r="FT131"/>
  <c r="FT149" s="1"/>
  <c r="FT152" s="1"/>
  <c r="FS149"/>
  <c r="EF131"/>
  <c r="EF149" s="1"/>
  <c r="EF152" s="1"/>
  <c r="EE149"/>
  <c r="H133"/>
  <c r="CI160" l="1"/>
  <c r="CI161" s="1"/>
  <c r="CI152"/>
  <c r="CI153"/>
  <c r="CQ160"/>
  <c r="CQ161" s="1"/>
  <c r="CQ153"/>
  <c r="CQ152"/>
  <c r="O160"/>
  <c r="O161" s="1"/>
  <c r="O153"/>
  <c r="O152"/>
  <c r="S160"/>
  <c r="S161" s="1"/>
  <c r="S152"/>
  <c r="S153"/>
  <c r="W160"/>
  <c r="W161" s="1"/>
  <c r="W153"/>
  <c r="W152"/>
  <c r="AQ160"/>
  <c r="AQ161" s="1"/>
  <c r="AQ152"/>
  <c r="AQ153"/>
  <c r="EA160"/>
  <c r="EA161" s="1"/>
  <c r="EA152"/>
  <c r="EA153"/>
  <c r="FG160"/>
  <c r="FG161" s="1"/>
  <c r="FG152"/>
  <c r="FG153"/>
  <c r="FW160"/>
  <c r="FW161" s="1"/>
  <c r="FW152"/>
  <c r="FW153"/>
  <c r="GU160"/>
  <c r="GU161" s="1"/>
  <c r="GU152"/>
  <c r="GU153"/>
  <c r="K160"/>
  <c r="K161" s="1"/>
  <c r="K152"/>
  <c r="K153"/>
  <c r="EE160"/>
  <c r="EE161" s="1"/>
  <c r="EE153"/>
  <c r="EE152"/>
  <c r="FS160"/>
  <c r="FS161" s="1"/>
  <c r="FS153"/>
  <c r="FS152"/>
  <c r="GQ160"/>
  <c r="GQ161" s="1"/>
  <c r="GQ153"/>
  <c r="GQ152"/>
  <c r="G161"/>
  <c r="CA161"/>
  <c r="G160"/>
  <c r="G153"/>
  <c r="G152"/>
  <c r="CR149"/>
  <c r="CR152" s="1"/>
  <c r="H131"/>
  <c r="H149" s="1"/>
  <c r="H134"/>
  <c r="L149"/>
  <c r="L152" s="1"/>
  <c r="H160" l="1"/>
  <c r="H152"/>
  <c r="G162"/>
</calcChain>
</file>

<file path=xl/sharedStrings.xml><?xml version="1.0" encoding="utf-8"?>
<sst xmlns="http://schemas.openxmlformats.org/spreadsheetml/2006/main" count="1698" uniqueCount="299">
  <si>
    <t>Наименование управляющей организации</t>
  </si>
  <si>
    <t>Наличие замечаний по своевременному и качественному выполнению заявок</t>
  </si>
  <si>
    <t>Наличие случаев сверхнормативного отсутствия коммунальных услуг</t>
  </si>
  <si>
    <t>По службе "05"</t>
  </si>
  <si>
    <t>По обращениям в "Контакт-центр" при Главе города Ульяновска</t>
  </si>
  <si>
    <t>Горячего водоснабжения</t>
  </si>
  <si>
    <t>ОАО "ДК Заволжского района"</t>
  </si>
  <si>
    <t>ОАО "ДК Ленинского района"</t>
  </si>
  <si>
    <t>ОАО "ДК Железнодорожного района"</t>
  </si>
  <si>
    <t>ООО "Жилстройсервис"</t>
  </si>
  <si>
    <t>ООО "Мегалинк"</t>
  </si>
  <si>
    <t>ООО "СК Фундамент"</t>
  </si>
  <si>
    <t>ООО "ЖЭК"</t>
  </si>
  <si>
    <t>ООО "Истоки+"</t>
  </si>
  <si>
    <t>ООО "РЭС"</t>
  </si>
  <si>
    <t>ООО "СМУ"</t>
  </si>
  <si>
    <t>ООО "Технология"</t>
  </si>
  <si>
    <t>ООО "ЦЭТ"</t>
  </si>
  <si>
    <t>ООО "УК Дом"</t>
  </si>
  <si>
    <t>ООО "УК КПД-1"</t>
  </si>
  <si>
    <t>ООО "ЖКХ Ленинского района"</t>
  </si>
  <si>
    <t>При повторных обращениях баллы, набранные по строке снижаются на 10%</t>
  </si>
  <si>
    <t>При наличии повторных заявок, баллы, набранные по строке снижаются на 10%</t>
  </si>
  <si>
    <t>№      п/п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</si>
  <si>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</si>
  <si>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</si>
  <si>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</si>
  <si>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</si>
  <si>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Платежи населения и деятельность управляющей организации по расчетам с ресурсоснобжающими организациями.</t>
  </si>
  <si>
    <t>Количество МКД в обслуживании УК</t>
  </si>
  <si>
    <t>Абонируемая площадь</t>
  </si>
  <si>
    <t>По Комитету ЖКХ</t>
  </si>
  <si>
    <t>Контакт-Центр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</si>
  <si>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</si>
  <si>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многоквартиных домов в домах, находящихся в управлении управляющей организации</t>
  </si>
  <si>
    <t>Наличие в управляющей организации плана работы с Советом многоквартиноо дома</t>
  </si>
  <si>
    <t>Проведение совещаний-мероприятий с Советом многоквартирного дома</t>
  </si>
  <si>
    <t>Заключение с собственниками договоров на управление многоквартиным домом.</t>
  </si>
  <si>
    <t>Колличество домов в которых собственники рассмотрели предложения управляющей организации  и приняли на 2012 год размер платы по содержанию и ремонту общего имущества многоквартирного дома</t>
  </si>
  <si>
    <t>Количество домов, в которых собственники приняли решение о проведении капитального ремонта общего ремонта многоквартиного дома за счет средст собственников</t>
  </si>
  <si>
    <t>Перед собственниками помещений на общих досках объявлений</t>
  </si>
  <si>
    <t>На сайте управляющей организации по количеству домов, по которымразмещена информация</t>
  </si>
  <si>
    <t>Холодное водоснабжение</t>
  </si>
  <si>
    <t>отопления</t>
  </si>
  <si>
    <t>Электроснабжения</t>
  </si>
  <si>
    <t>Оплата населением потреблённых жилищно-коммунальных услуг (данные ООО "РИЦ")</t>
  </si>
  <si>
    <t>Оплата управляющей организацией потребленные коммунальные услуги</t>
  </si>
  <si>
    <t>процент погашения задолжности за ранее потреблённые ресурсы</t>
  </si>
  <si>
    <t>Процент лицевых счетов собственников и нанимателей, по которым применены меры воздействия по взысканию задолжности за несвоевременное внесения платы за жилое помещение и коммунальные услуги.</t>
  </si>
  <si>
    <t>за теплоресурс</t>
  </si>
  <si>
    <t>за электроэнергию</t>
  </si>
  <si>
    <t>за холодное водоснабжение</t>
  </si>
  <si>
    <t>шт.</t>
  </si>
  <si>
    <t>кв.м.</t>
  </si>
  <si>
    <t>%</t>
  </si>
  <si>
    <t>да/нет</t>
  </si>
  <si>
    <t>ОАО "ДК Засвияжского района № 1"</t>
  </si>
  <si>
    <t>ОАО "ДК Засвияжского района № 2"</t>
  </si>
  <si>
    <t>ЗАО "ГК "Аметист"</t>
  </si>
  <si>
    <t>ООО "ЖКиСР УК "УправДом"</t>
  </si>
  <si>
    <t>ООО "ЕвроСтойСервис"</t>
  </si>
  <si>
    <t>ООО "УК ЖКХ "Симбирск"</t>
  </si>
  <si>
    <t>ООО УК "КПД-1"</t>
  </si>
  <si>
    <t>ООО "Альфаком"</t>
  </si>
  <si>
    <t>ООО "КапиталЪ"</t>
  </si>
  <si>
    <t>ООО "УК "Дом-Сервис"</t>
  </si>
  <si>
    <t>ООО "Алгоритм"</t>
  </si>
  <si>
    <t>ООО УК "Парк"</t>
  </si>
  <si>
    <t>ООО "Инвест-Строй"</t>
  </si>
  <si>
    <t>ООО УК "Фундамент-Комплекс"</t>
  </si>
  <si>
    <t>ООО "УО Партнёр"</t>
  </si>
  <si>
    <t>12ч.55мин.</t>
  </si>
  <si>
    <t>18 ч.</t>
  </si>
  <si>
    <t>1день 12ч.30 мин.</t>
  </si>
  <si>
    <t>Количество баллов</t>
  </si>
  <si>
    <t>Оценка деятельности управляющих организаций</t>
  </si>
  <si>
    <t>ООО "Евро-Строй Сервис"</t>
  </si>
  <si>
    <t>ООО "ЖКиСР УК УправДом"</t>
  </si>
  <si>
    <t>10ч 50мин</t>
  </si>
  <si>
    <t>10ч 30мин</t>
  </si>
  <si>
    <t>13ч 30мин</t>
  </si>
  <si>
    <t>нет</t>
  </si>
  <si>
    <t>На сайте управляющей организации по количеству домов, по которым размещена информация</t>
  </si>
  <si>
    <t>Плановое начисление платежей населению муниципального жилищного фонда  за жилищно-коммунальные услуги на июнь 2012г.</t>
  </si>
  <si>
    <t>тыс. руб.</t>
  </si>
  <si>
    <t>№ п/п</t>
  </si>
  <si>
    <t>Наименование услуг, поставщики</t>
  </si>
  <si>
    <t>Ед. изм.</t>
  </si>
  <si>
    <t>ВСЕГО</t>
  </si>
  <si>
    <t xml:space="preserve">                   в том числе:</t>
  </si>
  <si>
    <t>ГК  "РЭС"</t>
  </si>
  <si>
    <t>УМУП УК ЖКХ</t>
  </si>
  <si>
    <t>ОАО ДУК</t>
  </si>
  <si>
    <t>ОАО ДК</t>
  </si>
  <si>
    <t>ООО</t>
  </si>
  <si>
    <t>ЗАО</t>
  </si>
  <si>
    <t>ООО СК</t>
  </si>
  <si>
    <t>ТСЖ</t>
  </si>
  <si>
    <t xml:space="preserve">ООО </t>
  </si>
  <si>
    <t>ООО "СимУК"</t>
  </si>
  <si>
    <t>ООО "ЖЭК" -</t>
  </si>
  <si>
    <t>"Альфаком -У" ООО</t>
  </si>
  <si>
    <t>ОАО "ДК Засвияжье - 1" -</t>
  </si>
  <si>
    <t xml:space="preserve">"Альфаком -У" ООО - </t>
  </si>
  <si>
    <t>ЖСК</t>
  </si>
  <si>
    <t>УК ЖКХ</t>
  </si>
  <si>
    <t>ООО ЖКиСР</t>
  </si>
  <si>
    <t xml:space="preserve">ЖСК </t>
  </si>
  <si>
    <t>ООО ЖКХ</t>
  </si>
  <si>
    <t xml:space="preserve">ТСЖ </t>
  </si>
  <si>
    <t>г.Ульяновска</t>
  </si>
  <si>
    <t>"Засвияжье-1"</t>
  </si>
  <si>
    <t>"Заволжского района"</t>
  </si>
  <si>
    <t>"Жилстройсервис"</t>
  </si>
  <si>
    <t>"МегаЛинк"</t>
  </si>
  <si>
    <t>"Вымпел"</t>
  </si>
  <si>
    <t xml:space="preserve"> "РЭС"</t>
  </si>
  <si>
    <t>"ГК Аметист"</t>
  </si>
  <si>
    <t>"Фундамент"</t>
  </si>
  <si>
    <t>Ульяновский 2</t>
  </si>
  <si>
    <t>ДоМ</t>
  </si>
  <si>
    <t>ТехноГрад</t>
  </si>
  <si>
    <t>"СМУ"</t>
  </si>
  <si>
    <t>"Евро-Строй-Сервис"</t>
  </si>
  <si>
    <t>Засвияжье №2</t>
  </si>
  <si>
    <t>Ленинского р-на</t>
  </si>
  <si>
    <t>Железнодорожного р-на</t>
  </si>
  <si>
    <t>"УК Жилстройсервис"</t>
  </si>
  <si>
    <t>"Народный контроль R"</t>
  </si>
  <si>
    <t>ТСЖ "Север-1"</t>
  </si>
  <si>
    <t>ТСЖ "Мостотряд №51"</t>
  </si>
  <si>
    <t>ТСЖ "Проспект Гая"</t>
  </si>
  <si>
    <t>ТСЖ "Статова"</t>
  </si>
  <si>
    <t>ТСЖ "Мегаполис"</t>
  </si>
  <si>
    <t>"УК Инвестстрой М"</t>
  </si>
  <si>
    <t>ТСЖ "Дачный"</t>
  </si>
  <si>
    <t>ТСЖ "Засвияжье - 2"</t>
  </si>
  <si>
    <t>"Электромаш"</t>
  </si>
  <si>
    <t>"Авиастар-СП"</t>
  </si>
  <si>
    <t>"ЦЭТ"</t>
  </si>
  <si>
    <t>"Форт"</t>
  </si>
  <si>
    <t>"ЖЭК"</t>
  </si>
  <si>
    <t>"Симбирск"</t>
  </si>
  <si>
    <t>"Наш Дом 010212"</t>
  </si>
  <si>
    <t>"Итоки плюс"</t>
  </si>
  <si>
    <t>"УправДом"</t>
  </si>
  <si>
    <t>"Малахит"</t>
  </si>
  <si>
    <t>"Открытые информационные технологии"</t>
  </si>
  <si>
    <t>Ленинского района</t>
  </si>
  <si>
    <t>"КПД - 1"</t>
  </si>
  <si>
    <t>"КПД - 2 Жилсервис"</t>
  </si>
  <si>
    <t>"УК ЦЭТ"</t>
  </si>
  <si>
    <t>"переулок Рылеева-14"</t>
  </si>
  <si>
    <t>"УК Симбирская"</t>
  </si>
  <si>
    <t>"УО Партнер"</t>
  </si>
  <si>
    <t>"ТК Святогор"</t>
  </si>
  <si>
    <t>"Володарец"</t>
  </si>
  <si>
    <t>Кол-во</t>
  </si>
  <si>
    <t>Сумма с учетом льгот</t>
  </si>
  <si>
    <t>Сумма без учета льгот</t>
  </si>
  <si>
    <t>Величина льготы</t>
  </si>
  <si>
    <t>Содержание и ремонт жилья всего</t>
  </si>
  <si>
    <t>тыс. м2</t>
  </si>
  <si>
    <t>СиР (площадь)</t>
  </si>
  <si>
    <t>ленинский</t>
  </si>
  <si>
    <t>засв.1</t>
  </si>
  <si>
    <t>засв.2</t>
  </si>
  <si>
    <t>заволжский</t>
  </si>
  <si>
    <t>новый город</t>
  </si>
  <si>
    <t>южное</t>
  </si>
  <si>
    <t>фундамент</t>
  </si>
  <si>
    <t>аметист</t>
  </si>
  <si>
    <t>мегаполис</t>
  </si>
  <si>
    <t>УК г.Ульяновска</t>
  </si>
  <si>
    <t>ООО КПД-1</t>
  </si>
  <si>
    <t>в т.ч.:</t>
  </si>
  <si>
    <t>июнь</t>
  </si>
  <si>
    <t>1.1</t>
  </si>
  <si>
    <t>Содержание и ремонт жилья</t>
  </si>
  <si>
    <t>май</t>
  </si>
  <si>
    <t>1.2</t>
  </si>
  <si>
    <t>Обслуживание лифтов</t>
  </si>
  <si>
    <t>2-1</t>
  </si>
  <si>
    <t>дельта</t>
  </si>
  <si>
    <t>ОАО "Лифтсервис"</t>
  </si>
  <si>
    <t>ООО "Лифтсервис-М"</t>
  </si>
  <si>
    <t>ООО "СП Лифтсервис"</t>
  </si>
  <si>
    <t>ООО "Лифткомплекс"</t>
  </si>
  <si>
    <t>ООО "Волга Лифт"</t>
  </si>
  <si>
    <t>ООО "МегаЛинк"</t>
  </si>
  <si>
    <t>ООО "Симбирск-Лифт"</t>
  </si>
  <si>
    <t>ООО "ПТЦ Лифтмонтаж"</t>
  </si>
  <si>
    <t>ЗАО "ГК Аметист"</t>
  </si>
  <si>
    <t>УМУП УК ЖКХ г.Ульяновска</t>
  </si>
  <si>
    <t>ООО "Лифтремонт"</t>
  </si>
  <si>
    <t>ООО "УК Лифтремонт"</t>
  </si>
  <si>
    <t>МУП "Лифтсервис"</t>
  </si>
  <si>
    <t>1.3</t>
  </si>
  <si>
    <t>Вывоз ТБО</t>
  </si>
  <si>
    <t>УМУС "АТП по уборке города"</t>
  </si>
  <si>
    <t>Центр экологических технологий</t>
  </si>
  <si>
    <t>ООО "УК ЦЭТ"</t>
  </si>
  <si>
    <t>ООО "Чистый город"</t>
  </si>
  <si>
    <t>ООО "Контракт плюс"</t>
  </si>
  <si>
    <t>ООО "РКЦ"</t>
  </si>
  <si>
    <t>Михайлов ИП</t>
  </si>
  <si>
    <t>Михайлин ИП</t>
  </si>
  <si>
    <t>ООО "ЭкоЛайф"</t>
  </si>
  <si>
    <t>ООО "Мир комфорта плюс"</t>
  </si>
  <si>
    <t>ООО "Строитель"</t>
  </si>
  <si>
    <t>ООО "Полигон"</t>
  </si>
  <si>
    <t>НП "Фонд благоустройства"</t>
  </si>
  <si>
    <t>ООО "КПД-2 Жилсервис"</t>
  </si>
  <si>
    <t>ООО "УК Инвестстрой М"</t>
  </si>
  <si>
    <t>1.4</t>
  </si>
  <si>
    <t>АДС</t>
  </si>
  <si>
    <t>2</t>
  </si>
  <si>
    <t>Капитальный ремонт</t>
  </si>
  <si>
    <t>3</t>
  </si>
  <si>
    <t>Вахта</t>
  </si>
  <si>
    <t>лс</t>
  </si>
  <si>
    <t>Накопительный фонд</t>
  </si>
  <si>
    <t>Уборка подъездов</t>
  </si>
  <si>
    <t>чел.</t>
  </si>
  <si>
    <t>Установка приборов учета</t>
  </si>
  <si>
    <t>Оплата Совета дома</t>
  </si>
  <si>
    <t>Санитарная очистка</t>
  </si>
  <si>
    <t>Отопление</t>
  </si>
  <si>
    <t>круглогодичная оплата</t>
  </si>
  <si>
    <t>сезонная оплата</t>
  </si>
  <si>
    <t>УМУП "Городской теплосервис"</t>
  </si>
  <si>
    <t>УМУП "Городская теплосеть"</t>
  </si>
  <si>
    <t>УМУП "Теплоком"</t>
  </si>
  <si>
    <t>УВАУГА</t>
  </si>
  <si>
    <t>ОАО "Элегант"</t>
  </si>
  <si>
    <t xml:space="preserve">ОАО "Волжская ТГК - Ульяновск" </t>
  </si>
  <si>
    <t>ДГСВВ ОАО "РЖД"</t>
  </si>
  <si>
    <t>МУП ГЦ по благоустройству и озеленению</t>
  </si>
  <si>
    <t>ФГУП "31 Арсенал"</t>
  </si>
  <si>
    <t>УльяновскЭлектроТранс</t>
  </si>
  <si>
    <t xml:space="preserve">ООО УК "КПД-1" </t>
  </si>
  <si>
    <t>ООО "Ульяновскрегионгаз"</t>
  </si>
  <si>
    <t>абоненты по ГВС</t>
  </si>
  <si>
    <r>
      <t xml:space="preserve">ООО "ЦЭТ"  </t>
    </r>
    <r>
      <rPr>
        <sz val="10"/>
        <rFont val="Times New Roman"/>
        <family val="1"/>
        <charset val="204"/>
      </rPr>
      <t xml:space="preserve">                                    (сезонная оплата)</t>
    </r>
  </si>
  <si>
    <r>
      <t xml:space="preserve">ООО "КПД-2 Жилсервис"  </t>
    </r>
    <r>
      <rPr>
        <sz val="10"/>
        <rFont val="Times New Roman"/>
        <family val="1"/>
        <charset val="204"/>
      </rPr>
      <t xml:space="preserve">          (сезонная оплата)</t>
    </r>
  </si>
  <si>
    <t>общая</t>
  </si>
  <si>
    <t>ГВС</t>
  </si>
  <si>
    <t>без пр.</t>
  </si>
  <si>
    <t>без приборов учета</t>
  </si>
  <si>
    <t>пр.</t>
  </si>
  <si>
    <t>по приборам учета</t>
  </si>
  <si>
    <t>д-я</t>
  </si>
  <si>
    <t>сумма ГВС</t>
  </si>
  <si>
    <t>ООО "Симбирск-Теплосервис"</t>
  </si>
  <si>
    <r>
      <t xml:space="preserve">ООО "Ульяновскрегионгаз"  </t>
    </r>
    <r>
      <rPr>
        <sz val="10"/>
        <rFont val="Times New Roman"/>
        <family val="1"/>
        <charset val="204"/>
      </rPr>
      <t>(по приборам учета)</t>
    </r>
  </si>
  <si>
    <r>
      <t xml:space="preserve">ООО "Ульяновскрегионгаз" </t>
    </r>
    <r>
      <rPr>
        <sz val="10"/>
        <rFont val="Times New Roman"/>
        <family val="1"/>
        <charset val="204"/>
      </rPr>
      <t>(без приборов учета)</t>
    </r>
  </si>
  <si>
    <r>
      <t xml:space="preserve">ООО "УК Инвестстрой М"     </t>
    </r>
    <r>
      <rPr>
        <sz val="10"/>
        <rFont val="Times New Roman"/>
        <family val="1"/>
        <charset val="204"/>
      </rPr>
      <t>(по приборам учета)</t>
    </r>
  </si>
  <si>
    <r>
      <t xml:space="preserve">ООО "УК КПД-1"                     </t>
    </r>
    <r>
      <rPr>
        <sz val="10"/>
        <rFont val="Times New Roman"/>
        <family val="1"/>
        <charset val="204"/>
      </rPr>
      <t>(по приборам учета)</t>
    </r>
  </si>
  <si>
    <r>
      <t xml:space="preserve">ООО "КПД-2 Жилсервис"    </t>
    </r>
    <r>
      <rPr>
        <sz val="10"/>
        <rFont val="Times New Roman"/>
        <family val="1"/>
        <charset val="204"/>
      </rPr>
      <t xml:space="preserve">  (по приборам учета)</t>
    </r>
  </si>
  <si>
    <t xml:space="preserve"> (без приборов учета)</t>
  </si>
  <si>
    <t>(по приборам учета)</t>
  </si>
  <si>
    <r>
      <t xml:space="preserve">ХВС </t>
    </r>
    <r>
      <rPr>
        <sz val="10"/>
        <rFont val="Times New Roman"/>
        <family val="1"/>
        <charset val="204"/>
      </rPr>
      <t>(МУП "Водоканал")</t>
    </r>
    <r>
      <rPr>
        <b/>
        <sz val="10"/>
        <rFont val="Times New Roman"/>
        <family val="1"/>
        <charset val="204"/>
      </rPr>
      <t xml:space="preserve">    </t>
    </r>
  </si>
  <si>
    <r>
      <t xml:space="preserve">Водоотведение </t>
    </r>
    <r>
      <rPr>
        <sz val="10"/>
        <rFont val="Times New Roman"/>
        <family val="1"/>
        <charset val="204"/>
      </rPr>
      <t>(МУП "Водоканал")</t>
    </r>
    <r>
      <rPr>
        <b/>
        <sz val="10"/>
        <rFont val="Times New Roman"/>
        <family val="1"/>
        <charset val="204"/>
      </rPr>
      <t xml:space="preserve"> </t>
    </r>
  </si>
  <si>
    <t>Обслуживание телеантенн</t>
  </si>
  <si>
    <t>аб.</t>
  </si>
  <si>
    <t>УМУП "ИТС"</t>
  </si>
  <si>
    <t>абон.</t>
  </si>
  <si>
    <t>ООО "Симбирск КТВ"</t>
  </si>
  <si>
    <t>ООО "Электрон"</t>
  </si>
  <si>
    <r>
      <t xml:space="preserve">Радио </t>
    </r>
    <r>
      <rPr>
        <sz val="10"/>
        <rFont val="Times New Roman"/>
        <family val="1"/>
        <charset val="204"/>
      </rPr>
      <t>(ОАО "Волга Телеком")</t>
    </r>
  </si>
  <si>
    <t>р. т.</t>
  </si>
  <si>
    <r>
      <t xml:space="preserve">Газ </t>
    </r>
    <r>
      <rPr>
        <sz val="10"/>
        <rFont val="Times New Roman"/>
        <family val="1"/>
        <charset val="204"/>
      </rPr>
      <t>(ООО "Ульяновскрегионгаз")</t>
    </r>
  </si>
  <si>
    <r>
      <t>Газ. отопление</t>
    </r>
    <r>
      <rPr>
        <sz val="10"/>
        <rFont val="Times New Roman"/>
        <family val="1"/>
        <charset val="204"/>
      </rPr>
      <t xml:space="preserve"> (ООО "Ульяновскрегионгаз")</t>
    </r>
  </si>
  <si>
    <t>т. м2</t>
  </si>
  <si>
    <t>Старший по дому</t>
  </si>
  <si>
    <t>Старший по дому (кв.)</t>
  </si>
  <si>
    <t>ж/д р-он</t>
  </si>
  <si>
    <t>мегаполисы</t>
  </si>
  <si>
    <t>Электроэнергия</t>
  </si>
  <si>
    <t>Электроснабжение МОП</t>
  </si>
  <si>
    <r>
      <t xml:space="preserve">Социальный найм жилья </t>
    </r>
    <r>
      <rPr>
        <sz val="10"/>
        <rFont val="Times New Roman"/>
        <family val="1"/>
        <charset val="204"/>
      </rPr>
      <t>(КУГИЗ)</t>
    </r>
  </si>
  <si>
    <t>Заместитель директора филиала</t>
  </si>
  <si>
    <t>Д.А. Лялякин</t>
  </si>
  <si>
    <t>Исполнитель</t>
  </si>
  <si>
    <t>Р.Р. Измайлова</t>
  </si>
  <si>
    <t>41 74 51</t>
  </si>
  <si>
    <t>по пр. учета</t>
  </si>
  <si>
    <t>засвияжье 2</t>
  </si>
  <si>
    <t>засвияжье 1</t>
  </si>
  <si>
    <t>ООО                    "КПД-1"</t>
  </si>
  <si>
    <t>итог июнь</t>
  </si>
  <si>
    <t>итог  май</t>
  </si>
  <si>
    <t>гвс</t>
  </si>
  <si>
    <t>хвс</t>
  </si>
  <si>
    <t xml:space="preserve">                 </t>
  </si>
  <si>
    <t>Кол-во баллов</t>
  </si>
  <si>
    <t>22ч 55мин</t>
  </si>
  <si>
    <t>11ч15мин</t>
  </si>
  <si>
    <t>10ч25мин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</si>
</sst>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00"/>
    <numFmt numFmtId="166" formatCode="mm/yy"/>
    <numFmt numFmtId="167" formatCode="#,##0.0"/>
    <numFmt numFmtId="168" formatCode="#,##0.000000"/>
    <numFmt numFmtId="169" formatCode="0.000"/>
  </numFmts>
  <fonts count="30"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1" fillId="0" borderId="0"/>
  </cellStyleXfs>
  <cellXfs count="928">
    <xf numFmtId="0" fontId="0" fillId="0" borderId="0" xfId="0"/>
    <xf numFmtId="0" fontId="2" fillId="0" borderId="0" xfId="1"/>
    <xf numFmtId="0" fontId="2" fillId="4" borderId="0" xfId="1" applyFill="1"/>
    <xf numFmtId="0" fontId="4" fillId="0" borderId="0" xfId="1" applyFont="1"/>
    <xf numFmtId="0" fontId="2" fillId="5" borderId="0" xfId="1" applyFill="1"/>
    <xf numFmtId="0" fontId="2" fillId="4" borderId="0" xfId="1" applyFill="1" applyAlignment="1">
      <alignment horizontal="center"/>
    </xf>
    <xf numFmtId="0" fontId="7" fillId="0" borderId="0" xfId="1" applyFont="1"/>
    <xf numFmtId="0" fontId="2" fillId="0" borderId="0" xfId="1" applyFont="1"/>
    <xf numFmtId="0" fontId="8" fillId="0" borderId="0" xfId="1" applyFont="1"/>
    <xf numFmtId="0" fontId="3" fillId="0" borderId="0" xfId="1" applyFont="1"/>
    <xf numFmtId="0" fontId="5" fillId="0" borderId="0" xfId="1" applyFont="1"/>
    <xf numFmtId="0" fontId="3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/>
    <xf numFmtId="0" fontId="3" fillId="4" borderId="0" xfId="1" applyFont="1" applyFill="1"/>
    <xf numFmtId="0" fontId="5" fillId="4" borderId="0" xfId="1" applyFont="1" applyFill="1"/>
    <xf numFmtId="0" fontId="3" fillId="4" borderId="0" xfId="1" applyFont="1" applyFill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3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left" vertical="center" wrapText="1"/>
    </xf>
    <xf numFmtId="0" fontId="3" fillId="0" borderId="28" xfId="1" applyFont="1" applyBorder="1" applyAlignment="1">
      <alignment horizontal="center" vertical="center"/>
    </xf>
    <xf numFmtId="0" fontId="5" fillId="5" borderId="28" xfId="1" applyFont="1" applyFill="1" applyBorder="1" applyAlignment="1">
      <alignment horizontal="left" vertical="center" wrapText="1"/>
    </xf>
    <xf numFmtId="0" fontId="3" fillId="5" borderId="28" xfId="1" applyFont="1" applyFill="1" applyBorder="1" applyAlignment="1">
      <alignment horizontal="center" vertical="center"/>
    </xf>
    <xf numFmtId="0" fontId="3" fillId="6" borderId="29" xfId="1" applyFont="1" applyFill="1" applyBorder="1" applyAlignment="1">
      <alignment horizontal="center" vertical="center"/>
    </xf>
    <xf numFmtId="0" fontId="5" fillId="6" borderId="30" xfId="1" applyFont="1" applyFill="1" applyBorder="1" applyAlignment="1">
      <alignment horizontal="left" vertical="center" wrapText="1"/>
    </xf>
    <xf numFmtId="0" fontId="3" fillId="6" borderId="30" xfId="1" applyFont="1" applyFill="1" applyBorder="1" applyAlignment="1">
      <alignment horizontal="center" vertical="center"/>
    </xf>
    <xf numFmtId="0" fontId="2" fillId="6" borderId="0" xfId="1" applyFill="1"/>
    <xf numFmtId="0" fontId="3" fillId="6" borderId="31" xfId="1" applyFont="1" applyFill="1" applyBorder="1" applyAlignment="1">
      <alignment horizontal="center" vertical="center"/>
    </xf>
    <xf numFmtId="0" fontId="5" fillId="6" borderId="32" xfId="1" applyFont="1" applyFill="1" applyBorder="1" applyAlignment="1">
      <alignment horizontal="left" vertical="center" wrapText="1"/>
    </xf>
    <xf numFmtId="0" fontId="3" fillId="6" borderId="32" xfId="1" applyFont="1" applyFill="1" applyBorder="1" applyAlignment="1">
      <alignment horizontal="center" vertical="center"/>
    </xf>
    <xf numFmtId="0" fontId="4" fillId="6" borderId="0" xfId="1" applyFont="1" applyFill="1"/>
    <xf numFmtId="0" fontId="3" fillId="6" borderId="8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6" borderId="8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6" borderId="8" xfId="1" applyNumberFormat="1" applyFont="1" applyFill="1" applyBorder="1" applyAlignment="1">
      <alignment horizontal="center" vertical="center"/>
    </xf>
    <xf numFmtId="164" fontId="9" fillId="0" borderId="5" xfId="1" applyNumberFormat="1" applyFont="1" applyBorder="1" applyAlignment="1">
      <alignment horizontal="center" vertical="center"/>
    </xf>
    <xf numFmtId="164" fontId="9" fillId="6" borderId="8" xfId="1" applyNumberFormat="1" applyFont="1" applyFill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3" fontId="3" fillId="6" borderId="8" xfId="1" applyNumberFormat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0" fontId="3" fillId="6" borderId="8" xfId="1" applyNumberFormat="1" applyFont="1" applyFill="1" applyBorder="1" applyAlignment="1">
      <alignment horizontal="center" vertical="center"/>
    </xf>
    <xf numFmtId="164" fontId="3" fillId="6" borderId="10" xfId="1" applyNumberFormat="1" applyFont="1" applyFill="1" applyBorder="1" applyAlignment="1">
      <alignment horizontal="center" vertical="center"/>
    </xf>
    <xf numFmtId="0" fontId="3" fillId="6" borderId="9" xfId="1" applyNumberFormat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5" borderId="5" xfId="1" applyNumberFormat="1" applyFont="1" applyFill="1" applyBorder="1" applyAlignment="1">
      <alignment horizontal="center" vertical="center"/>
    </xf>
    <xf numFmtId="0" fontId="3" fillId="5" borderId="11" xfId="1" applyFont="1" applyFill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  <xf numFmtId="1" fontId="3" fillId="6" borderId="8" xfId="1" applyNumberFormat="1" applyFont="1" applyFill="1" applyBorder="1" applyAlignment="1">
      <alignment horizontal="center" vertical="center"/>
    </xf>
    <xf numFmtId="1" fontId="9" fillId="0" borderId="5" xfId="1" applyNumberFormat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6" borderId="30" xfId="1" applyFont="1" applyFill="1" applyBorder="1" applyAlignment="1">
      <alignment horizontal="center" vertical="center"/>
    </xf>
    <xf numFmtId="164" fontId="3" fillId="6" borderId="9" xfId="1" applyNumberFormat="1" applyFont="1" applyFill="1" applyBorder="1" applyAlignment="1">
      <alignment horizontal="center" vertical="center"/>
    </xf>
    <xf numFmtId="0" fontId="12" fillId="6" borderId="32" xfId="1" applyFont="1" applyFill="1" applyBorder="1" applyAlignment="1">
      <alignment horizontal="center" vertical="center"/>
    </xf>
    <xf numFmtId="0" fontId="12" fillId="5" borderId="28" xfId="1" applyFont="1" applyFill="1" applyBorder="1" applyAlignment="1">
      <alignment horizontal="center" vertical="center"/>
    </xf>
    <xf numFmtId="1" fontId="3" fillId="5" borderId="5" xfId="1" applyNumberFormat="1" applyFont="1" applyFill="1" applyBorder="1" applyAlignment="1">
      <alignment horizontal="center" vertical="center"/>
    </xf>
    <xf numFmtId="1" fontId="9" fillId="6" borderId="8" xfId="1" applyNumberFormat="1" applyFont="1" applyFill="1" applyBorder="1" applyAlignment="1">
      <alignment horizontal="center" vertical="center"/>
    </xf>
    <xf numFmtId="2" fontId="3" fillId="5" borderId="5" xfId="1" applyNumberFormat="1" applyFont="1" applyFill="1" applyBorder="1" applyAlignment="1">
      <alignment horizontal="center" vertical="center"/>
    </xf>
    <xf numFmtId="2" fontId="12" fillId="6" borderId="30" xfId="1" applyNumberFormat="1" applyFont="1" applyFill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164" fontId="3" fillId="7" borderId="5" xfId="1" applyNumberFormat="1" applyFont="1" applyFill="1" applyBorder="1" applyAlignment="1">
      <alignment horizontal="center" vertical="center"/>
    </xf>
    <xf numFmtId="164" fontId="9" fillId="7" borderId="5" xfId="1" applyNumberFormat="1" applyFont="1" applyFill="1" applyBorder="1" applyAlignment="1">
      <alignment horizontal="center" vertical="center"/>
    </xf>
    <xf numFmtId="1" fontId="3" fillId="6" borderId="9" xfId="1" applyNumberFormat="1" applyFont="1" applyFill="1" applyBorder="1" applyAlignment="1">
      <alignment horizontal="center" vertical="center"/>
    </xf>
    <xf numFmtId="1" fontId="13" fillId="5" borderId="5" xfId="1" applyNumberFormat="1" applyFont="1" applyFill="1" applyBorder="1" applyAlignment="1">
      <alignment horizontal="center" vertical="center"/>
    </xf>
    <xf numFmtId="0" fontId="14" fillId="6" borderId="32" xfId="1" applyFont="1" applyFill="1" applyBorder="1" applyAlignment="1">
      <alignment horizontal="left" vertical="center" wrapText="1"/>
    </xf>
    <xf numFmtId="0" fontId="2" fillId="6" borderId="0" xfId="1" applyFont="1" applyFill="1"/>
    <xf numFmtId="0" fontId="14" fillId="6" borderId="30" xfId="1" applyFont="1" applyFill="1" applyBorder="1" applyAlignment="1">
      <alignment horizontal="left" vertical="center" wrapText="1"/>
    </xf>
    <xf numFmtId="1" fontId="13" fillId="6" borderId="8" xfId="1" applyNumberFormat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" fillId="7" borderId="5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Border="1" applyAlignment="1"/>
    <xf numFmtId="0" fontId="9" fillId="3" borderId="23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38" xfId="1" applyFont="1" applyFill="1" applyBorder="1" applyAlignment="1">
      <alignment horizontal="center"/>
    </xf>
    <xf numFmtId="0" fontId="3" fillId="3" borderId="34" xfId="1" applyFont="1" applyFill="1" applyBorder="1" applyAlignment="1">
      <alignment horizontal="center"/>
    </xf>
    <xf numFmtId="0" fontId="3" fillId="8" borderId="35" xfId="1" applyFont="1" applyFill="1" applyBorder="1" applyAlignment="1">
      <alignment horizontal="center" vertical="center"/>
    </xf>
    <xf numFmtId="0" fontId="5" fillId="8" borderId="36" xfId="1" applyFont="1" applyFill="1" applyBorder="1" applyAlignment="1">
      <alignment horizontal="left" vertical="center" wrapText="1"/>
    </xf>
    <xf numFmtId="0" fontId="3" fillId="8" borderId="3" xfId="1" applyFont="1" applyFill="1" applyBorder="1" applyAlignment="1">
      <alignment horizontal="center" vertical="center"/>
    </xf>
    <xf numFmtId="3" fontId="3" fillId="8" borderId="3" xfId="1" applyNumberFormat="1" applyFont="1" applyFill="1" applyBorder="1" applyAlignment="1">
      <alignment horizontal="center" vertical="center"/>
    </xf>
    <xf numFmtId="1" fontId="3" fillId="8" borderId="3" xfId="1" applyNumberFormat="1" applyFont="1" applyFill="1" applyBorder="1" applyAlignment="1">
      <alignment horizontal="center" vertical="center"/>
    </xf>
    <xf numFmtId="0" fontId="3" fillId="8" borderId="37" xfId="1" applyFont="1" applyFill="1" applyBorder="1" applyAlignment="1">
      <alignment horizontal="center" vertical="center"/>
    </xf>
    <xf numFmtId="4" fontId="3" fillId="8" borderId="3" xfId="1" applyNumberFormat="1" applyFont="1" applyFill="1" applyBorder="1" applyAlignment="1">
      <alignment horizontal="center" vertical="center" wrapText="1"/>
    </xf>
    <xf numFmtId="4" fontId="3" fillId="8" borderId="3" xfId="1" applyNumberFormat="1" applyFont="1" applyFill="1" applyBorder="1" applyAlignment="1">
      <alignment horizontal="center" vertical="center"/>
    </xf>
    <xf numFmtId="0" fontId="12" fillId="8" borderId="36" xfId="1" applyFont="1" applyFill="1" applyBorder="1" applyAlignment="1">
      <alignment horizontal="center" vertical="center"/>
    </xf>
    <xf numFmtId="0" fontId="3" fillId="8" borderId="36" xfId="1" applyFont="1" applyFill="1" applyBorder="1" applyAlignment="1">
      <alignment horizontal="center" vertical="center"/>
    </xf>
    <xf numFmtId="0" fontId="2" fillId="8" borderId="0" xfId="1" applyFill="1"/>
    <xf numFmtId="0" fontId="3" fillId="8" borderId="17" xfId="1" applyFont="1" applyFill="1" applyBorder="1" applyAlignment="1">
      <alignment horizontal="center" vertical="center"/>
    </xf>
    <xf numFmtId="0" fontId="3" fillId="6" borderId="21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5" borderId="17" xfId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0" fontId="3" fillId="8" borderId="5" xfId="1" applyFont="1" applyFill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3" fontId="3" fillId="6" borderId="9" xfId="1" applyNumberFormat="1" applyFont="1" applyFill="1" applyBorder="1" applyAlignment="1">
      <alignment horizontal="center" vertical="center"/>
    </xf>
    <xf numFmtId="3" fontId="10" fillId="5" borderId="5" xfId="1" applyNumberFormat="1" applyFont="1" applyFill="1" applyBorder="1" applyAlignment="1">
      <alignment horizontal="center" vertical="center"/>
    </xf>
    <xf numFmtId="3" fontId="13" fillId="6" borderId="8" xfId="1" applyNumberFormat="1" applyFont="1" applyFill="1" applyBorder="1" applyAlignment="1">
      <alignment horizontal="center" vertical="center"/>
    </xf>
    <xf numFmtId="3" fontId="9" fillId="6" borderId="8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8" borderId="5" xfId="1" applyNumberFormat="1" applyFont="1" applyFill="1" applyBorder="1" applyAlignment="1">
      <alignment horizontal="center" vertical="center"/>
    </xf>
    <xf numFmtId="3" fontId="3" fillId="8" borderId="8" xfId="1" applyNumberFormat="1" applyFont="1" applyFill="1" applyBorder="1" applyAlignment="1">
      <alignment horizontal="center" vertical="center"/>
    </xf>
    <xf numFmtId="3" fontId="9" fillId="8" borderId="5" xfId="1" applyNumberFormat="1" applyFont="1" applyFill="1" applyBorder="1" applyAlignment="1">
      <alignment horizontal="center" vertical="center"/>
    </xf>
    <xf numFmtId="3" fontId="10" fillId="8" borderId="5" xfId="1" applyNumberFormat="1" applyFont="1" applyFill="1" applyBorder="1" applyAlignment="1">
      <alignment horizontal="center" vertical="center"/>
    </xf>
    <xf numFmtId="3" fontId="9" fillId="8" borderId="8" xfId="1" applyNumberFormat="1" applyFont="1" applyFill="1" applyBorder="1" applyAlignment="1">
      <alignment horizontal="center" vertical="center"/>
    </xf>
    <xf numFmtId="0" fontId="2" fillId="9" borderId="0" xfId="1" applyFill="1"/>
    <xf numFmtId="0" fontId="15" fillId="0" borderId="0" xfId="1" applyFont="1"/>
    <xf numFmtId="0" fontId="16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Border="1" applyAlignment="1">
      <alignment horizontal="center"/>
    </xf>
    <xf numFmtId="0" fontId="15" fillId="0" borderId="0" xfId="1" applyFont="1" applyBorder="1"/>
    <xf numFmtId="0" fontId="16" fillId="0" borderId="1" xfId="1" applyFont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left" vertical="center" wrapText="1"/>
    </xf>
    <xf numFmtId="0" fontId="15" fillId="8" borderId="1" xfId="1" applyFont="1" applyFill="1" applyBorder="1" applyAlignment="1">
      <alignment horizontal="center" vertical="center"/>
    </xf>
    <xf numFmtId="3" fontId="15" fillId="8" borderId="1" xfId="1" applyNumberFormat="1" applyFont="1" applyFill="1" applyBorder="1" applyAlignment="1">
      <alignment horizontal="center" vertical="center"/>
    </xf>
    <xf numFmtId="1" fontId="15" fillId="8" borderId="1" xfId="1" applyNumberFormat="1" applyFont="1" applyFill="1" applyBorder="1" applyAlignment="1">
      <alignment horizontal="center" vertical="center"/>
    </xf>
    <xf numFmtId="2" fontId="15" fillId="8" borderId="1" xfId="1" applyNumberFormat="1" applyFont="1" applyFill="1" applyBorder="1" applyAlignment="1">
      <alignment horizontal="center" vertical="center" wrapText="1"/>
    </xf>
    <xf numFmtId="2" fontId="15" fillId="8" borderId="1" xfId="1" applyNumberFormat="1" applyFont="1" applyFill="1" applyBorder="1" applyAlignment="1">
      <alignment horizontal="center" vertical="center"/>
    </xf>
    <xf numFmtId="0" fontId="15" fillId="8" borderId="1" xfId="1" applyNumberFormat="1" applyFont="1" applyFill="1" applyBorder="1" applyAlignment="1">
      <alignment horizontal="center" vertical="center"/>
    </xf>
    <xf numFmtId="164" fontId="15" fillId="8" borderId="1" xfId="1" applyNumberFormat="1" applyFont="1" applyFill="1" applyBorder="1" applyAlignment="1">
      <alignment horizontal="center" vertical="center"/>
    </xf>
    <xf numFmtId="1" fontId="18" fillId="8" borderId="1" xfId="1" applyNumberFormat="1" applyFont="1" applyFill="1" applyBorder="1" applyAlignment="1">
      <alignment horizontal="center" vertical="center"/>
    </xf>
    <xf numFmtId="3" fontId="18" fillId="8" borderId="1" xfId="1" applyNumberFormat="1" applyFont="1" applyFill="1" applyBorder="1" applyAlignment="1">
      <alignment horizontal="center" vertical="center"/>
    </xf>
    <xf numFmtId="0" fontId="15" fillId="8" borderId="1" xfId="1" applyFont="1" applyFill="1" applyBorder="1" applyAlignment="1">
      <alignment horizontal="center" vertical="center" wrapText="1"/>
    </xf>
    <xf numFmtId="0" fontId="19" fillId="8" borderId="1" xfId="1" applyFont="1" applyFill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6" fillId="0" borderId="36" xfId="1" applyFont="1" applyBorder="1" applyAlignment="1">
      <alignment horizontal="left" vertical="center" wrapText="1"/>
    </xf>
    <xf numFmtId="0" fontId="15" fillId="0" borderId="3" xfId="1" applyNumberFormat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1" fontId="16" fillId="0" borderId="3" xfId="1" applyNumberFormat="1" applyFont="1" applyBorder="1" applyAlignment="1">
      <alignment horizontal="center" vertical="center"/>
    </xf>
    <xf numFmtId="3" fontId="16" fillId="0" borderId="3" xfId="1" applyNumberFormat="1" applyFont="1" applyBorder="1" applyAlignment="1">
      <alignment horizontal="center" vertical="center"/>
    </xf>
    <xf numFmtId="1" fontId="15" fillId="0" borderId="3" xfId="1" applyNumberFormat="1" applyFont="1" applyBorder="1" applyAlignment="1">
      <alignment horizontal="center" vertical="center"/>
    </xf>
    <xf numFmtId="164" fontId="15" fillId="0" borderId="3" xfId="1" applyNumberFormat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164" fontId="15" fillId="0" borderId="37" xfId="1" applyNumberFormat="1" applyFont="1" applyBorder="1" applyAlignment="1">
      <alignment horizontal="center" vertical="center"/>
    </xf>
    <xf numFmtId="2" fontId="15" fillId="0" borderId="3" xfId="1" applyNumberFormat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164" fontId="15" fillId="0" borderId="17" xfId="1" applyNumberFormat="1" applyFont="1" applyBorder="1" applyAlignment="1">
      <alignment horizontal="center" vertical="center"/>
    </xf>
    <xf numFmtId="164" fontId="15" fillId="0" borderId="20" xfId="1" applyNumberFormat="1" applyFont="1" applyBorder="1" applyAlignment="1">
      <alignment horizontal="center" vertical="center"/>
    </xf>
    <xf numFmtId="0" fontId="15" fillId="6" borderId="29" xfId="1" applyFont="1" applyFill="1" applyBorder="1" applyAlignment="1">
      <alignment horizontal="center" vertical="center"/>
    </xf>
    <xf numFmtId="0" fontId="16" fillId="6" borderId="30" xfId="1" applyFont="1" applyFill="1" applyBorder="1" applyAlignment="1">
      <alignment horizontal="left" vertical="center" wrapText="1"/>
    </xf>
    <xf numFmtId="0" fontId="15" fillId="6" borderId="8" xfId="1" applyNumberFormat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1" fontId="16" fillId="6" borderId="8" xfId="1" applyNumberFormat="1" applyFont="1" applyFill="1" applyBorder="1" applyAlignment="1">
      <alignment horizontal="center" vertical="center"/>
    </xf>
    <xf numFmtId="3" fontId="16" fillId="6" borderId="8" xfId="1" applyNumberFormat="1" applyFont="1" applyFill="1" applyBorder="1" applyAlignment="1">
      <alignment horizontal="center" vertical="center"/>
    </xf>
    <xf numFmtId="1" fontId="15" fillId="6" borderId="8" xfId="1" applyNumberFormat="1" applyFont="1" applyFill="1" applyBorder="1" applyAlignment="1">
      <alignment horizontal="center" vertical="center"/>
    </xf>
    <xf numFmtId="164" fontId="15" fillId="6" borderId="8" xfId="1" applyNumberFormat="1" applyFont="1" applyFill="1" applyBorder="1" applyAlignment="1">
      <alignment horizontal="center" vertical="center"/>
    </xf>
    <xf numFmtId="0" fontId="15" fillId="6" borderId="8" xfId="1" applyFont="1" applyFill="1" applyBorder="1" applyAlignment="1">
      <alignment horizontal="center" vertical="center"/>
    </xf>
    <xf numFmtId="164" fontId="15" fillId="6" borderId="10" xfId="1" applyNumberFormat="1" applyFont="1" applyFill="1" applyBorder="1" applyAlignment="1">
      <alignment horizontal="center" vertical="center"/>
    </xf>
    <xf numFmtId="0" fontId="15" fillId="6" borderId="30" xfId="1" applyFont="1" applyFill="1" applyBorder="1" applyAlignment="1">
      <alignment horizontal="center" vertical="center"/>
    </xf>
    <xf numFmtId="0" fontId="15" fillId="6" borderId="21" xfId="1" applyFont="1" applyFill="1" applyBorder="1" applyAlignment="1">
      <alignment horizontal="center" vertical="center"/>
    </xf>
    <xf numFmtId="0" fontId="15" fillId="6" borderId="22" xfId="1" applyFont="1" applyFill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6" fillId="0" borderId="28" xfId="1" applyFont="1" applyBorder="1" applyAlignment="1">
      <alignment horizontal="left" vertical="center" wrapText="1"/>
    </xf>
    <xf numFmtId="0" fontId="15" fillId="0" borderId="5" xfId="1" applyNumberFormat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1" fontId="15" fillId="0" borderId="5" xfId="1" applyNumberFormat="1" applyFont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2" fontId="15" fillId="0" borderId="5" xfId="1" applyNumberFormat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3" fontId="15" fillId="6" borderId="8" xfId="1" applyNumberFormat="1" applyFont="1" applyFill="1" applyBorder="1" applyAlignment="1">
      <alignment horizontal="center" vertical="center"/>
    </xf>
    <xf numFmtId="0" fontId="15" fillId="6" borderId="10" xfId="1" applyFont="1" applyFill="1" applyBorder="1" applyAlignment="1">
      <alignment horizontal="center" vertical="center"/>
    </xf>
    <xf numFmtId="0" fontId="15" fillId="6" borderId="13" xfId="1" applyFont="1" applyFill="1" applyBorder="1" applyAlignment="1">
      <alignment horizontal="center" vertical="center"/>
    </xf>
    <xf numFmtId="0" fontId="15" fillId="6" borderId="19" xfId="1" applyFont="1" applyFill="1" applyBorder="1" applyAlignment="1">
      <alignment horizontal="center" vertical="center"/>
    </xf>
    <xf numFmtId="164" fontId="15" fillId="0" borderId="5" xfId="1" applyNumberFormat="1" applyFont="1" applyBorder="1" applyAlignment="1">
      <alignment horizontal="center" vertical="center"/>
    </xf>
    <xf numFmtId="164" fontId="15" fillId="0" borderId="11" xfId="1" applyNumberFormat="1" applyFont="1" applyBorder="1" applyAlignment="1">
      <alignment horizontal="center" vertical="center"/>
    </xf>
    <xf numFmtId="164" fontId="16" fillId="6" borderId="8" xfId="1" applyNumberFormat="1" applyFont="1" applyFill="1" applyBorder="1" applyAlignment="1">
      <alignment horizontal="center" vertical="center"/>
    </xf>
    <xf numFmtId="0" fontId="15" fillId="0" borderId="0" xfId="1" applyFont="1" applyBorder="1" applyAlignment="1"/>
    <xf numFmtId="0" fontId="15" fillId="4" borderId="0" xfId="1" applyFont="1" applyFill="1"/>
    <xf numFmtId="0" fontId="16" fillId="4" borderId="0" xfId="1" applyFont="1" applyFill="1"/>
    <xf numFmtId="0" fontId="15" fillId="4" borderId="0" xfId="1" applyFont="1" applyFill="1" applyAlignment="1">
      <alignment horizontal="center"/>
    </xf>
    <xf numFmtId="0" fontId="16" fillId="0" borderId="0" xfId="1" applyFont="1" applyAlignment="1">
      <alignment horizontal="center"/>
    </xf>
    <xf numFmtId="0" fontId="16" fillId="0" borderId="1" xfId="1" applyFont="1" applyBorder="1" applyAlignment="1">
      <alignment vertical="center" wrapText="1"/>
    </xf>
    <xf numFmtId="0" fontId="16" fillId="3" borderId="1" xfId="1" applyFont="1" applyFill="1" applyBorder="1" applyAlignment="1">
      <alignment horizontal="center"/>
    </xf>
    <xf numFmtId="0" fontId="15" fillId="3" borderId="1" xfId="1" applyFont="1" applyFill="1" applyBorder="1" applyAlignment="1">
      <alignment horizontal="center"/>
    </xf>
    <xf numFmtId="0" fontId="16" fillId="8" borderId="1" xfId="1" applyFont="1" applyFill="1" applyBorder="1" applyAlignment="1">
      <alignment horizontal="left" vertical="center" wrapText="1"/>
    </xf>
    <xf numFmtId="4" fontId="15" fillId="8" borderId="1" xfId="1" applyNumberFormat="1" applyFont="1" applyFill="1" applyBorder="1" applyAlignment="1">
      <alignment horizontal="center" vertical="center" wrapText="1"/>
    </xf>
    <xf numFmtId="4" fontId="15" fillId="8" borderId="1" xfId="1" applyNumberFormat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164" fontId="3" fillId="8" borderId="5" xfId="1" applyNumberFormat="1" applyFont="1" applyFill="1" applyBorder="1" applyAlignment="1">
      <alignment horizontal="center" vertical="center"/>
    </xf>
    <xf numFmtId="164" fontId="9" fillId="8" borderId="5" xfId="1" applyNumberFormat="1" applyFont="1" applyFill="1" applyBorder="1" applyAlignment="1">
      <alignment horizontal="center" vertical="center"/>
    </xf>
    <xf numFmtId="0" fontId="1" fillId="8" borderId="5" xfId="1" applyFont="1" applyFill="1" applyBorder="1" applyAlignment="1">
      <alignment horizontal="center" vertical="center"/>
    </xf>
    <xf numFmtId="0" fontId="3" fillId="10" borderId="29" xfId="1" applyFont="1" applyFill="1" applyBorder="1" applyAlignment="1">
      <alignment horizontal="center" vertical="center"/>
    </xf>
    <xf numFmtId="0" fontId="5" fillId="10" borderId="30" xfId="1" applyFont="1" applyFill="1" applyBorder="1" applyAlignment="1">
      <alignment horizontal="left" vertical="center" wrapText="1"/>
    </xf>
    <xf numFmtId="0" fontId="3" fillId="10" borderId="8" xfId="1" applyFont="1" applyFill="1" applyBorder="1" applyAlignment="1">
      <alignment horizontal="center" vertical="center"/>
    </xf>
    <xf numFmtId="3" fontId="3" fillId="10" borderId="8" xfId="1" applyNumberFormat="1" applyFont="1" applyFill="1" applyBorder="1" applyAlignment="1">
      <alignment horizontal="center" vertical="center"/>
    </xf>
    <xf numFmtId="1" fontId="3" fillId="10" borderId="8" xfId="1" applyNumberFormat="1" applyFont="1" applyFill="1" applyBorder="1" applyAlignment="1">
      <alignment horizontal="center" vertical="center"/>
    </xf>
    <xf numFmtId="0" fontId="3" fillId="10" borderId="10" xfId="1" applyFont="1" applyFill="1" applyBorder="1" applyAlignment="1">
      <alignment horizontal="center" vertical="center"/>
    </xf>
    <xf numFmtId="0" fontId="3" fillId="10" borderId="8" xfId="1" applyFont="1" applyFill="1" applyBorder="1" applyAlignment="1">
      <alignment horizontal="center" vertical="center" wrapText="1"/>
    </xf>
    <xf numFmtId="0" fontId="12" fillId="10" borderId="30" xfId="1" applyFont="1" applyFill="1" applyBorder="1" applyAlignment="1">
      <alignment horizontal="center" vertical="center"/>
    </xf>
    <xf numFmtId="0" fontId="3" fillId="10" borderId="30" xfId="1" applyFont="1" applyFill="1" applyBorder="1" applyAlignment="1">
      <alignment horizontal="center" vertical="center"/>
    </xf>
    <xf numFmtId="0" fontId="3" fillId="10" borderId="21" xfId="1" applyFont="1" applyFill="1" applyBorder="1" applyAlignment="1">
      <alignment horizontal="center" vertical="center"/>
    </xf>
    <xf numFmtId="0" fontId="3" fillId="10" borderId="13" xfId="1" applyFont="1" applyFill="1" applyBorder="1" applyAlignment="1">
      <alignment horizontal="center" vertical="center"/>
    </xf>
    <xf numFmtId="0" fontId="3" fillId="10" borderId="8" xfId="1" applyNumberFormat="1" applyFont="1" applyFill="1" applyBorder="1" applyAlignment="1">
      <alignment horizontal="center" vertical="center"/>
    </xf>
    <xf numFmtId="164" fontId="3" fillId="10" borderId="8" xfId="1" applyNumberFormat="1" applyFont="1" applyFill="1" applyBorder="1" applyAlignment="1">
      <alignment horizontal="center" vertical="center"/>
    </xf>
    <xf numFmtId="164" fontId="3" fillId="10" borderId="10" xfId="1" applyNumberFormat="1" applyFont="1" applyFill="1" applyBorder="1" applyAlignment="1">
      <alignment horizontal="center" vertical="center"/>
    </xf>
    <xf numFmtId="2" fontId="12" fillId="10" borderId="30" xfId="1" applyNumberFormat="1" applyFont="1" applyFill="1" applyBorder="1" applyAlignment="1">
      <alignment horizontal="center" vertical="center"/>
    </xf>
    <xf numFmtId="0" fontId="3" fillId="10" borderId="31" xfId="1" applyFont="1" applyFill="1" applyBorder="1" applyAlignment="1">
      <alignment horizontal="center" vertical="center"/>
    </xf>
    <xf numFmtId="0" fontId="14" fillId="10" borderId="32" xfId="1" applyFont="1" applyFill="1" applyBorder="1" applyAlignment="1">
      <alignment horizontal="left" vertical="center" wrapText="1"/>
    </xf>
    <xf numFmtId="0" fontId="3" fillId="10" borderId="9" xfId="1" applyNumberFormat="1" applyFont="1" applyFill="1" applyBorder="1" applyAlignment="1">
      <alignment horizontal="center" vertical="center"/>
    </xf>
    <xf numFmtId="164" fontId="3" fillId="10" borderId="9" xfId="1" applyNumberFormat="1" applyFont="1" applyFill="1" applyBorder="1" applyAlignment="1">
      <alignment horizontal="center" vertical="center"/>
    </xf>
    <xf numFmtId="1" fontId="3" fillId="10" borderId="9" xfId="1" applyNumberFormat="1" applyFont="1" applyFill="1" applyBorder="1" applyAlignment="1">
      <alignment horizontal="center" vertical="center"/>
    </xf>
    <xf numFmtId="3" fontId="3" fillId="10" borderId="9" xfId="1" applyNumberFormat="1" applyFont="1" applyFill="1" applyBorder="1" applyAlignment="1">
      <alignment horizontal="center" vertical="center"/>
    </xf>
    <xf numFmtId="0" fontId="3" fillId="10" borderId="9" xfId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center" vertical="center"/>
    </xf>
    <xf numFmtId="0" fontId="3" fillId="10" borderId="9" xfId="1" applyFont="1" applyFill="1" applyBorder="1" applyAlignment="1">
      <alignment horizontal="center" vertical="center" wrapText="1"/>
    </xf>
    <xf numFmtId="0" fontId="12" fillId="10" borderId="32" xfId="1" applyFont="1" applyFill="1" applyBorder="1" applyAlignment="1">
      <alignment horizontal="center" vertical="center"/>
    </xf>
    <xf numFmtId="0" fontId="3" fillId="10" borderId="32" xfId="1" applyFont="1" applyFill="1" applyBorder="1" applyAlignment="1">
      <alignment horizontal="center" vertical="center"/>
    </xf>
    <xf numFmtId="0" fontId="5" fillId="10" borderId="32" xfId="1" applyFont="1" applyFill="1" applyBorder="1" applyAlignment="1">
      <alignment horizontal="left" vertical="center" wrapText="1"/>
    </xf>
    <xf numFmtId="0" fontId="14" fillId="10" borderId="30" xfId="1" applyFont="1" applyFill="1" applyBorder="1" applyAlignment="1">
      <alignment horizontal="left" vertical="center" wrapText="1"/>
    </xf>
    <xf numFmtId="1" fontId="13" fillId="10" borderId="8" xfId="1" applyNumberFormat="1" applyFont="1" applyFill="1" applyBorder="1" applyAlignment="1">
      <alignment horizontal="center" vertical="center"/>
    </xf>
    <xf numFmtId="3" fontId="13" fillId="10" borderId="8" xfId="1" applyNumberFormat="1" applyFont="1" applyFill="1" applyBorder="1" applyAlignment="1">
      <alignment horizontal="center" vertical="center"/>
    </xf>
    <xf numFmtId="0" fontId="9" fillId="10" borderId="8" xfId="1" applyFont="1" applyFill="1" applyBorder="1" applyAlignment="1">
      <alignment horizontal="center" vertical="center"/>
    </xf>
    <xf numFmtId="3" fontId="9" fillId="10" borderId="8" xfId="1" applyNumberFormat="1" applyFont="1" applyFill="1" applyBorder="1" applyAlignment="1">
      <alignment horizontal="center" vertical="center"/>
    </xf>
    <xf numFmtId="164" fontId="9" fillId="10" borderId="8" xfId="1" applyNumberFormat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10" borderId="19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3" fillId="11" borderId="3" xfId="1" applyFont="1" applyFill="1" applyBorder="1" applyAlignment="1">
      <alignment horizontal="center" vertical="center"/>
    </xf>
    <xf numFmtId="0" fontId="3" fillId="11" borderId="5" xfId="1" applyFont="1" applyFill="1" applyBorder="1" applyAlignment="1">
      <alignment horizontal="center" vertical="center"/>
    </xf>
    <xf numFmtId="164" fontId="3" fillId="11" borderId="5" xfId="1" applyNumberFormat="1" applyFont="1" applyFill="1" applyBorder="1" applyAlignment="1">
      <alignment horizontal="center" vertical="center"/>
    </xf>
    <xf numFmtId="164" fontId="9" fillId="11" borderId="5" xfId="1" applyNumberFormat="1" applyFont="1" applyFill="1" applyBorder="1" applyAlignment="1">
      <alignment horizontal="center" vertical="center"/>
    </xf>
    <xf numFmtId="3" fontId="13" fillId="5" borderId="5" xfId="1" applyNumberFormat="1" applyFont="1" applyFill="1" applyBorder="1" applyAlignment="1">
      <alignment horizontal="center" vertical="center"/>
    </xf>
    <xf numFmtId="3" fontId="13" fillId="8" borderId="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4" fontId="3" fillId="10" borderId="8" xfId="1" applyNumberFormat="1" applyFont="1" applyFill="1" applyBorder="1" applyAlignment="1">
      <alignment horizontal="center" vertical="center"/>
    </xf>
    <xf numFmtId="4" fontId="3" fillId="0" borderId="5" xfId="1" applyNumberFormat="1" applyFont="1" applyBorder="1" applyAlignment="1">
      <alignment horizontal="center" vertical="center"/>
    </xf>
    <xf numFmtId="4" fontId="3" fillId="10" borderId="9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4" fontId="3" fillId="6" borderId="8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3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3" borderId="41" xfId="1" applyFont="1" applyFill="1" applyBorder="1" applyAlignment="1">
      <alignment horizontal="center"/>
    </xf>
    <xf numFmtId="0" fontId="3" fillId="0" borderId="44" xfId="1" applyFont="1" applyBorder="1" applyAlignment="1">
      <alignment horizontal="center" vertical="center"/>
    </xf>
    <xf numFmtId="164" fontId="3" fillId="0" borderId="42" xfId="1" applyNumberFormat="1" applyFont="1" applyBorder="1" applyAlignment="1">
      <alignment horizontal="center" vertical="center"/>
    </xf>
    <xf numFmtId="0" fontId="3" fillId="6" borderId="45" xfId="1" applyFont="1" applyFill="1" applyBorder="1" applyAlignment="1">
      <alignment horizontal="center" vertical="center"/>
    </xf>
    <xf numFmtId="164" fontId="3" fillId="6" borderId="43" xfId="1" applyNumberFormat="1" applyFont="1" applyFill="1" applyBorder="1" applyAlignment="1">
      <alignment horizontal="center" vertical="center"/>
    </xf>
    <xf numFmtId="3" fontId="3" fillId="8" borderId="42" xfId="1" applyNumberFormat="1" applyFont="1" applyFill="1" applyBorder="1" applyAlignment="1">
      <alignment horizontal="center" vertical="center"/>
    </xf>
    <xf numFmtId="3" fontId="3" fillId="10" borderId="43" xfId="1" applyNumberFormat="1" applyFont="1" applyFill="1" applyBorder="1" applyAlignment="1">
      <alignment horizontal="center" vertical="center"/>
    </xf>
    <xf numFmtId="3" fontId="3" fillId="0" borderId="44" xfId="1" applyNumberFormat="1" applyFont="1" applyBorder="1" applyAlignment="1">
      <alignment horizontal="center" vertical="center"/>
    </xf>
    <xf numFmtId="3" fontId="3" fillId="10" borderId="45" xfId="1" applyNumberFormat="1" applyFont="1" applyFill="1" applyBorder="1" applyAlignment="1">
      <alignment horizontal="center" vertical="center"/>
    </xf>
    <xf numFmtId="3" fontId="3" fillId="0" borderId="42" xfId="1" applyNumberFormat="1" applyFont="1" applyBorder="1" applyAlignment="1">
      <alignment horizontal="center" vertical="center"/>
    </xf>
    <xf numFmtId="3" fontId="3" fillId="10" borderId="40" xfId="1" applyNumberFormat="1" applyFont="1" applyFill="1" applyBorder="1" applyAlignment="1">
      <alignment horizontal="center" vertical="center"/>
    </xf>
    <xf numFmtId="3" fontId="3" fillId="10" borderId="0" xfId="1" applyNumberFormat="1" applyFont="1" applyFill="1" applyBorder="1" applyAlignment="1">
      <alignment horizontal="center" vertical="center"/>
    </xf>
    <xf numFmtId="3" fontId="3" fillId="5" borderId="42" xfId="1" applyNumberFormat="1" applyFont="1" applyFill="1" applyBorder="1" applyAlignment="1">
      <alignment horizontal="center" vertical="center"/>
    </xf>
    <xf numFmtId="3" fontId="3" fillId="5" borderId="44" xfId="1" applyNumberFormat="1" applyFont="1" applyFill="1" applyBorder="1" applyAlignment="1">
      <alignment horizontal="center" vertical="center"/>
    </xf>
    <xf numFmtId="3" fontId="3" fillId="6" borderId="45" xfId="1" applyNumberFormat="1" applyFont="1" applyFill="1" applyBorder="1" applyAlignment="1">
      <alignment horizontal="center" vertical="center"/>
    </xf>
    <xf numFmtId="3" fontId="3" fillId="6" borderId="43" xfId="1" applyNumberFormat="1" applyFont="1" applyFill="1" applyBorder="1" applyAlignment="1">
      <alignment horizontal="center" vertical="center"/>
    </xf>
    <xf numFmtId="165" fontId="3" fillId="0" borderId="0" xfId="2" applyNumberFormat="1" applyFont="1"/>
    <xf numFmtId="165" fontId="9" fillId="12" borderId="0" xfId="2" applyNumberFormat="1" applyFont="1" applyFill="1" applyBorder="1" applyAlignment="1">
      <alignment vertical="center" wrapText="1"/>
    </xf>
    <xf numFmtId="165" fontId="9" fillId="0" borderId="0" xfId="2" applyNumberFormat="1" applyFont="1" applyFill="1" applyBorder="1" applyAlignment="1">
      <alignment vertical="center" wrapText="1"/>
    </xf>
    <xf numFmtId="165" fontId="3" fillId="0" borderId="0" xfId="2" applyNumberFormat="1" applyFont="1" applyFill="1" applyAlignment="1">
      <alignment vertical="center"/>
    </xf>
    <xf numFmtId="165" fontId="3" fillId="0" borderId="0" xfId="2" applyNumberFormat="1" applyFont="1" applyFill="1" applyBorder="1" applyAlignment="1">
      <alignment horizontal="left" vertical="center"/>
    </xf>
    <xf numFmtId="165" fontId="3" fillId="12" borderId="0" xfId="2" applyNumberFormat="1" applyFont="1" applyFill="1" applyBorder="1" applyAlignment="1">
      <alignment horizontal="left" vertical="center"/>
    </xf>
    <xf numFmtId="165" fontId="3" fillId="12" borderId="0" xfId="2" applyNumberFormat="1" applyFont="1" applyFill="1" applyAlignment="1">
      <alignment vertical="center"/>
    </xf>
    <xf numFmtId="165" fontId="23" fillId="0" borderId="0" xfId="2" applyNumberFormat="1" applyFont="1" applyFill="1" applyBorder="1" applyAlignment="1">
      <alignment vertical="center" wrapText="1"/>
    </xf>
    <xf numFmtId="0" fontId="9" fillId="12" borderId="0" xfId="2" applyFont="1" applyFill="1" applyBorder="1" applyAlignment="1">
      <alignment vertical="center" wrapText="1"/>
    </xf>
    <xf numFmtId="0" fontId="3" fillId="0" borderId="0" xfId="2" applyFont="1"/>
    <xf numFmtId="0" fontId="3" fillId="0" borderId="0" xfId="2" applyFont="1" applyFill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65" fontId="9" fillId="0" borderId="47" xfId="2" applyNumberFormat="1" applyFont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165" fontId="9" fillId="0" borderId="47" xfId="2" applyNumberFormat="1" applyFont="1" applyFill="1" applyBorder="1" applyAlignment="1">
      <alignment horizontal="center" vertical="center" wrapText="1"/>
    </xf>
    <xf numFmtId="165" fontId="9" fillId="0" borderId="47" xfId="2" applyNumberFormat="1" applyFont="1" applyBorder="1" applyAlignment="1">
      <alignment horizontal="center" vertical="center" wrapText="1"/>
    </xf>
    <xf numFmtId="0" fontId="9" fillId="12" borderId="0" xfId="2" applyFont="1" applyFill="1" applyBorder="1" applyAlignment="1">
      <alignment horizontal="center" vertical="center" wrapText="1"/>
    </xf>
    <xf numFmtId="0" fontId="9" fillId="0" borderId="48" xfId="2" applyFont="1" applyFill="1" applyBorder="1" applyAlignment="1">
      <alignment horizontal="center" vertical="center"/>
    </xf>
    <xf numFmtId="0" fontId="9" fillId="0" borderId="53" xfId="2" applyFont="1" applyFill="1" applyBorder="1" applyAlignment="1">
      <alignment horizontal="center" vertical="center"/>
    </xf>
    <xf numFmtId="0" fontId="9" fillId="0" borderId="48" xfId="2" applyFont="1" applyFill="1" applyBorder="1" applyAlignment="1">
      <alignment horizontal="center" vertical="center" wrapText="1"/>
    </xf>
    <xf numFmtId="0" fontId="9" fillId="12" borderId="46" xfId="2" applyFont="1" applyFill="1" applyBorder="1" applyAlignment="1">
      <alignment vertical="center"/>
    </xf>
    <xf numFmtId="0" fontId="9" fillId="12" borderId="51" xfId="2" applyFont="1" applyFill="1" applyBorder="1" applyAlignment="1">
      <alignment horizontal="center" vertical="center"/>
    </xf>
    <xf numFmtId="165" fontId="9" fillId="0" borderId="36" xfId="2" applyNumberFormat="1" applyFont="1" applyFill="1" applyBorder="1" applyAlignment="1">
      <alignment vertical="center"/>
    </xf>
    <xf numFmtId="165" fontId="9" fillId="12" borderId="47" xfId="2" applyNumberFormat="1" applyFont="1" applyFill="1" applyBorder="1" applyAlignment="1">
      <alignment vertical="center"/>
    </xf>
    <xf numFmtId="165" fontId="9" fillId="0" borderId="47" xfId="2" applyNumberFormat="1" applyFont="1" applyFill="1" applyBorder="1" applyAlignment="1">
      <alignment vertical="center"/>
    </xf>
    <xf numFmtId="165" fontId="9" fillId="0" borderId="47" xfId="2" applyNumberFormat="1" applyFont="1" applyBorder="1"/>
    <xf numFmtId="165" fontId="9" fillId="12" borderId="0" xfId="2" applyNumberFormat="1" applyFont="1" applyFill="1" applyBorder="1" applyAlignment="1">
      <alignment vertical="center"/>
    </xf>
    <xf numFmtId="49" fontId="9" fillId="0" borderId="0" xfId="2" applyNumberFormat="1" applyFont="1" applyFill="1" applyAlignment="1">
      <alignment horizontal="right" vertical="center"/>
    </xf>
    <xf numFmtId="0" fontId="9" fillId="0" borderId="0" xfId="2" applyFont="1" applyFill="1" applyAlignment="1">
      <alignment vertical="center"/>
    </xf>
    <xf numFmtId="165" fontId="9" fillId="0" borderId="0" xfId="2" applyNumberFormat="1" applyFont="1" applyFill="1" applyAlignment="1">
      <alignment vertical="center"/>
    </xf>
    <xf numFmtId="0" fontId="9" fillId="0" borderId="54" xfId="2" applyFont="1" applyFill="1" applyBorder="1" applyAlignment="1">
      <alignment vertical="center"/>
    </xf>
    <xf numFmtId="0" fontId="3" fillId="0" borderId="55" xfId="2" applyFont="1" applyFill="1" applyBorder="1" applyAlignment="1">
      <alignment vertical="center"/>
    </xf>
    <xf numFmtId="165" fontId="3" fillId="0" borderId="47" xfId="2" applyNumberFormat="1" applyFont="1" applyBorder="1"/>
    <xf numFmtId="165" fontId="3" fillId="12" borderId="47" xfId="2" applyNumberFormat="1" applyFont="1" applyFill="1" applyBorder="1" applyAlignment="1">
      <alignment vertical="center"/>
    </xf>
    <xf numFmtId="166" fontId="9" fillId="0" borderId="0" xfId="2" applyNumberFormat="1" applyFont="1" applyFill="1" applyAlignment="1">
      <alignment horizontal="right" vertical="center"/>
    </xf>
    <xf numFmtId="4" fontId="3" fillId="13" borderId="56" xfId="2" applyNumberFormat="1" applyFont="1" applyFill="1" applyBorder="1" applyAlignment="1">
      <alignment horizontal="center" vertical="center"/>
    </xf>
    <xf numFmtId="4" fontId="9" fillId="0" borderId="0" xfId="2" applyNumberFormat="1" applyFont="1" applyFill="1" applyAlignment="1">
      <alignment vertical="center"/>
    </xf>
    <xf numFmtId="49" fontId="24" fillId="12" borderId="47" xfId="2" applyNumberFormat="1" applyFont="1" applyFill="1" applyBorder="1" applyAlignment="1">
      <alignment horizontal="right" vertical="center"/>
    </xf>
    <xf numFmtId="0" fontId="24" fillId="12" borderId="57" xfId="2" applyFont="1" applyFill="1" applyBorder="1" applyAlignment="1">
      <alignment vertical="center"/>
    </xf>
    <xf numFmtId="0" fontId="24" fillId="12" borderId="55" xfId="2" applyFont="1" applyFill="1" applyBorder="1" applyAlignment="1">
      <alignment horizontal="center" vertical="center"/>
    </xf>
    <xf numFmtId="165" fontId="24" fillId="0" borderId="36" xfId="2" applyNumberFormat="1" applyFont="1" applyFill="1" applyBorder="1" applyAlignment="1">
      <alignment vertical="center"/>
    </xf>
    <xf numFmtId="165" fontId="24" fillId="0" borderId="47" xfId="2" applyNumberFormat="1" applyFont="1" applyBorder="1"/>
    <xf numFmtId="165" fontId="24" fillId="12" borderId="47" xfId="2" applyNumberFormat="1" applyFont="1" applyFill="1" applyBorder="1" applyAlignment="1">
      <alignment vertical="center"/>
    </xf>
    <xf numFmtId="165" fontId="24" fillId="0" borderId="47" xfId="2" applyNumberFormat="1" applyFont="1" applyFill="1" applyBorder="1" applyAlignment="1">
      <alignment vertical="center"/>
    </xf>
    <xf numFmtId="0" fontId="24" fillId="0" borderId="0" xfId="2" applyFont="1"/>
    <xf numFmtId="166" fontId="24" fillId="0" borderId="0" xfId="2" applyNumberFormat="1" applyFont="1" applyFill="1" applyAlignment="1">
      <alignment horizontal="right" vertical="center"/>
    </xf>
    <xf numFmtId="4" fontId="3" fillId="0" borderId="0" xfId="2" applyNumberFormat="1" applyFont="1" applyAlignment="1">
      <alignment horizontal="center" vertical="center"/>
    </xf>
    <xf numFmtId="0" fontId="24" fillId="0" borderId="0" xfId="2" applyFont="1" applyFill="1" applyAlignment="1">
      <alignment vertical="center"/>
    </xf>
    <xf numFmtId="49" fontId="24" fillId="0" borderId="47" xfId="2" applyNumberFormat="1" applyFont="1" applyFill="1" applyBorder="1" applyAlignment="1">
      <alignment horizontal="right" vertical="center"/>
    </xf>
    <xf numFmtId="0" fontId="24" fillId="0" borderId="57" xfId="2" applyFont="1" applyFill="1" applyBorder="1" applyAlignment="1">
      <alignment vertical="center"/>
    </xf>
    <xf numFmtId="0" fontId="24" fillId="0" borderId="55" xfId="2" applyFont="1" applyFill="1" applyBorder="1" applyAlignment="1">
      <alignment horizontal="center" vertical="center"/>
    </xf>
    <xf numFmtId="165" fontId="9" fillId="0" borderId="0" xfId="2" applyNumberFormat="1" applyFont="1" applyFill="1" applyBorder="1" applyAlignment="1">
      <alignment vertical="center"/>
    </xf>
    <xf numFmtId="49" fontId="24" fillId="0" borderId="0" xfId="2" applyNumberFormat="1" applyFont="1" applyFill="1" applyAlignment="1">
      <alignment horizontal="right" vertical="center"/>
    </xf>
    <xf numFmtId="167" fontId="25" fillId="0" borderId="56" xfId="2" applyNumberFormat="1" applyFont="1" applyFill="1" applyBorder="1" applyAlignment="1">
      <alignment vertical="center"/>
    </xf>
    <xf numFmtId="167" fontId="25" fillId="0" borderId="0" xfId="2" applyNumberFormat="1" applyFont="1"/>
    <xf numFmtId="167" fontId="25" fillId="0" borderId="0" xfId="2" applyNumberFormat="1" applyFont="1" applyFill="1" applyBorder="1" applyAlignment="1">
      <alignment vertical="center"/>
    </xf>
    <xf numFmtId="4" fontId="24" fillId="0" borderId="0" xfId="2" applyNumberFormat="1" applyFont="1" applyFill="1" applyAlignment="1">
      <alignment vertical="center"/>
    </xf>
    <xf numFmtId="0" fontId="24" fillId="0" borderId="0" xfId="2" applyFont="1" applyFill="1" applyAlignment="1">
      <alignment horizontal="right" vertical="center"/>
    </xf>
    <xf numFmtId="0" fontId="3" fillId="0" borderId="58" xfId="2" applyFont="1" applyFill="1" applyBorder="1" applyAlignment="1">
      <alignment horizontal="left" vertical="center"/>
    </xf>
    <xf numFmtId="0" fontId="3" fillId="0" borderId="59" xfId="2" applyFont="1" applyBorder="1"/>
    <xf numFmtId="0" fontId="3" fillId="0" borderId="55" xfId="2" applyFont="1" applyFill="1" applyBorder="1" applyAlignment="1">
      <alignment horizontal="center" vertical="center"/>
    </xf>
    <xf numFmtId="165" fontId="3" fillId="0" borderId="47" xfId="2" applyNumberFormat="1" applyFont="1" applyFill="1" applyBorder="1" applyAlignment="1">
      <alignment vertical="center"/>
    </xf>
    <xf numFmtId="0" fontId="3" fillId="0" borderId="0" xfId="2" applyFont="1" applyFill="1"/>
    <xf numFmtId="4" fontId="3" fillId="0" borderId="0" xfId="2" applyNumberFormat="1" applyFont="1" applyFill="1" applyAlignment="1">
      <alignment vertical="center"/>
    </xf>
    <xf numFmtId="0" fontId="3" fillId="0" borderId="60" xfId="2" applyFont="1" applyFill="1" applyBorder="1" applyAlignment="1">
      <alignment vertical="center"/>
    </xf>
    <xf numFmtId="0" fontId="3" fillId="0" borderId="61" xfId="2" applyFont="1" applyBorder="1"/>
    <xf numFmtId="0" fontId="9" fillId="0" borderId="0" xfId="2" applyFont="1" applyFill="1" applyBorder="1" applyAlignment="1">
      <alignment vertical="center" wrapText="1"/>
    </xf>
    <xf numFmtId="4" fontId="3" fillId="0" borderId="0" xfId="2" applyNumberFormat="1" applyFont="1" applyFill="1"/>
    <xf numFmtId="0" fontId="3" fillId="0" borderId="62" xfId="2" applyFont="1" applyFill="1" applyBorder="1" applyAlignment="1">
      <alignment vertical="center"/>
    </xf>
    <xf numFmtId="0" fontId="3" fillId="0" borderId="62" xfId="2" applyFont="1" applyBorder="1"/>
    <xf numFmtId="0" fontId="3" fillId="0" borderId="63" xfId="2" applyFont="1" applyBorder="1"/>
    <xf numFmtId="0" fontId="3" fillId="0" borderId="64" xfId="2" applyFont="1" applyBorder="1"/>
    <xf numFmtId="165" fontId="24" fillId="0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vertical="center"/>
    </xf>
    <xf numFmtId="0" fontId="3" fillId="0" borderId="60" xfId="2" applyFont="1" applyFill="1" applyBorder="1" applyAlignment="1">
      <alignment horizontal="left" vertical="center"/>
    </xf>
    <xf numFmtId="165" fontId="3" fillId="0" borderId="47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/>
    <xf numFmtId="3" fontId="24" fillId="0" borderId="0" xfId="2" applyNumberFormat="1" applyFont="1" applyFill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0" fontId="24" fillId="0" borderId="55" xfId="2" applyFont="1" applyBorder="1"/>
    <xf numFmtId="0" fontId="3" fillId="0" borderId="52" xfId="2" applyFont="1" applyBorder="1"/>
    <xf numFmtId="49" fontId="9" fillId="0" borderId="47" xfId="2" applyNumberFormat="1" applyFont="1" applyFill="1" applyBorder="1" applyAlignment="1">
      <alignment horizontal="center" vertical="center"/>
    </xf>
    <xf numFmtId="0" fontId="9" fillId="0" borderId="52" xfId="2" applyFont="1" applyFill="1" applyBorder="1" applyAlignment="1">
      <alignment vertical="center"/>
    </xf>
    <xf numFmtId="0" fontId="3" fillId="0" borderId="55" xfId="2" applyFont="1" applyFill="1" applyBorder="1"/>
    <xf numFmtId="0" fontId="9" fillId="0" borderId="55" xfId="2" applyFont="1" applyFill="1" applyBorder="1" applyAlignment="1">
      <alignment horizontal="center" vertical="center"/>
    </xf>
    <xf numFmtId="0" fontId="9" fillId="0" borderId="47" xfId="2" applyFont="1" applyBorder="1" applyAlignment="1">
      <alignment horizontal="center" vertical="top"/>
    </xf>
    <xf numFmtId="0" fontId="9" fillId="0" borderId="47" xfId="2" applyFont="1" applyBorder="1" applyAlignment="1">
      <alignment horizontal="center" vertical="center"/>
    </xf>
    <xf numFmtId="0" fontId="9" fillId="0" borderId="47" xfId="2" applyFont="1" applyBorder="1"/>
    <xf numFmtId="0" fontId="3" fillId="0" borderId="47" xfId="2" applyFont="1" applyBorder="1"/>
    <xf numFmtId="0" fontId="9" fillId="0" borderId="57" xfId="2" applyFont="1" applyFill="1" applyBorder="1" applyAlignment="1">
      <alignment horizontal="left" vertical="center"/>
    </xf>
    <xf numFmtId="0" fontId="24" fillId="0" borderId="46" xfId="2" applyFont="1" applyFill="1" applyBorder="1" applyAlignment="1">
      <alignment vertical="center"/>
    </xf>
    <xf numFmtId="0" fontId="24" fillId="0" borderId="46" xfId="2" applyFont="1" applyFill="1" applyBorder="1" applyAlignment="1">
      <alignment horizontal="right" vertical="center"/>
    </xf>
    <xf numFmtId="0" fontId="24" fillId="0" borderId="51" xfId="2" applyFont="1" applyFill="1" applyBorder="1" applyAlignment="1">
      <alignment horizontal="center" vertical="center"/>
    </xf>
    <xf numFmtId="0" fontId="25" fillId="0" borderId="0" xfId="2" applyFont="1" applyFill="1" applyAlignment="1">
      <alignment vertical="center"/>
    </xf>
    <xf numFmtId="165" fontId="24" fillId="0" borderId="0" xfId="2" applyNumberFormat="1" applyFont="1" applyFill="1" applyAlignment="1">
      <alignment vertical="center"/>
    </xf>
    <xf numFmtId="0" fontId="9" fillId="0" borderId="59" xfId="2" applyFont="1" applyFill="1" applyBorder="1" applyAlignment="1">
      <alignment vertical="center"/>
    </xf>
    <xf numFmtId="0" fontId="3" fillId="0" borderId="65" xfId="2" applyFont="1" applyFill="1" applyBorder="1" applyAlignment="1">
      <alignment horizontal="center" vertical="center"/>
    </xf>
    <xf numFmtId="0" fontId="3" fillId="0" borderId="61" xfId="2" applyFont="1" applyFill="1" applyBorder="1" applyAlignment="1">
      <alignment horizontal="right" vertical="center"/>
    </xf>
    <xf numFmtId="0" fontId="3" fillId="0" borderId="66" xfId="2" applyFont="1" applyFill="1" applyBorder="1" applyAlignment="1">
      <alignment horizontal="center" vertical="center"/>
    </xf>
    <xf numFmtId="0" fontId="9" fillId="0" borderId="61" xfId="2" applyFont="1" applyFill="1" applyBorder="1" applyAlignment="1">
      <alignment vertical="center"/>
    </xf>
    <xf numFmtId="0" fontId="3" fillId="0" borderId="61" xfId="2" applyFont="1" applyBorder="1" applyAlignment="1">
      <alignment horizontal="right"/>
    </xf>
    <xf numFmtId="0" fontId="9" fillId="0" borderId="61" xfId="2" applyFont="1" applyBorder="1"/>
    <xf numFmtId="0" fontId="3" fillId="0" borderId="67" xfId="2" applyFont="1" applyBorder="1" applyAlignment="1">
      <alignment horizontal="center" vertical="center"/>
    </xf>
    <xf numFmtId="166" fontId="9" fillId="0" borderId="0" xfId="2" applyNumberFormat="1" applyFont="1" applyFill="1" applyAlignment="1">
      <alignment horizontal="right"/>
    </xf>
    <xf numFmtId="0" fontId="3" fillId="0" borderId="47" xfId="2" applyFont="1" applyFill="1" applyBorder="1" applyAlignment="1">
      <alignment horizontal="center" vertical="center"/>
    </xf>
    <xf numFmtId="0" fontId="9" fillId="0" borderId="64" xfId="2" applyFont="1" applyBorder="1"/>
    <xf numFmtId="0" fontId="3" fillId="0" borderId="68" xfId="2" applyFont="1" applyBorder="1" applyAlignment="1">
      <alignment horizontal="center" vertical="center"/>
    </xf>
    <xf numFmtId="167" fontId="24" fillId="0" borderId="0" xfId="2" applyNumberFormat="1" applyFont="1" applyFill="1" applyAlignment="1">
      <alignment horizontal="right" vertical="center"/>
    </xf>
    <xf numFmtId="4" fontId="9" fillId="0" borderId="56" xfId="2" applyNumberFormat="1" applyFont="1" applyFill="1" applyBorder="1" applyAlignment="1">
      <alignment horizontal="right" vertical="center"/>
    </xf>
    <xf numFmtId="4" fontId="9" fillId="0" borderId="69" xfId="2" applyNumberFormat="1" applyFont="1" applyFill="1" applyBorder="1" applyAlignment="1">
      <alignment horizontal="right" vertical="center"/>
    </xf>
    <xf numFmtId="4" fontId="9" fillId="0" borderId="0" xfId="2" applyNumberFormat="1" applyFont="1" applyFill="1" applyAlignment="1">
      <alignment horizontal="right" vertical="center"/>
    </xf>
    <xf numFmtId="0" fontId="9" fillId="0" borderId="47" xfId="2" applyFont="1" applyFill="1" applyBorder="1" applyAlignment="1">
      <alignment horizontal="center" vertical="center"/>
    </xf>
    <xf numFmtId="0" fontId="9" fillId="0" borderId="57" xfId="2" applyFont="1" applyFill="1" applyBorder="1" applyAlignment="1">
      <alignment horizontal="right" vertical="center"/>
    </xf>
    <xf numFmtId="0" fontId="9" fillId="0" borderId="57" xfId="2" applyFont="1" applyFill="1" applyBorder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25" fillId="0" borderId="0" xfId="2" applyFont="1" applyFill="1" applyAlignment="1">
      <alignment horizontal="right" vertical="center"/>
    </xf>
    <xf numFmtId="4" fontId="3" fillId="0" borderId="56" xfId="2" applyNumberFormat="1" applyFont="1" applyFill="1" applyBorder="1" applyAlignment="1">
      <alignment horizontal="right" vertical="center"/>
    </xf>
    <xf numFmtId="167" fontId="3" fillId="0" borderId="56" xfId="2" applyNumberFormat="1" applyFont="1" applyFill="1" applyBorder="1" applyAlignment="1">
      <alignment horizontal="right" vertical="center"/>
    </xf>
    <xf numFmtId="4" fontId="25" fillId="0" borderId="0" xfId="2" applyNumberFormat="1" applyFont="1" applyFill="1" applyAlignment="1">
      <alignment horizontal="right" vertical="center"/>
    </xf>
    <xf numFmtId="0" fontId="24" fillId="0" borderId="50" xfId="2" applyFont="1" applyFill="1" applyBorder="1" applyAlignment="1">
      <alignment vertical="center"/>
    </xf>
    <xf numFmtId="0" fontId="24" fillId="0" borderId="50" xfId="2" applyFont="1" applyFill="1" applyBorder="1" applyAlignment="1">
      <alignment horizontal="right" vertical="center"/>
    </xf>
    <xf numFmtId="4" fontId="3" fillId="0" borderId="70" xfId="2" applyNumberFormat="1" applyFont="1" applyFill="1" applyBorder="1" applyAlignment="1">
      <alignment horizontal="right" vertical="center"/>
    </xf>
    <xf numFmtId="167" fontId="24" fillId="0" borderId="50" xfId="2" applyNumberFormat="1" applyFont="1" applyFill="1" applyBorder="1" applyAlignment="1">
      <alignment horizontal="right" vertical="center"/>
    </xf>
    <xf numFmtId="4" fontId="9" fillId="0" borderId="69" xfId="2" applyNumberFormat="1" applyFont="1" applyFill="1" applyBorder="1" applyAlignment="1">
      <alignment horizontal="right"/>
    </xf>
    <xf numFmtId="4" fontId="9" fillId="0" borderId="71" xfId="2" applyNumberFormat="1" applyFont="1" applyFill="1" applyBorder="1" applyAlignment="1">
      <alignment horizontal="right"/>
    </xf>
    <xf numFmtId="0" fontId="9" fillId="0" borderId="58" xfId="2" applyFont="1" applyFill="1" applyBorder="1" applyAlignment="1">
      <alignment horizontal="left" vertical="center"/>
    </xf>
    <xf numFmtId="0" fontId="9" fillId="0" borderId="65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right"/>
    </xf>
    <xf numFmtId="4" fontId="3" fillId="0" borderId="0" xfId="2" applyNumberFormat="1" applyFont="1" applyFill="1" applyAlignment="1">
      <alignment horizontal="right" vertical="center"/>
    </xf>
    <xf numFmtId="0" fontId="25" fillId="0" borderId="0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right" vertical="center"/>
    </xf>
    <xf numFmtId="4" fontId="9" fillId="0" borderId="50" xfId="2" applyNumberFormat="1" applyFont="1" applyFill="1" applyBorder="1" applyAlignment="1">
      <alignment horizontal="right" vertical="center"/>
    </xf>
    <xf numFmtId="0" fontId="9" fillId="0" borderId="60" xfId="2" applyFont="1" applyFill="1" applyBorder="1" applyAlignment="1">
      <alignment vertical="center"/>
    </xf>
    <xf numFmtId="0" fontId="9" fillId="0" borderId="66" xfId="2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right" vertical="center"/>
    </xf>
    <xf numFmtId="165" fontId="3" fillId="0" borderId="60" xfId="2" applyNumberFormat="1" applyFont="1" applyFill="1" applyBorder="1" applyAlignment="1">
      <alignment vertical="center"/>
    </xf>
    <xf numFmtId="166" fontId="9" fillId="0" borderId="0" xfId="2" applyNumberFormat="1" applyFont="1" applyFill="1" applyBorder="1" applyAlignment="1">
      <alignment horizontal="right"/>
    </xf>
    <xf numFmtId="167" fontId="9" fillId="0" borderId="0" xfId="2" applyNumberFormat="1" applyFont="1" applyFill="1" applyBorder="1" applyAlignment="1">
      <alignment horizontal="center"/>
    </xf>
    <xf numFmtId="2" fontId="9" fillId="0" borderId="0" xfId="2" applyNumberFormat="1" applyFont="1" applyFill="1" applyBorder="1" applyAlignment="1">
      <alignment horizontal="center" vertical="center"/>
    </xf>
    <xf numFmtId="167" fontId="9" fillId="0" borderId="0" xfId="2" applyNumberFormat="1" applyFont="1" applyFill="1" applyBorder="1" applyAlignment="1">
      <alignment horizontal="center" vertical="center"/>
    </xf>
    <xf numFmtId="167" fontId="9" fillId="0" borderId="0" xfId="2" applyNumberFormat="1" applyFont="1" applyFill="1" applyBorder="1" applyAlignment="1">
      <alignment vertical="center"/>
    </xf>
    <xf numFmtId="2" fontId="9" fillId="0" borderId="0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4" fontId="3" fillId="0" borderId="56" xfId="2" applyNumberFormat="1" applyFont="1" applyFill="1" applyBorder="1" applyAlignment="1">
      <alignment horizontal="right"/>
    </xf>
    <xf numFmtId="4" fontId="3" fillId="0" borderId="70" xfId="2" applyNumberFormat="1" applyFont="1" applyFill="1" applyBorder="1" applyAlignment="1">
      <alignment horizontal="right"/>
    </xf>
    <xf numFmtId="3" fontId="3" fillId="0" borderId="0" xfId="2" applyNumberFormat="1" applyFont="1" applyFill="1" applyAlignment="1">
      <alignment horizontal="right" vertical="center"/>
    </xf>
    <xf numFmtId="3" fontId="9" fillId="0" borderId="50" xfId="2" applyNumberFormat="1" applyFont="1" applyFill="1" applyBorder="1" applyAlignment="1">
      <alignment horizontal="right" vertical="center"/>
    </xf>
    <xf numFmtId="0" fontId="21" fillId="0" borderId="0" xfId="2"/>
    <xf numFmtId="0" fontId="9" fillId="0" borderId="0" xfId="2" applyFont="1" applyFill="1"/>
    <xf numFmtId="0" fontId="3" fillId="0" borderId="64" xfId="2" applyFont="1" applyBorder="1" applyAlignment="1">
      <alignment horizontal="right"/>
    </xf>
    <xf numFmtId="2" fontId="23" fillId="0" borderId="58" xfId="2" applyNumberFormat="1" applyFont="1" applyFill="1" applyBorder="1" applyAlignment="1">
      <alignment vertical="center"/>
    </xf>
    <xf numFmtId="0" fontId="3" fillId="0" borderId="59" xfId="2" applyFont="1" applyFill="1" applyBorder="1" applyAlignment="1">
      <alignment horizontal="right" vertical="center"/>
    </xf>
    <xf numFmtId="0" fontId="3" fillId="0" borderId="72" xfId="2" applyFont="1" applyFill="1" applyBorder="1" applyAlignment="1">
      <alignment horizontal="center" vertical="center"/>
    </xf>
    <xf numFmtId="0" fontId="9" fillId="0" borderId="73" xfId="2" applyFont="1" applyFill="1" applyBorder="1" applyAlignment="1">
      <alignment vertical="center"/>
    </xf>
    <xf numFmtId="0" fontId="3" fillId="0" borderId="64" xfId="2" applyFont="1" applyFill="1" applyBorder="1" applyAlignment="1">
      <alignment horizontal="right" vertical="center"/>
    </xf>
    <xf numFmtId="0" fontId="3" fillId="0" borderId="74" xfId="2" applyFont="1" applyFill="1" applyBorder="1" applyAlignment="1">
      <alignment horizontal="center" vertical="center"/>
    </xf>
    <xf numFmtId="0" fontId="3" fillId="0" borderId="71" xfId="2" applyFont="1" applyFill="1" applyBorder="1" applyAlignment="1">
      <alignment horizontal="right" vertical="center"/>
    </xf>
    <xf numFmtId="0" fontId="3" fillId="0" borderId="75" xfId="2" applyFont="1" applyFill="1" applyBorder="1" applyAlignment="1">
      <alignment horizontal="center" vertical="center"/>
    </xf>
    <xf numFmtId="0" fontId="3" fillId="0" borderId="73" xfId="2" applyFont="1" applyFill="1" applyBorder="1" applyAlignment="1">
      <alignment vertical="center"/>
    </xf>
    <xf numFmtId="0" fontId="3" fillId="0" borderId="76" xfId="2" applyFont="1" applyFill="1" applyBorder="1" applyAlignment="1">
      <alignment horizontal="right" vertical="center"/>
    </xf>
    <xf numFmtId="0" fontId="3" fillId="0" borderId="68" xfId="2" applyFont="1" applyFill="1" applyBorder="1" applyAlignment="1">
      <alignment horizontal="center" vertical="center"/>
    </xf>
    <xf numFmtId="0" fontId="3" fillId="0" borderId="71" xfId="2" applyFont="1" applyFill="1" applyBorder="1" applyAlignment="1">
      <alignment vertical="center"/>
    </xf>
    <xf numFmtId="0" fontId="3" fillId="0" borderId="77" xfId="2" applyFont="1" applyFill="1" applyBorder="1" applyAlignment="1">
      <alignment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76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9" fillId="0" borderId="55" xfId="2" applyFont="1" applyFill="1" applyBorder="1" applyAlignment="1">
      <alignment vertical="center"/>
    </xf>
    <xf numFmtId="2" fontId="9" fillId="0" borderId="0" xfId="2" applyNumberFormat="1" applyFont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 vertical="center"/>
    </xf>
    <xf numFmtId="3" fontId="9" fillId="0" borderId="0" xfId="2" applyNumberFormat="1" applyFont="1" applyFill="1" applyAlignment="1">
      <alignment horizontal="right" vertical="center"/>
    </xf>
    <xf numFmtId="0" fontId="9" fillId="12" borderId="50" xfId="2" applyFont="1" applyFill="1" applyBorder="1" applyAlignment="1">
      <alignment vertical="center"/>
    </xf>
    <xf numFmtId="0" fontId="3" fillId="12" borderId="50" xfId="2" applyFont="1" applyFill="1" applyBorder="1" applyAlignment="1">
      <alignment vertical="center"/>
    </xf>
    <xf numFmtId="0" fontId="9" fillId="12" borderId="55" xfId="2" applyFont="1" applyFill="1" applyBorder="1" applyAlignment="1">
      <alignment horizontal="center" vertical="center"/>
    </xf>
    <xf numFmtId="165" fontId="9" fillId="12" borderId="47" xfId="2" applyNumberFormat="1" applyFont="1" applyFill="1" applyBorder="1"/>
    <xf numFmtId="165" fontId="9" fillId="12" borderId="0" xfId="2" applyNumberFormat="1" applyFont="1" applyFill="1" applyAlignment="1">
      <alignment vertical="center"/>
    </xf>
    <xf numFmtId="0" fontId="9" fillId="12" borderId="57" xfId="2" applyFont="1" applyFill="1" applyBorder="1" applyAlignment="1">
      <alignment horizontal="center" vertical="center"/>
    </xf>
    <xf numFmtId="0" fontId="9" fillId="0" borderId="57" xfId="2" applyFont="1" applyFill="1" applyBorder="1" applyAlignment="1">
      <alignment horizontal="center" vertical="center"/>
    </xf>
    <xf numFmtId="3" fontId="3" fillId="13" borderId="47" xfId="2" applyNumberFormat="1" applyFont="1" applyFill="1" applyBorder="1" applyAlignment="1">
      <alignment horizontal="right"/>
    </xf>
    <xf numFmtId="3" fontId="3" fillId="13" borderId="47" xfId="2" applyNumberFormat="1" applyFont="1" applyFill="1" applyBorder="1" applyAlignment="1">
      <alignment horizontal="right" vertical="center"/>
    </xf>
    <xf numFmtId="3" fontId="3" fillId="0" borderId="47" xfId="2" applyNumberFormat="1" applyFont="1" applyBorder="1" applyAlignment="1">
      <alignment horizontal="right"/>
    </xf>
    <xf numFmtId="3" fontId="3" fillId="0" borderId="47" xfId="2" applyNumberFormat="1" applyFont="1" applyFill="1" applyBorder="1" applyAlignment="1">
      <alignment horizontal="right"/>
    </xf>
    <xf numFmtId="3" fontId="3" fillId="0" borderId="47" xfId="2" applyNumberFormat="1" applyFont="1" applyFill="1" applyBorder="1" applyAlignment="1">
      <alignment horizontal="right" vertical="center"/>
    </xf>
    <xf numFmtId="0" fontId="9" fillId="12" borderId="47" xfId="2" applyFont="1" applyFill="1" applyBorder="1" applyAlignment="1">
      <alignment vertical="center"/>
    </xf>
    <xf numFmtId="0" fontId="9" fillId="12" borderId="50" xfId="2" applyFont="1" applyFill="1" applyBorder="1" applyAlignment="1">
      <alignment horizontal="center" vertical="center"/>
    </xf>
    <xf numFmtId="165" fontId="9" fillId="0" borderId="26" xfId="2" applyNumberFormat="1" applyFont="1" applyFill="1" applyBorder="1" applyAlignment="1">
      <alignment vertical="center"/>
    </xf>
    <xf numFmtId="3" fontId="3" fillId="0" borderId="50" xfId="2" applyNumberFormat="1" applyFont="1" applyFill="1" applyBorder="1" applyAlignment="1">
      <alignment horizontal="right" vertical="center"/>
    </xf>
    <xf numFmtId="0" fontId="9" fillId="12" borderId="47" xfId="2" applyFont="1" applyFill="1" applyBorder="1" applyAlignment="1">
      <alignment horizontal="center" vertical="center"/>
    </xf>
    <xf numFmtId="0" fontId="3" fillId="12" borderId="0" xfId="2" applyFont="1" applyFill="1" applyAlignment="1">
      <alignment vertical="center"/>
    </xf>
    <xf numFmtId="165" fontId="3" fillId="0" borderId="0" xfId="2" applyNumberFormat="1" applyFont="1" applyFill="1" applyAlignment="1">
      <alignment horizontal="right" vertical="center"/>
    </xf>
    <xf numFmtId="165" fontId="9" fillId="12" borderId="0" xfId="2" applyNumberFormat="1" applyFont="1" applyFill="1" applyBorder="1" applyAlignment="1">
      <alignment horizontal="center" vertical="center"/>
    </xf>
    <xf numFmtId="165" fontId="3" fillId="12" borderId="0" xfId="2" applyNumberFormat="1" applyFont="1" applyFill="1" applyAlignment="1">
      <alignment horizontal="right" vertical="center"/>
    </xf>
    <xf numFmtId="165" fontId="25" fillId="0" borderId="0" xfId="2" applyNumberFormat="1" applyFont="1" applyFill="1" applyAlignment="1">
      <alignment horizontal="right" vertical="center"/>
    </xf>
    <xf numFmtId="165" fontId="3" fillId="0" borderId="0" xfId="2" applyNumberFormat="1" applyFont="1" applyFill="1" applyBorder="1" applyAlignment="1">
      <alignment horizontal="right" vertical="center"/>
    </xf>
    <xf numFmtId="165" fontId="9" fillId="12" borderId="0" xfId="2" applyNumberFormat="1" applyFont="1" applyFill="1" applyBorder="1" applyAlignment="1">
      <alignment horizontal="right" vertical="center"/>
    </xf>
    <xf numFmtId="165" fontId="25" fillId="0" borderId="0" xfId="2" applyNumberFormat="1" applyFont="1" applyFill="1" applyBorder="1" applyAlignment="1">
      <alignment horizontal="right" vertical="center"/>
    </xf>
    <xf numFmtId="165" fontId="9" fillId="0" borderId="0" xfId="2" applyNumberFormat="1" applyFont="1" applyFill="1" applyBorder="1" applyAlignment="1">
      <alignment horizontal="right" vertical="center"/>
    </xf>
    <xf numFmtId="167" fontId="25" fillId="0" borderId="0" xfId="2" applyNumberFormat="1" applyFont="1" applyFill="1" applyBorder="1" applyAlignment="1">
      <alignment horizontal="right" vertical="center"/>
    </xf>
    <xf numFmtId="0" fontId="26" fillId="0" borderId="0" xfId="2" applyFont="1"/>
    <xf numFmtId="168" fontId="3" fillId="0" borderId="0" xfId="2" applyNumberFormat="1" applyFont="1" applyFill="1" applyBorder="1" applyAlignment="1">
      <alignment horizontal="center" vertical="center"/>
    </xf>
    <xf numFmtId="167" fontId="3" fillId="12" borderId="0" xfId="2" applyNumberFormat="1" applyFont="1" applyFill="1" applyAlignment="1">
      <alignment vertical="center"/>
    </xf>
    <xf numFmtId="3" fontId="9" fillId="0" borderId="0" xfId="2" applyNumberFormat="1" applyFont="1" applyFill="1" applyBorder="1" applyAlignment="1">
      <alignment horizontal="right" vertical="center"/>
    </xf>
    <xf numFmtId="0" fontId="3" fillId="0" borderId="0" xfId="2" applyFont="1" applyBorder="1"/>
    <xf numFmtId="4" fontId="3" fillId="12" borderId="0" xfId="2" applyNumberFormat="1" applyFont="1" applyFill="1" applyAlignment="1">
      <alignment vertical="center"/>
    </xf>
    <xf numFmtId="4" fontId="3" fillId="0" borderId="0" xfId="2" applyNumberFormat="1" applyFont="1"/>
    <xf numFmtId="165" fontId="9" fillId="0" borderId="0" xfId="2" applyNumberFormat="1" applyFont="1"/>
    <xf numFmtId="165" fontId="3" fillId="0" borderId="0" xfId="2" applyNumberFormat="1" applyFont="1" applyFill="1" applyBorder="1" applyAlignment="1">
      <alignment vertical="center"/>
    </xf>
    <xf numFmtId="165" fontId="3" fillId="12" borderId="0" xfId="2" applyNumberFormat="1" applyFont="1" applyFill="1"/>
    <xf numFmtId="165" fontId="3" fillId="12" borderId="0" xfId="2" applyNumberFormat="1" applyFont="1" applyFill="1" applyBorder="1" applyAlignment="1">
      <alignment horizontal="right" vertical="center"/>
    </xf>
    <xf numFmtId="165" fontId="9" fillId="12" borderId="47" xfId="2" applyNumberFormat="1" applyFont="1" applyFill="1" applyBorder="1" applyAlignment="1">
      <alignment horizontal="center" vertical="center"/>
    </xf>
    <xf numFmtId="165" fontId="3" fillId="13" borderId="47" xfId="2" applyNumberFormat="1" applyFont="1" applyFill="1" applyBorder="1" applyAlignment="1">
      <alignment horizontal="center" vertical="center" wrapText="1"/>
    </xf>
    <xf numFmtId="165" fontId="3" fillId="13" borderId="47" xfId="2" applyNumberFormat="1" applyFont="1" applyFill="1" applyBorder="1" applyAlignment="1">
      <alignment horizontal="center" vertical="center"/>
    </xf>
    <xf numFmtId="165" fontId="3" fillId="12" borderId="0" xfId="2" applyNumberFormat="1" applyFont="1" applyFill="1" applyAlignment="1">
      <alignment horizontal="right" vertical="center" wrapText="1"/>
    </xf>
    <xf numFmtId="165" fontId="3" fillId="0" borderId="47" xfId="2" applyNumberFormat="1" applyFont="1" applyFill="1" applyBorder="1" applyAlignment="1">
      <alignment horizontal="center" vertical="center"/>
    </xf>
    <xf numFmtId="3" fontId="3" fillId="0" borderId="47" xfId="2" applyNumberFormat="1" applyFont="1" applyFill="1" applyBorder="1" applyAlignment="1">
      <alignment vertical="center"/>
    </xf>
    <xf numFmtId="3" fontId="3" fillId="0" borderId="47" xfId="2" applyNumberFormat="1" applyFont="1" applyFill="1" applyBorder="1"/>
    <xf numFmtId="3" fontId="3" fillId="12" borderId="47" xfId="2" applyNumberFormat="1" applyFont="1" applyFill="1" applyBorder="1" applyAlignment="1">
      <alignment horizontal="right" vertical="center"/>
    </xf>
    <xf numFmtId="3" fontId="9" fillId="12" borderId="47" xfId="2" applyNumberFormat="1" applyFont="1" applyFill="1" applyBorder="1" applyAlignment="1">
      <alignment horizontal="center" vertical="center"/>
    </xf>
    <xf numFmtId="3" fontId="3" fillId="12" borderId="0" xfId="2" applyNumberFormat="1" applyFont="1" applyFill="1" applyAlignment="1">
      <alignment vertical="center"/>
    </xf>
    <xf numFmtId="165" fontId="3" fillId="12" borderId="0" xfId="2" applyNumberFormat="1" applyFont="1" applyFill="1" applyBorder="1" applyAlignment="1">
      <alignment vertical="center"/>
    </xf>
    <xf numFmtId="165" fontId="3" fillId="12" borderId="0" xfId="2" applyNumberFormat="1" applyFont="1" applyFill="1" applyBorder="1"/>
    <xf numFmtId="165" fontId="3" fillId="0" borderId="78" xfId="2" applyNumberFormat="1" applyFont="1" applyFill="1" applyBorder="1" applyAlignment="1">
      <alignment vertical="center"/>
    </xf>
    <xf numFmtId="165" fontId="3" fillId="0" borderId="79" xfId="2" applyNumberFormat="1" applyFont="1" applyFill="1" applyBorder="1" applyAlignment="1">
      <alignment vertical="center"/>
    </xf>
    <xf numFmtId="165" fontId="3" fillId="0" borderId="80" xfId="2" applyNumberFormat="1" applyFont="1" applyFill="1" applyBorder="1" applyAlignment="1">
      <alignment vertical="center"/>
    </xf>
    <xf numFmtId="165" fontId="3" fillId="12" borderId="56" xfId="2" applyNumberFormat="1" applyFont="1" applyFill="1" applyBorder="1" applyAlignment="1">
      <alignment vertical="center"/>
    </xf>
    <xf numFmtId="165" fontId="3" fillId="12" borderId="77" xfId="2" applyNumberFormat="1" applyFont="1" applyFill="1" applyBorder="1" applyAlignment="1">
      <alignment vertical="center"/>
    </xf>
    <xf numFmtId="166" fontId="9" fillId="0" borderId="0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3" fontId="25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165" fontId="9" fillId="0" borderId="49" xfId="2" applyNumberFormat="1" applyFont="1" applyBorder="1" applyAlignment="1">
      <alignment horizontal="center" vertical="center" wrapText="1"/>
    </xf>
    <xf numFmtId="165" fontId="9" fillId="12" borderId="81" xfId="2" applyNumberFormat="1" applyFont="1" applyFill="1" applyBorder="1" applyAlignment="1">
      <alignment horizontal="center" vertical="center" wrapText="1"/>
    </xf>
    <xf numFmtId="165" fontId="9" fillId="12" borderId="36" xfId="2" applyNumberFormat="1" applyFont="1" applyFill="1" applyBorder="1" applyAlignment="1">
      <alignment horizontal="center" vertical="center" wrapText="1"/>
    </xf>
    <xf numFmtId="165" fontId="9" fillId="0" borderId="36" xfId="2" applyNumberFormat="1" applyFont="1" applyFill="1" applyBorder="1" applyAlignment="1">
      <alignment horizontal="center" vertical="center" wrapText="1"/>
    </xf>
    <xf numFmtId="165" fontId="9" fillId="0" borderId="36" xfId="2" applyNumberFormat="1" applyFont="1" applyBorder="1" applyAlignment="1">
      <alignment horizontal="center" vertical="center" wrapText="1"/>
    </xf>
    <xf numFmtId="2" fontId="3" fillId="0" borderId="0" xfId="1" applyNumberFormat="1" applyFont="1"/>
    <xf numFmtId="2" fontId="9" fillId="0" borderId="1" xfId="1" applyNumberFormat="1" applyFont="1" applyBorder="1" applyAlignment="1">
      <alignment horizontal="center" vertical="center" wrapText="1"/>
    </xf>
    <xf numFmtId="2" fontId="9" fillId="0" borderId="8" xfId="1" applyNumberFormat="1" applyFont="1" applyBorder="1" applyAlignment="1">
      <alignment horizontal="center" vertical="center" wrapText="1"/>
    </xf>
    <xf numFmtId="2" fontId="3" fillId="3" borderId="24" xfId="1" applyNumberFormat="1" applyFont="1" applyFill="1" applyBorder="1" applyAlignment="1">
      <alignment horizontal="center"/>
    </xf>
    <xf numFmtId="2" fontId="3" fillId="8" borderId="3" xfId="1" applyNumberFormat="1" applyFont="1" applyFill="1" applyBorder="1" applyAlignment="1">
      <alignment horizontal="center" vertical="center"/>
    </xf>
    <xf numFmtId="2" fontId="3" fillId="6" borderId="8" xfId="1" applyNumberFormat="1" applyFont="1" applyFill="1" applyBorder="1" applyAlignment="1">
      <alignment horizontal="center" vertical="center"/>
    </xf>
    <xf numFmtId="2" fontId="9" fillId="0" borderId="5" xfId="1" applyNumberFormat="1" applyFont="1" applyBorder="1" applyAlignment="1">
      <alignment horizontal="center" vertical="center"/>
    </xf>
    <xf numFmtId="2" fontId="9" fillId="6" borderId="8" xfId="1" applyNumberFormat="1" applyFont="1" applyFill="1" applyBorder="1" applyAlignment="1">
      <alignment horizontal="center" vertical="center"/>
    </xf>
    <xf numFmtId="2" fontId="3" fillId="4" borderId="0" xfId="1" applyNumberFormat="1" applyFont="1" applyFill="1"/>
    <xf numFmtId="2" fontId="9" fillId="0" borderId="0" xfId="1" applyNumberFormat="1" applyFont="1"/>
    <xf numFmtId="169" fontId="3" fillId="0" borderId="0" xfId="1" applyNumberFormat="1" applyFont="1"/>
    <xf numFmtId="169" fontId="9" fillId="0" borderId="1" xfId="1" applyNumberFormat="1" applyFont="1" applyBorder="1" applyAlignment="1">
      <alignment horizontal="center" vertical="center" wrapText="1"/>
    </xf>
    <xf numFmtId="169" fontId="9" fillId="0" borderId="8" xfId="1" applyNumberFormat="1" applyFont="1" applyBorder="1" applyAlignment="1">
      <alignment horizontal="center" vertical="center" wrapText="1"/>
    </xf>
    <xf numFmtId="169" fontId="3" fillId="3" borderId="24" xfId="1" applyNumberFormat="1" applyFont="1" applyFill="1" applyBorder="1" applyAlignment="1">
      <alignment horizontal="center"/>
    </xf>
    <xf numFmtId="169" fontId="3" fillId="8" borderId="3" xfId="1" applyNumberFormat="1" applyFont="1" applyFill="1" applyBorder="1" applyAlignment="1">
      <alignment horizontal="center" vertical="center"/>
    </xf>
    <xf numFmtId="169" fontId="3" fillId="0" borderId="5" xfId="1" applyNumberFormat="1" applyFont="1" applyBorder="1" applyAlignment="1">
      <alignment horizontal="center" vertical="center"/>
    </xf>
    <xf numFmtId="169" fontId="3" fillId="6" borderId="8" xfId="1" applyNumberFormat="1" applyFont="1" applyFill="1" applyBorder="1" applyAlignment="1">
      <alignment horizontal="center" vertical="center"/>
    </xf>
    <xf numFmtId="169" fontId="9" fillId="0" borderId="5" xfId="1" applyNumberFormat="1" applyFont="1" applyBorder="1" applyAlignment="1">
      <alignment horizontal="center" vertical="center"/>
    </xf>
    <xf numFmtId="169" fontId="9" fillId="6" borderId="8" xfId="1" applyNumberFormat="1" applyFont="1" applyFill="1" applyBorder="1" applyAlignment="1">
      <alignment horizontal="center" vertical="center"/>
    </xf>
    <xf numFmtId="169" fontId="3" fillId="4" borderId="0" xfId="1" applyNumberFormat="1" applyFont="1" applyFill="1"/>
    <xf numFmtId="169" fontId="9" fillId="0" borderId="0" xfId="1" applyNumberFormat="1" applyFont="1"/>
    <xf numFmtId="2" fontId="3" fillId="0" borderId="8" xfId="1" applyNumberFormat="1" applyFont="1" applyBorder="1" applyAlignment="1">
      <alignment horizontal="center" vertical="center" wrapText="1"/>
    </xf>
    <xf numFmtId="164" fontId="3" fillId="8" borderId="17" xfId="1" applyNumberFormat="1" applyFont="1" applyFill="1" applyBorder="1" applyAlignment="1">
      <alignment horizontal="center" vertical="center"/>
    </xf>
    <xf numFmtId="164" fontId="3" fillId="10" borderId="21" xfId="1" applyNumberFormat="1" applyFont="1" applyFill="1" applyBorder="1" applyAlignment="1">
      <alignment horizontal="center" vertical="center"/>
    </xf>
    <xf numFmtId="164" fontId="3" fillId="10" borderId="13" xfId="1" applyNumberFormat="1" applyFont="1" applyFill="1" applyBorder="1" applyAlignment="1">
      <alignment horizontal="center" vertical="center"/>
    </xf>
    <xf numFmtId="164" fontId="3" fillId="5" borderId="17" xfId="1" applyNumberFormat="1" applyFont="1" applyFill="1" applyBorder="1" applyAlignment="1">
      <alignment horizontal="center" vertical="center"/>
    </xf>
    <xf numFmtId="164" fontId="3" fillId="5" borderId="14" xfId="1" applyNumberFormat="1" applyFont="1" applyFill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64" fontId="3" fillId="10" borderId="19" xfId="1" applyNumberFormat="1" applyFont="1" applyFill="1" applyBorder="1" applyAlignment="1">
      <alignment horizontal="center" vertical="center"/>
    </xf>
    <xf numFmtId="164" fontId="3" fillId="6" borderId="13" xfId="1" applyNumberFormat="1" applyFont="1" applyFill="1" applyBorder="1" applyAlignment="1">
      <alignment horizontal="center" vertical="center"/>
    </xf>
    <xf numFmtId="164" fontId="3" fillId="6" borderId="21" xfId="1" applyNumberFormat="1" applyFont="1" applyFill="1" applyBorder="1" applyAlignment="1">
      <alignment horizontal="center" vertical="center"/>
    </xf>
    <xf numFmtId="0" fontId="3" fillId="8" borderId="0" xfId="1" applyFont="1" applyFill="1" applyAlignment="1">
      <alignment horizontal="center"/>
    </xf>
    <xf numFmtId="0" fontId="9" fillId="8" borderId="23" xfId="1" applyFont="1" applyFill="1" applyBorder="1" applyAlignment="1">
      <alignment horizontal="center"/>
    </xf>
    <xf numFmtId="0" fontId="5" fillId="8" borderId="24" xfId="1" applyFont="1" applyFill="1" applyBorder="1" applyAlignment="1">
      <alignment horizontal="center"/>
    </xf>
    <xf numFmtId="0" fontId="3" fillId="8" borderId="24" xfId="1" applyFont="1" applyFill="1" applyBorder="1" applyAlignment="1">
      <alignment horizontal="center"/>
    </xf>
    <xf numFmtId="169" fontId="3" fillId="8" borderId="24" xfId="1" applyNumberFormat="1" applyFont="1" applyFill="1" applyBorder="1" applyAlignment="1">
      <alignment horizontal="center"/>
    </xf>
    <xf numFmtId="2" fontId="3" fillId="8" borderId="24" xfId="1" applyNumberFormat="1" applyFont="1" applyFill="1" applyBorder="1" applyAlignment="1">
      <alignment horizontal="center"/>
    </xf>
    <xf numFmtId="0" fontId="3" fillId="8" borderId="38" xfId="1" applyFont="1" applyFill="1" applyBorder="1" applyAlignment="1">
      <alignment horizontal="center"/>
    </xf>
    <xf numFmtId="0" fontId="3" fillId="8" borderId="41" xfId="1" applyFont="1" applyFill="1" applyBorder="1" applyAlignment="1">
      <alignment horizontal="center"/>
    </xf>
    <xf numFmtId="0" fontId="3" fillId="8" borderId="34" xfId="1" applyFont="1" applyFill="1" applyBorder="1" applyAlignment="1">
      <alignment horizontal="center"/>
    </xf>
    <xf numFmtId="0" fontId="2" fillId="8" borderId="0" xfId="1" applyFill="1" applyAlignment="1">
      <alignment horizontal="center"/>
    </xf>
    <xf numFmtId="164" fontId="3" fillId="8" borderId="21" xfId="1" applyNumberFormat="1" applyFont="1" applyFill="1" applyBorder="1" applyAlignment="1">
      <alignment horizontal="center" vertical="center"/>
    </xf>
    <xf numFmtId="0" fontId="3" fillId="8" borderId="29" xfId="1" applyFont="1" applyFill="1" applyBorder="1" applyAlignment="1">
      <alignment horizontal="center" vertical="center"/>
    </xf>
    <xf numFmtId="0" fontId="3" fillId="8" borderId="8" xfId="1" applyFont="1" applyFill="1" applyBorder="1" applyAlignment="1">
      <alignment horizontal="center" vertical="center"/>
    </xf>
    <xf numFmtId="1" fontId="3" fillId="8" borderId="8" xfId="1" applyNumberFormat="1" applyFont="1" applyFill="1" applyBorder="1" applyAlignment="1">
      <alignment horizontal="center" vertical="center"/>
    </xf>
    <xf numFmtId="4" fontId="3" fillId="8" borderId="8" xfId="1" applyNumberFormat="1" applyFont="1" applyFill="1" applyBorder="1" applyAlignment="1">
      <alignment horizontal="center" vertical="center"/>
    </xf>
    <xf numFmtId="0" fontId="3" fillId="8" borderId="10" xfId="1" applyFont="1" applyFill="1" applyBorder="1" applyAlignment="1">
      <alignment horizontal="center" vertical="center"/>
    </xf>
    <xf numFmtId="0" fontId="12" fillId="8" borderId="30" xfId="1" applyFont="1" applyFill="1" applyBorder="1" applyAlignment="1">
      <alignment horizontal="center" vertical="center"/>
    </xf>
    <xf numFmtId="0" fontId="3" fillId="8" borderId="30" xfId="1" applyFont="1" applyFill="1" applyBorder="1" applyAlignment="1">
      <alignment horizontal="center" vertical="center"/>
    </xf>
    <xf numFmtId="3" fontId="3" fillId="8" borderId="43" xfId="1" applyNumberFormat="1" applyFont="1" applyFill="1" applyBorder="1" applyAlignment="1">
      <alignment horizontal="center" vertical="center"/>
    </xf>
    <xf numFmtId="164" fontId="3" fillId="8" borderId="14" xfId="1" applyNumberFormat="1" applyFont="1" applyFill="1" applyBorder="1" applyAlignment="1">
      <alignment horizontal="center" vertical="center"/>
    </xf>
    <xf numFmtId="0" fontId="3" fillId="8" borderId="27" xfId="1" applyFont="1" applyFill="1" applyBorder="1" applyAlignment="1">
      <alignment horizontal="center" vertical="center"/>
    </xf>
    <xf numFmtId="1" fontId="3" fillId="8" borderId="5" xfId="1" applyNumberFormat="1" applyFont="1" applyFill="1" applyBorder="1" applyAlignment="1">
      <alignment horizontal="center" vertical="center"/>
    </xf>
    <xf numFmtId="4" fontId="3" fillId="8" borderId="5" xfId="1" applyNumberFormat="1" applyFont="1" applyFill="1" applyBorder="1" applyAlignment="1">
      <alignment horizontal="center" vertical="center"/>
    </xf>
    <xf numFmtId="0" fontId="3" fillId="8" borderId="11" xfId="1" applyFont="1" applyFill="1" applyBorder="1" applyAlignment="1">
      <alignment horizontal="center" vertical="center"/>
    </xf>
    <xf numFmtId="2" fontId="3" fillId="8" borderId="5" xfId="1" applyNumberFormat="1" applyFont="1" applyFill="1" applyBorder="1" applyAlignment="1">
      <alignment horizontal="center" vertical="center"/>
    </xf>
    <xf numFmtId="0" fontId="12" fillId="8" borderId="28" xfId="1" applyFont="1" applyFill="1" applyBorder="1" applyAlignment="1">
      <alignment horizontal="center" vertical="center"/>
    </xf>
    <xf numFmtId="0" fontId="3" fillId="8" borderId="28" xfId="1" applyFont="1" applyFill="1" applyBorder="1" applyAlignment="1">
      <alignment horizontal="center" vertical="center"/>
    </xf>
    <xf numFmtId="3" fontId="3" fillId="8" borderId="44" xfId="1" applyNumberFormat="1" applyFont="1" applyFill="1" applyBorder="1" applyAlignment="1">
      <alignment horizontal="center" vertical="center"/>
    </xf>
    <xf numFmtId="3" fontId="3" fillId="8" borderId="45" xfId="1" applyNumberFormat="1" applyFont="1" applyFill="1" applyBorder="1" applyAlignment="1">
      <alignment horizontal="center" vertical="center"/>
    </xf>
    <xf numFmtId="0" fontId="3" fillId="8" borderId="5" xfId="1" applyNumberFormat="1" applyFont="1" applyFill="1" applyBorder="1" applyAlignment="1">
      <alignment horizontal="center" vertical="center"/>
    </xf>
    <xf numFmtId="164" fontId="3" fillId="8" borderId="11" xfId="1" applyNumberFormat="1" applyFont="1" applyFill="1" applyBorder="1" applyAlignment="1">
      <alignment horizontal="center" vertical="center"/>
    </xf>
    <xf numFmtId="0" fontId="3" fillId="8" borderId="8" xfId="1" applyNumberFormat="1" applyFont="1" applyFill="1" applyBorder="1" applyAlignment="1">
      <alignment horizontal="center" vertical="center"/>
    </xf>
    <xf numFmtId="164" fontId="3" fillId="8" borderId="8" xfId="1" applyNumberFormat="1" applyFont="1" applyFill="1" applyBorder="1" applyAlignment="1">
      <alignment horizontal="center" vertical="center"/>
    </xf>
    <xf numFmtId="164" fontId="3" fillId="8" borderId="10" xfId="1" applyNumberFormat="1" applyFont="1" applyFill="1" applyBorder="1" applyAlignment="1">
      <alignment horizontal="center" vertical="center"/>
    </xf>
    <xf numFmtId="2" fontId="12" fillId="8" borderId="30" xfId="1" applyNumberFormat="1" applyFont="1" applyFill="1" applyBorder="1" applyAlignment="1">
      <alignment horizontal="center" vertical="center"/>
    </xf>
    <xf numFmtId="0" fontId="9" fillId="8" borderId="5" xfId="1" applyFont="1" applyFill="1" applyBorder="1" applyAlignment="1">
      <alignment horizontal="center" vertical="center"/>
    </xf>
    <xf numFmtId="164" fontId="3" fillId="8" borderId="13" xfId="1" applyNumberFormat="1" applyFont="1" applyFill="1" applyBorder="1" applyAlignment="1">
      <alignment horizontal="center" vertical="center"/>
    </xf>
    <xf numFmtId="0" fontId="3" fillId="8" borderId="31" xfId="1" applyFont="1" applyFill="1" applyBorder="1" applyAlignment="1">
      <alignment horizontal="center" vertical="center"/>
    </xf>
    <xf numFmtId="0" fontId="3" fillId="8" borderId="9" xfId="1" applyNumberFormat="1" applyFont="1" applyFill="1" applyBorder="1" applyAlignment="1">
      <alignment horizontal="center" vertical="center"/>
    </xf>
    <xf numFmtId="164" fontId="3" fillId="8" borderId="9" xfId="1" applyNumberFormat="1" applyFont="1" applyFill="1" applyBorder="1" applyAlignment="1">
      <alignment horizontal="center" vertical="center"/>
    </xf>
    <xf numFmtId="1" fontId="3" fillId="8" borderId="9" xfId="1" applyNumberFormat="1" applyFont="1" applyFill="1" applyBorder="1" applyAlignment="1">
      <alignment horizontal="center" vertical="center"/>
    </xf>
    <xf numFmtId="3" fontId="3" fillId="8" borderId="9" xfId="1" applyNumberFormat="1" applyFont="1" applyFill="1" applyBorder="1" applyAlignment="1">
      <alignment horizontal="center" vertical="center"/>
    </xf>
    <xf numFmtId="0" fontId="3" fillId="8" borderId="9" xfId="1" applyFont="1" applyFill="1" applyBorder="1" applyAlignment="1">
      <alignment horizontal="center" vertical="center"/>
    </xf>
    <xf numFmtId="4" fontId="3" fillId="8" borderId="9" xfId="1" applyNumberFormat="1" applyFont="1" applyFill="1" applyBorder="1" applyAlignment="1">
      <alignment horizontal="center" vertical="center"/>
    </xf>
    <xf numFmtId="0" fontId="3" fillId="8" borderId="12" xfId="1" applyFont="1" applyFill="1" applyBorder="1" applyAlignment="1">
      <alignment horizontal="center" vertical="center"/>
    </xf>
    <xf numFmtId="0" fontId="12" fillId="8" borderId="32" xfId="1" applyFont="1" applyFill="1" applyBorder="1" applyAlignment="1">
      <alignment horizontal="center" vertical="center"/>
    </xf>
    <xf numFmtId="0" fontId="3" fillId="8" borderId="32" xfId="1" applyFont="1" applyFill="1" applyBorder="1" applyAlignment="1">
      <alignment horizontal="center" vertical="center"/>
    </xf>
    <xf numFmtId="3" fontId="3" fillId="8" borderId="40" xfId="1" applyNumberFormat="1" applyFont="1" applyFill="1" applyBorder="1" applyAlignment="1">
      <alignment horizontal="center" vertical="center"/>
    </xf>
    <xf numFmtId="3" fontId="3" fillId="8" borderId="0" xfId="1" applyNumberFormat="1" applyFont="1" applyFill="1" applyBorder="1" applyAlignment="1">
      <alignment horizontal="center" vertical="center"/>
    </xf>
    <xf numFmtId="1" fontId="13" fillId="8" borderId="5" xfId="1" applyNumberFormat="1" applyFont="1" applyFill="1" applyBorder="1" applyAlignment="1">
      <alignment horizontal="center" vertical="center"/>
    </xf>
    <xf numFmtId="1" fontId="13" fillId="8" borderId="8" xfId="1" applyNumberFormat="1" applyFont="1" applyFill="1" applyBorder="1" applyAlignment="1">
      <alignment horizontal="center" vertical="center"/>
    </xf>
    <xf numFmtId="3" fontId="13" fillId="8" borderId="8" xfId="1" applyNumberFormat="1" applyFont="1" applyFill="1" applyBorder="1" applyAlignment="1">
      <alignment horizontal="center" vertical="center"/>
    </xf>
    <xf numFmtId="0" fontId="9" fillId="8" borderId="8" xfId="1" applyFont="1" applyFill="1" applyBorder="1" applyAlignment="1">
      <alignment horizontal="center" vertical="center"/>
    </xf>
    <xf numFmtId="164" fontId="9" fillId="8" borderId="8" xfId="1" applyNumberFormat="1" applyFont="1" applyFill="1" applyBorder="1" applyAlignment="1">
      <alignment horizontal="center" vertical="center"/>
    </xf>
    <xf numFmtId="164" fontId="3" fillId="8" borderId="18" xfId="1" applyNumberFormat="1" applyFont="1" applyFill="1" applyBorder="1" applyAlignment="1">
      <alignment horizontal="center" vertical="center"/>
    </xf>
    <xf numFmtId="164" fontId="3" fillId="8" borderId="19" xfId="1" applyNumberFormat="1" applyFont="1" applyFill="1" applyBorder="1" applyAlignment="1">
      <alignment horizontal="center" vertical="center"/>
    </xf>
    <xf numFmtId="1" fontId="9" fillId="8" borderId="5" xfId="1" applyNumberFormat="1" applyFont="1" applyFill="1" applyBorder="1" applyAlignment="1">
      <alignment horizontal="center" vertical="center"/>
    </xf>
    <xf numFmtId="1" fontId="9" fillId="8" borderId="8" xfId="1" applyNumberFormat="1" applyFont="1" applyFill="1" applyBorder="1" applyAlignment="1">
      <alignment horizontal="center" vertical="center"/>
    </xf>
    <xf numFmtId="0" fontId="3" fillId="8" borderId="21" xfId="1" applyFont="1" applyFill="1" applyBorder="1" applyAlignment="1">
      <alignment horizontal="center" vertical="center"/>
    </xf>
    <xf numFmtId="0" fontId="3" fillId="8" borderId="14" xfId="1" applyFont="1" applyFill="1" applyBorder="1" applyAlignment="1">
      <alignment horizontal="center" vertical="center"/>
    </xf>
    <xf numFmtId="0" fontId="3" fillId="8" borderId="13" xfId="1" applyFont="1" applyFill="1" applyBorder="1" applyAlignment="1">
      <alignment horizontal="center" vertical="center"/>
    </xf>
    <xf numFmtId="169" fontId="9" fillId="8" borderId="5" xfId="1" applyNumberFormat="1" applyFont="1" applyFill="1" applyBorder="1" applyAlignment="1">
      <alignment horizontal="center" vertical="center"/>
    </xf>
    <xf numFmtId="2" fontId="9" fillId="8" borderId="5" xfId="1" applyNumberFormat="1" applyFont="1" applyFill="1" applyBorder="1" applyAlignment="1">
      <alignment horizontal="center" vertical="center"/>
    </xf>
    <xf numFmtId="164" fontId="3" fillId="8" borderId="42" xfId="1" applyNumberFormat="1" applyFont="1" applyFill="1" applyBorder="1" applyAlignment="1">
      <alignment horizontal="center" vertical="center"/>
    </xf>
    <xf numFmtId="169" fontId="9" fillId="8" borderId="8" xfId="1" applyNumberFormat="1" applyFont="1" applyFill="1" applyBorder="1" applyAlignment="1">
      <alignment horizontal="center" vertical="center"/>
    </xf>
    <xf numFmtId="2" fontId="9" fillId="8" borderId="8" xfId="1" applyNumberFormat="1" applyFont="1" applyFill="1" applyBorder="1" applyAlignment="1">
      <alignment horizontal="center" vertical="center"/>
    </xf>
    <xf numFmtId="164" fontId="3" fillId="8" borderId="43" xfId="1" applyNumberFormat="1" applyFont="1" applyFill="1" applyBorder="1" applyAlignment="1">
      <alignment horizontal="center" vertical="center"/>
    </xf>
    <xf numFmtId="169" fontId="3" fillId="8" borderId="5" xfId="1" applyNumberFormat="1" applyFont="1" applyFill="1" applyBorder="1" applyAlignment="1">
      <alignment horizontal="center" vertical="center"/>
    </xf>
    <xf numFmtId="0" fontId="3" fillId="8" borderId="44" xfId="1" applyFont="1" applyFill="1" applyBorder="1" applyAlignment="1">
      <alignment horizontal="center" vertical="center"/>
    </xf>
    <xf numFmtId="169" fontId="3" fillId="8" borderId="8" xfId="1" applyNumberFormat="1" applyFont="1" applyFill="1" applyBorder="1" applyAlignment="1">
      <alignment horizontal="center" vertical="center"/>
    </xf>
    <xf numFmtId="2" fontId="3" fillId="8" borderId="8" xfId="1" applyNumberFormat="1" applyFont="1" applyFill="1" applyBorder="1" applyAlignment="1">
      <alignment horizontal="center" vertical="center"/>
    </xf>
    <xf numFmtId="0" fontId="3" fillId="8" borderId="45" xfId="1" applyFont="1" applyFill="1" applyBorder="1" applyAlignment="1">
      <alignment horizontal="center" vertical="center"/>
    </xf>
    <xf numFmtId="0" fontId="3" fillId="8" borderId="0" xfId="1" applyFont="1" applyFill="1" applyBorder="1" applyAlignment="1"/>
    <xf numFmtId="0" fontId="9" fillId="8" borderId="0" xfId="1" applyFont="1" applyFill="1" applyAlignment="1">
      <alignment horizontal="center"/>
    </xf>
    <xf numFmtId="0" fontId="2" fillId="8" borderId="0" xfId="1" applyFill="1" applyAlignment="1"/>
    <xf numFmtId="0" fontId="9" fillId="8" borderId="1" xfId="1" applyFont="1" applyFill="1" applyBorder="1" applyAlignment="1">
      <alignment horizontal="center" vertical="center" wrapText="1"/>
    </xf>
    <xf numFmtId="0" fontId="3" fillId="8" borderId="26" xfId="1" applyFont="1" applyFill="1" applyBorder="1" applyAlignment="1">
      <alignment horizontal="center" vertical="center"/>
    </xf>
    <xf numFmtId="0" fontId="3" fillId="8" borderId="0" xfId="1" applyFont="1" applyFill="1" applyAlignment="1"/>
    <xf numFmtId="0" fontId="3" fillId="8" borderId="2" xfId="1" applyFont="1" applyFill="1" applyBorder="1" applyAlignment="1"/>
    <xf numFmtId="0" fontId="3" fillId="8" borderId="26" xfId="1" applyFont="1" applyFill="1" applyBorder="1" applyAlignment="1"/>
    <xf numFmtId="0" fontId="9" fillId="8" borderId="4" xfId="1" quotePrefix="1" applyFont="1" applyFill="1" applyBorder="1" applyAlignment="1">
      <alignment horizontal="center" vertical="center"/>
    </xf>
    <xf numFmtId="0" fontId="9" fillId="8" borderId="5" xfId="1" quotePrefix="1" applyFont="1" applyFill="1" applyBorder="1" applyAlignment="1">
      <alignment horizontal="center" vertical="center"/>
    </xf>
    <xf numFmtId="0" fontId="3" fillId="8" borderId="39" xfId="1" applyFont="1" applyFill="1" applyBorder="1" applyAlignment="1">
      <alignment horizontal="center" vertical="center"/>
    </xf>
    <xf numFmtId="0" fontId="9" fillId="8" borderId="2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1" xfId="1" quotePrefix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3" fillId="8" borderId="33" xfId="1" applyFont="1" applyFill="1" applyBorder="1" applyAlignment="1">
      <alignment horizontal="center" vertical="center"/>
    </xf>
    <xf numFmtId="0" fontId="3" fillId="8" borderId="0" xfId="1" applyFont="1" applyFill="1" applyBorder="1" applyAlignment="1">
      <alignment horizontal="center" vertical="center"/>
    </xf>
    <xf numFmtId="0" fontId="9" fillId="8" borderId="16" xfId="1" applyFont="1" applyFill="1" applyBorder="1" applyAlignment="1">
      <alignment horizontal="center" vertical="center"/>
    </xf>
    <xf numFmtId="169" fontId="9" fillId="8" borderId="1" xfId="1" applyNumberFormat="1" applyFont="1" applyFill="1" applyBorder="1" applyAlignment="1">
      <alignment horizontal="center" vertical="center"/>
    </xf>
    <xf numFmtId="2" fontId="9" fillId="8" borderId="1" xfId="1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9" fillId="8" borderId="33" xfId="1" applyFont="1" applyFill="1" applyBorder="1" applyAlignment="1">
      <alignment horizontal="center" vertical="center"/>
    </xf>
    <xf numFmtId="0" fontId="9" fillId="8" borderId="0" xfId="1" applyFont="1" applyFill="1" applyBorder="1" applyAlignment="1">
      <alignment horizontal="center" vertical="center"/>
    </xf>
    <xf numFmtId="0" fontId="9" fillId="8" borderId="7" xfId="1" applyFont="1" applyFill="1" applyBorder="1" applyAlignment="1">
      <alignment horizontal="center" vertical="center"/>
    </xf>
    <xf numFmtId="0" fontId="9" fillId="8" borderId="8" xfId="1" quotePrefix="1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3" fillId="8" borderId="40" xfId="1" applyFont="1" applyFill="1" applyBorder="1" applyAlignment="1">
      <alignment horizontal="center" vertical="center"/>
    </xf>
    <xf numFmtId="0" fontId="9" fillId="8" borderId="15" xfId="1" applyFont="1" applyFill="1" applyBorder="1" applyAlignment="1">
      <alignment horizontal="center" vertical="center"/>
    </xf>
    <xf numFmtId="0" fontId="5" fillId="8" borderId="36" xfId="1" applyFont="1" applyFill="1" applyBorder="1" applyAlignment="1">
      <alignment horizontal="left" vertical="center"/>
    </xf>
    <xf numFmtId="0" fontId="5" fillId="8" borderId="30" xfId="1" applyFont="1" applyFill="1" applyBorder="1" applyAlignment="1">
      <alignment horizontal="left" vertical="center"/>
    </xf>
    <xf numFmtId="0" fontId="5" fillId="8" borderId="28" xfId="1" applyFont="1" applyFill="1" applyBorder="1" applyAlignment="1">
      <alignment horizontal="left" vertical="center"/>
    </xf>
    <xf numFmtId="0" fontId="14" fillId="8" borderId="32" xfId="1" applyFont="1" applyFill="1" applyBorder="1" applyAlignment="1">
      <alignment horizontal="left" vertical="center"/>
    </xf>
    <xf numFmtId="0" fontId="2" fillId="8" borderId="0" xfId="1" applyFont="1" applyFill="1" applyAlignment="1"/>
    <xf numFmtId="0" fontId="5" fillId="8" borderId="32" xfId="1" applyFont="1" applyFill="1" applyBorder="1" applyAlignment="1">
      <alignment horizontal="left" vertical="center"/>
    </xf>
    <xf numFmtId="0" fontId="4" fillId="8" borderId="0" xfId="1" applyFont="1" applyFill="1" applyAlignment="1"/>
    <xf numFmtId="0" fontId="14" fillId="8" borderId="30" xfId="1" applyFont="1" applyFill="1" applyBorder="1" applyAlignment="1">
      <alignment horizontal="left" vertical="center"/>
    </xf>
    <xf numFmtId="0" fontId="5" fillId="8" borderId="0" xfId="1" applyFont="1" applyFill="1" applyAlignment="1"/>
    <xf numFmtId="169" fontId="3" fillId="8" borderId="0" xfId="1" applyNumberFormat="1" applyFont="1" applyFill="1" applyAlignment="1"/>
    <xf numFmtId="2" fontId="3" fillId="8" borderId="0" xfId="1" applyNumberFormat="1" applyFont="1" applyFill="1" applyAlignment="1"/>
    <xf numFmtId="0" fontId="9" fillId="8" borderId="0" xfId="1" applyFont="1" applyFill="1" applyAlignment="1"/>
    <xf numFmtId="169" fontId="9" fillId="8" borderId="0" xfId="1" applyNumberFormat="1" applyFont="1" applyFill="1" applyAlignment="1"/>
    <xf numFmtId="2" fontId="9" fillId="8" borderId="0" xfId="1" applyNumberFormat="1" applyFont="1" applyFill="1" applyAlignment="1"/>
    <xf numFmtId="0" fontId="7" fillId="8" borderId="0" xfId="1" applyFont="1" applyFill="1" applyAlignment="1"/>
    <xf numFmtId="0" fontId="8" fillId="8" borderId="0" xfId="1" applyFont="1" applyFill="1" applyAlignment="1"/>
    <xf numFmtId="0" fontId="0" fillId="0" borderId="1" xfId="0" applyBorder="1"/>
    <xf numFmtId="0" fontId="14" fillId="8" borderId="1" xfId="1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8" borderId="1" xfId="1" applyFont="1" applyFill="1" applyBorder="1" applyAlignment="1">
      <alignment horizontal="center" vertical="center"/>
    </xf>
    <xf numFmtId="0" fontId="27" fillId="8" borderId="1" xfId="1" applyFont="1" applyFill="1" applyBorder="1" applyAlignment="1">
      <alignment horizontal="left" vertical="center"/>
    </xf>
    <xf numFmtId="0" fontId="20" fillId="0" borderId="1" xfId="0" applyFont="1" applyBorder="1"/>
    <xf numFmtId="0" fontId="3" fillId="14" borderId="5" xfId="1" applyFont="1" applyFill="1" applyBorder="1" applyAlignment="1">
      <alignment horizontal="center" vertical="center"/>
    </xf>
    <xf numFmtId="164" fontId="9" fillId="14" borderId="5" xfId="1" applyNumberFormat="1" applyFont="1" applyFill="1" applyBorder="1" applyAlignment="1">
      <alignment horizontal="center" vertical="center"/>
    </xf>
    <xf numFmtId="0" fontId="1" fillId="11" borderId="5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9" fillId="3" borderId="83" xfId="1" applyFont="1" applyFill="1" applyBorder="1" applyAlignment="1">
      <alignment horizontal="center"/>
    </xf>
    <xf numFmtId="0" fontId="5" fillId="0" borderId="36" xfId="1" applyFont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3" fontId="3" fillId="8" borderId="1" xfId="1" applyNumberFormat="1" applyFont="1" applyFill="1" applyBorder="1" applyAlignment="1">
      <alignment horizontal="center" vertical="center"/>
    </xf>
    <xf numFmtId="169" fontId="3" fillId="8" borderId="1" xfId="1" applyNumberFormat="1" applyFont="1" applyFill="1" applyBorder="1" applyAlignment="1">
      <alignment horizontal="center" vertical="center"/>
    </xf>
    <xf numFmtId="1" fontId="3" fillId="8" borderId="1" xfId="1" applyNumberFormat="1" applyFont="1" applyFill="1" applyBorder="1" applyAlignment="1">
      <alignment horizontal="center" vertical="center"/>
    </xf>
    <xf numFmtId="2" fontId="3" fillId="8" borderId="1" xfId="1" applyNumberFormat="1" applyFont="1" applyFill="1" applyBorder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4" fontId="3" fillId="8" borderId="1" xfId="1" applyNumberFormat="1" applyFont="1" applyFill="1" applyBorder="1" applyAlignment="1">
      <alignment horizontal="center" vertical="center"/>
    </xf>
    <xf numFmtId="4" fontId="3" fillId="8" borderId="1" xfId="1" applyNumberFormat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/>
    </xf>
    <xf numFmtId="164" fontId="3" fillId="10" borderId="1" xfId="1" applyNumberFormat="1" applyFont="1" applyFill="1" applyBorder="1" applyAlignment="1">
      <alignment horizontal="center" vertical="center"/>
    </xf>
    <xf numFmtId="0" fontId="3" fillId="10" borderId="1" xfId="1" applyFont="1" applyFill="1" applyBorder="1" applyAlignment="1">
      <alignment horizontal="center" vertical="center"/>
    </xf>
    <xf numFmtId="3" fontId="3" fillId="10" borderId="1" xfId="1" applyNumberFormat="1" applyFont="1" applyFill="1" applyBorder="1" applyAlignment="1">
      <alignment horizontal="center" vertical="center"/>
    </xf>
    <xf numFmtId="1" fontId="3" fillId="10" borderId="1" xfId="1" applyNumberFormat="1" applyFont="1" applyFill="1" applyBorder="1" applyAlignment="1">
      <alignment horizontal="center" vertical="center"/>
    </xf>
    <xf numFmtId="4" fontId="3" fillId="10" borderId="1" xfId="1" applyNumberFormat="1" applyFont="1" applyFill="1" applyBorder="1" applyAlignment="1">
      <alignment horizontal="center" vertical="center"/>
    </xf>
    <xf numFmtId="0" fontId="3" fillId="10" borderId="1" xfId="1" applyFont="1" applyFill="1" applyBorder="1" applyAlignment="1">
      <alignment horizontal="center" vertical="center" wrapText="1"/>
    </xf>
    <xf numFmtId="0" fontId="12" fillId="10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64" fontId="3" fillId="11" borderId="1" xfId="1" applyNumberFormat="1" applyFont="1" applyFill="1" applyBorder="1" applyAlignment="1">
      <alignment horizontal="center" vertical="center"/>
    </xf>
    <xf numFmtId="2" fontId="12" fillId="10" borderId="1" xfId="1" applyNumberFormat="1" applyFont="1" applyFill="1" applyBorder="1" applyAlignment="1">
      <alignment horizontal="center" vertical="center"/>
    </xf>
    <xf numFmtId="164" fontId="9" fillId="11" borderId="1" xfId="1" applyNumberFormat="1" applyFont="1" applyFill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3" fontId="9" fillId="8" borderId="1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3" fillId="14" borderId="1" xfId="1" applyFont="1" applyFill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" fontId="13" fillId="10" borderId="1" xfId="1" applyNumberFormat="1" applyFont="1" applyFill="1" applyBorder="1" applyAlignment="1">
      <alignment horizontal="center" vertical="center"/>
    </xf>
    <xf numFmtId="3" fontId="13" fillId="10" borderId="1" xfId="1" applyNumberFormat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3" fontId="9" fillId="10" borderId="1" xfId="1" applyNumberFormat="1" applyFont="1" applyFill="1" applyBorder="1" applyAlignment="1">
      <alignment horizontal="center" vertical="center"/>
    </xf>
    <xf numFmtId="164" fontId="9" fillId="10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1" fontId="3" fillId="5" borderId="1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/>
    </xf>
    <xf numFmtId="164" fontId="3" fillId="8" borderId="1" xfId="1" applyNumberFormat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" fontId="3" fillId="6" borderId="1" xfId="1" applyNumberFormat="1" applyFont="1" applyFill="1" applyBorder="1" applyAlignment="1">
      <alignment horizontal="center" vertical="center"/>
    </xf>
    <xf numFmtId="3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1" fontId="9" fillId="6" borderId="1" xfId="1" applyNumberFormat="1" applyFont="1" applyFill="1" applyBorder="1" applyAlignment="1">
      <alignment horizontal="center" vertical="center"/>
    </xf>
    <xf numFmtId="3" fontId="9" fillId="6" borderId="1" xfId="1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10" borderId="3" xfId="1" applyFont="1" applyFill="1" applyBorder="1" applyAlignment="1">
      <alignment horizontal="center" vertical="center"/>
    </xf>
    <xf numFmtId="0" fontId="5" fillId="10" borderId="3" xfId="1" applyFont="1" applyFill="1" applyBorder="1" applyAlignment="1">
      <alignment horizontal="left" vertical="center" wrapText="1"/>
    </xf>
    <xf numFmtId="0" fontId="3" fillId="10" borderId="3" xfId="1" applyNumberFormat="1" applyFont="1" applyFill="1" applyBorder="1" applyAlignment="1">
      <alignment horizontal="center" vertical="center"/>
    </xf>
    <xf numFmtId="1" fontId="3" fillId="10" borderId="3" xfId="1" applyNumberFormat="1" applyFont="1" applyFill="1" applyBorder="1" applyAlignment="1">
      <alignment horizontal="center" vertical="center"/>
    </xf>
    <xf numFmtId="3" fontId="3" fillId="10" borderId="3" xfId="1" applyNumberFormat="1" applyFont="1" applyFill="1" applyBorder="1" applyAlignment="1">
      <alignment horizontal="center" vertical="center"/>
    </xf>
    <xf numFmtId="4" fontId="3" fillId="10" borderId="3" xfId="1" applyNumberFormat="1" applyFont="1" applyFill="1" applyBorder="1" applyAlignment="1">
      <alignment horizontal="center" vertical="center"/>
    </xf>
    <xf numFmtId="0" fontId="12" fillId="10" borderId="3" xfId="1" applyFont="1" applyFill="1" applyBorder="1" applyAlignment="1">
      <alignment horizontal="center" vertical="center"/>
    </xf>
    <xf numFmtId="0" fontId="2" fillId="6" borderId="3" xfId="1" applyFill="1" applyBorder="1"/>
    <xf numFmtId="0" fontId="9" fillId="3" borderId="88" xfId="1" applyFont="1" applyFill="1" applyBorder="1" applyAlignment="1">
      <alignment horizontal="center"/>
    </xf>
    <xf numFmtId="0" fontId="3" fillId="10" borderId="82" xfId="1" applyFont="1" applyFill="1" applyBorder="1" applyAlignment="1">
      <alignment horizontal="center" vertical="center"/>
    </xf>
    <xf numFmtId="0" fontId="3" fillId="0" borderId="82" xfId="1" applyFont="1" applyBorder="1" applyAlignment="1">
      <alignment horizontal="center" vertical="center"/>
    </xf>
    <xf numFmtId="0" fontId="3" fillId="6" borderId="82" xfId="1" applyFont="1" applyFill="1" applyBorder="1" applyAlignment="1">
      <alignment horizontal="center" vertical="center"/>
    </xf>
    <xf numFmtId="0" fontId="3" fillId="3" borderId="92" xfId="1" applyFont="1" applyFill="1" applyBorder="1" applyAlignment="1">
      <alignment horizontal="center"/>
    </xf>
    <xf numFmtId="0" fontId="3" fillId="10" borderId="90" xfId="1" applyFont="1" applyFill="1" applyBorder="1" applyAlignment="1">
      <alignment horizontal="center" vertical="center"/>
    </xf>
    <xf numFmtId="0" fontId="3" fillId="0" borderId="90" xfId="1" applyFont="1" applyBorder="1" applyAlignment="1">
      <alignment horizontal="center" vertical="center"/>
    </xf>
    <xf numFmtId="0" fontId="3" fillId="0" borderId="90" xfId="1" applyNumberFormat="1" applyFont="1" applyBorder="1" applyAlignment="1">
      <alignment horizontal="center" vertical="center"/>
    </xf>
    <xf numFmtId="0" fontId="3" fillId="10" borderId="90" xfId="1" applyNumberFormat="1" applyFont="1" applyFill="1" applyBorder="1" applyAlignment="1">
      <alignment horizontal="center" vertical="center"/>
    </xf>
    <xf numFmtId="0" fontId="3" fillId="5" borderId="90" xfId="1" applyNumberFormat="1" applyFont="1" applyFill="1" applyBorder="1" applyAlignment="1">
      <alignment horizontal="center" vertical="center"/>
    </xf>
    <xf numFmtId="0" fontId="3" fillId="6" borderId="90" xfId="1" applyNumberFormat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/>
    </xf>
    <xf numFmtId="0" fontId="5" fillId="10" borderId="94" xfId="1" applyFont="1" applyFill="1" applyBorder="1" applyAlignment="1">
      <alignment horizontal="left" vertical="center" wrapText="1"/>
    </xf>
    <xf numFmtId="0" fontId="5" fillId="0" borderId="94" xfId="1" applyFont="1" applyBorder="1" applyAlignment="1">
      <alignment horizontal="left" vertical="center" wrapText="1"/>
    </xf>
    <xf numFmtId="0" fontId="14" fillId="10" borderId="94" xfId="1" applyFont="1" applyFill="1" applyBorder="1" applyAlignment="1">
      <alignment horizontal="left" vertical="center" wrapText="1"/>
    </xf>
    <xf numFmtId="0" fontId="5" fillId="5" borderId="94" xfId="1" applyFont="1" applyFill="1" applyBorder="1" applyAlignment="1">
      <alignment horizontal="left" vertical="center" wrapText="1"/>
    </xf>
    <xf numFmtId="0" fontId="5" fillId="6" borderId="94" xfId="1" applyFont="1" applyFill="1" applyBorder="1" applyAlignment="1">
      <alignment horizontal="left" vertical="center" wrapText="1"/>
    </xf>
    <xf numFmtId="0" fontId="3" fillId="11" borderId="82" xfId="1" applyFont="1" applyFill="1" applyBorder="1" applyAlignment="1">
      <alignment horizontal="center" vertical="center"/>
    </xf>
    <xf numFmtId="0" fontId="5" fillId="11" borderId="94" xfId="1" applyFont="1" applyFill="1" applyBorder="1" applyAlignment="1">
      <alignment horizontal="left" vertical="center" wrapText="1"/>
    </xf>
    <xf numFmtId="0" fontId="3" fillId="11" borderId="90" xfId="1" applyFont="1" applyFill="1" applyBorder="1" applyAlignment="1">
      <alignment horizontal="center" vertical="center"/>
    </xf>
    <xf numFmtId="3" fontId="3" fillId="11" borderId="1" xfId="1" applyNumberFormat="1" applyFont="1" applyFill="1" applyBorder="1" applyAlignment="1">
      <alignment horizontal="center" vertical="center"/>
    </xf>
    <xf numFmtId="169" fontId="3" fillId="11" borderId="1" xfId="1" applyNumberFormat="1" applyFont="1" applyFill="1" applyBorder="1" applyAlignment="1">
      <alignment horizontal="center" vertical="center"/>
    </xf>
    <xf numFmtId="1" fontId="3" fillId="11" borderId="1" xfId="1" applyNumberFormat="1" applyFont="1" applyFill="1" applyBorder="1" applyAlignment="1">
      <alignment horizontal="center" vertical="center"/>
    </xf>
    <xf numFmtId="2" fontId="3" fillId="11" borderId="1" xfId="1" applyNumberFormat="1" applyFont="1" applyFill="1" applyBorder="1" applyAlignment="1">
      <alignment horizontal="center" vertical="center"/>
    </xf>
    <xf numFmtId="4" fontId="3" fillId="11" borderId="1" xfId="1" applyNumberFormat="1" applyFont="1" applyFill="1" applyBorder="1" applyAlignment="1">
      <alignment horizontal="center" vertical="center"/>
    </xf>
    <xf numFmtId="2" fontId="3" fillId="11" borderId="1" xfId="1" applyNumberFormat="1" applyFont="1" applyFill="1" applyBorder="1" applyAlignment="1">
      <alignment horizontal="center" vertical="center" wrapText="1"/>
    </xf>
    <xf numFmtId="0" fontId="12" fillId="11" borderId="1" xfId="1" applyFont="1" applyFill="1" applyBorder="1" applyAlignment="1">
      <alignment horizontal="center" vertical="center"/>
    </xf>
    <xf numFmtId="164" fontId="3" fillId="11" borderId="85" xfId="1" applyNumberFormat="1" applyFont="1" applyFill="1" applyBorder="1" applyAlignment="1">
      <alignment horizontal="center" vertical="center"/>
    </xf>
    <xf numFmtId="0" fontId="2" fillId="11" borderId="0" xfId="1" applyFill="1"/>
    <xf numFmtId="164" fontId="3" fillId="8" borderId="87" xfId="1" applyNumberFormat="1" applyFont="1" applyFill="1" applyBorder="1" applyAlignment="1">
      <alignment horizontal="center" vertical="center"/>
    </xf>
    <xf numFmtId="164" fontId="3" fillId="8" borderId="85" xfId="1" applyNumberFormat="1" applyFont="1" applyFill="1" applyBorder="1" applyAlignment="1">
      <alignment horizontal="center" vertical="center"/>
    </xf>
    <xf numFmtId="164" fontId="3" fillId="8" borderId="86" xfId="1" applyNumberFormat="1" applyFont="1" applyFill="1" applyBorder="1" applyAlignment="1">
      <alignment horizontal="center" vertical="center"/>
    </xf>
    <xf numFmtId="0" fontId="5" fillId="8" borderId="19" xfId="1" applyFont="1" applyFill="1" applyBorder="1" applyAlignment="1">
      <alignment horizontal="left" vertical="center" wrapText="1"/>
    </xf>
    <xf numFmtId="0" fontId="3" fillId="8" borderId="91" xfId="1" applyFont="1" applyFill="1" applyBorder="1" applyAlignment="1">
      <alignment horizontal="center" vertical="center"/>
    </xf>
    <xf numFmtId="0" fontId="3" fillId="11" borderId="8" xfId="1" applyFont="1" applyFill="1" applyBorder="1" applyAlignment="1">
      <alignment horizontal="center" vertical="center"/>
    </xf>
    <xf numFmtId="4" fontId="3" fillId="8" borderId="8" xfId="1" applyNumberFormat="1" applyFont="1" applyFill="1" applyBorder="1" applyAlignment="1">
      <alignment horizontal="center" vertical="center" wrapText="1"/>
    </xf>
    <xf numFmtId="0" fontId="12" fillId="8" borderId="8" xfId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left" vertical="center" wrapText="1"/>
    </xf>
    <xf numFmtId="0" fontId="3" fillId="8" borderId="90" xfId="1" applyFont="1" applyFill="1" applyBorder="1" applyAlignment="1">
      <alignment horizontal="center" vertical="center"/>
    </xf>
    <xf numFmtId="0" fontId="3" fillId="0" borderId="93" xfId="1" applyNumberFormat="1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3" fillId="0" borderId="91" xfId="1" applyNumberFormat="1" applyFont="1" applyBorder="1" applyAlignment="1">
      <alignment horizontal="center" vertical="center"/>
    </xf>
    <xf numFmtId="164" fontId="9" fillId="0" borderId="8" xfId="1" applyNumberFormat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2" fontId="3" fillId="0" borderId="8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164" fontId="9" fillId="14" borderId="3" xfId="1" applyNumberFormat="1" applyFont="1" applyFill="1" applyBorder="1" applyAlignment="1">
      <alignment horizontal="center" vertical="center"/>
    </xf>
    <xf numFmtId="1" fontId="13" fillId="5" borderId="3" xfId="1" applyNumberFormat="1" applyFont="1" applyFill="1" applyBorder="1" applyAlignment="1">
      <alignment horizontal="center" vertical="center"/>
    </xf>
    <xf numFmtId="3" fontId="13" fillId="5" borderId="3" xfId="1" applyNumberFormat="1" applyFont="1" applyFill="1" applyBorder="1" applyAlignment="1">
      <alignment horizontal="center" vertical="center"/>
    </xf>
    <xf numFmtId="3" fontId="13" fillId="8" borderId="3" xfId="1" applyNumberFormat="1" applyFont="1" applyFill="1" applyBorder="1" applyAlignment="1">
      <alignment horizontal="center" vertical="center"/>
    </xf>
    <xf numFmtId="0" fontId="3" fillId="10" borderId="17" xfId="1" applyFont="1" applyFill="1" applyBorder="1" applyAlignment="1">
      <alignment horizontal="center" vertical="center"/>
    </xf>
    <xf numFmtId="0" fontId="5" fillId="10" borderId="20" xfId="1" applyFont="1" applyFill="1" applyBorder="1" applyAlignment="1">
      <alignment horizontal="left" vertical="center" wrapText="1"/>
    </xf>
    <xf numFmtId="0" fontId="3" fillId="10" borderId="93" xfId="1" applyFont="1" applyFill="1" applyBorder="1" applyAlignment="1">
      <alignment horizontal="center" vertical="center"/>
    </xf>
    <xf numFmtId="0" fontId="3" fillId="10" borderId="3" xfId="1" applyFont="1" applyFill="1" applyBorder="1" applyAlignment="1">
      <alignment horizontal="center" vertical="center" wrapText="1"/>
    </xf>
    <xf numFmtId="164" fontId="9" fillId="14" borderId="8" xfId="1" applyNumberFormat="1" applyFont="1" applyFill="1" applyBorder="1" applyAlignment="1">
      <alignment horizontal="center" vertical="center"/>
    </xf>
    <xf numFmtId="1" fontId="13" fillId="5" borderId="8" xfId="1" applyNumberFormat="1" applyFont="1" applyFill="1" applyBorder="1" applyAlignment="1">
      <alignment horizontal="center" vertical="center"/>
    </xf>
    <xf numFmtId="3" fontId="13" fillId="5" borderId="8" xfId="1" applyNumberFormat="1" applyFont="1" applyFill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164" fontId="3" fillId="8" borderId="84" xfId="1" applyNumberFormat="1" applyFont="1" applyFill="1" applyBorder="1" applyAlignment="1">
      <alignment horizontal="center" vertical="center"/>
    </xf>
    <xf numFmtId="0" fontId="3" fillId="0" borderId="89" xfId="1" applyNumberFormat="1" applyFont="1" applyBorder="1" applyAlignment="1">
      <alignment horizontal="center" vertical="center"/>
    </xf>
    <xf numFmtId="2" fontId="3" fillId="8" borderId="1" xfId="1" applyNumberFormat="1" applyFont="1" applyFill="1" applyBorder="1" applyAlignment="1">
      <alignment horizontal="center" vertical="center" wrapText="1"/>
    </xf>
    <xf numFmtId="0" fontId="14" fillId="0" borderId="99" xfId="1" applyFont="1" applyBorder="1" applyAlignment="1">
      <alignment horizontal="left" vertical="center" wrapText="1"/>
    </xf>
    <xf numFmtId="0" fontId="14" fillId="5" borderId="100" xfId="1" applyFont="1" applyFill="1" applyBorder="1" applyAlignment="1">
      <alignment horizontal="left" vertical="center" wrapText="1"/>
    </xf>
    <xf numFmtId="0" fontId="14" fillId="0" borderId="100" xfId="1" applyFont="1" applyBorder="1" applyAlignment="1">
      <alignment horizontal="left" vertical="center" wrapText="1"/>
    </xf>
    <xf numFmtId="0" fontId="14" fillId="8" borderId="100" xfId="1" applyFont="1" applyFill="1" applyBorder="1" applyAlignment="1">
      <alignment horizontal="left" vertical="center" wrapText="1"/>
    </xf>
    <xf numFmtId="0" fontId="14" fillId="0" borderId="101" xfId="1" applyFont="1" applyBorder="1" applyAlignment="1">
      <alignment horizontal="left" vertical="center" wrapText="1"/>
    </xf>
    <xf numFmtId="0" fontId="3" fillId="0" borderId="94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9" fillId="8" borderId="25" xfId="1" applyFont="1" applyFill="1" applyBorder="1" applyAlignment="1">
      <alignment horizontal="center"/>
    </xf>
    <xf numFmtId="0" fontId="5" fillId="8" borderId="95" xfId="1" applyFont="1" applyFill="1" applyBorder="1" applyAlignment="1">
      <alignment horizontal="center"/>
    </xf>
    <xf numFmtId="0" fontId="3" fillId="8" borderId="96" xfId="1" applyFont="1" applyFill="1" applyBorder="1" applyAlignment="1">
      <alignment horizontal="center"/>
    </xf>
    <xf numFmtId="0" fontId="3" fillId="8" borderId="97" xfId="1" applyFont="1" applyFill="1" applyBorder="1" applyAlignment="1">
      <alignment horizontal="center"/>
    </xf>
    <xf numFmtId="169" fontId="3" fillId="8" borderId="97" xfId="1" applyNumberFormat="1" applyFont="1" applyFill="1" applyBorder="1" applyAlignment="1">
      <alignment horizontal="center"/>
    </xf>
    <xf numFmtId="2" fontId="3" fillId="8" borderId="97" xfId="1" applyNumberFormat="1" applyFont="1" applyFill="1" applyBorder="1" applyAlignment="1">
      <alignment horizontal="center"/>
    </xf>
    <xf numFmtId="0" fontId="9" fillId="8" borderId="98" xfId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/>
    </xf>
    <xf numFmtId="0" fontId="2" fillId="2" borderId="0" xfId="1" applyFill="1" applyAlignment="1"/>
    <xf numFmtId="0" fontId="2" fillId="0" borderId="0" xfId="1" applyAlignment="1"/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9" fillId="0" borderId="4" xfId="1" quotePrefix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5" xfId="1" quotePrefix="1" applyFont="1" applyFill="1" applyBorder="1" applyAlignment="1">
      <alignment horizontal="center" vertical="center" wrapText="1"/>
    </xf>
    <xf numFmtId="0" fontId="9" fillId="3" borderId="1" xfId="1" quotePrefix="1" applyFont="1" applyFill="1" applyBorder="1" applyAlignment="1">
      <alignment horizontal="center" vertical="center" wrapText="1"/>
    </xf>
    <xf numFmtId="0" fontId="3" fillId="5" borderId="26" xfId="1" applyFont="1" applyFill="1" applyBorder="1" applyAlignment="1">
      <alignment horizontal="center" vertical="center"/>
    </xf>
    <xf numFmtId="0" fontId="3" fillId="0" borderId="0" xfId="1" applyFont="1" applyAlignment="1"/>
    <xf numFmtId="0" fontId="3" fillId="0" borderId="2" xfId="1" applyFont="1" applyBorder="1" applyAlignment="1"/>
    <xf numFmtId="0" fontId="3" fillId="0" borderId="26" xfId="1" applyFont="1" applyBorder="1" applyAlignment="1"/>
    <xf numFmtId="0" fontId="9" fillId="0" borderId="5" xfId="1" applyFont="1" applyBorder="1" applyAlignment="1">
      <alignment horizontal="center" vertical="center" wrapText="1"/>
    </xf>
    <xf numFmtId="0" fontId="9" fillId="0" borderId="1" xfId="1" quotePrefix="1" applyFont="1" applyBorder="1" applyAlignment="1">
      <alignment horizontal="center" vertical="center" wrapText="1"/>
    </xf>
    <xf numFmtId="0" fontId="9" fillId="0" borderId="8" xfId="1" quotePrefix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3" borderId="5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5" xfId="1" quotePrefix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9" fillId="4" borderId="1" xfId="1" quotePrefix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15" fillId="5" borderId="26" xfId="1" applyFont="1" applyFill="1" applyBorder="1" applyAlignment="1">
      <alignment horizontal="center" vertical="center"/>
    </xf>
    <xf numFmtId="0" fontId="15" fillId="0" borderId="0" xfId="1" applyFont="1" applyAlignment="1"/>
    <xf numFmtId="0" fontId="15" fillId="0" borderId="2" xfId="1" applyFont="1" applyBorder="1" applyAlignment="1"/>
    <xf numFmtId="0" fontId="15" fillId="0" borderId="26" xfId="1" applyFont="1" applyBorder="1" applyAlignment="1"/>
    <xf numFmtId="0" fontId="16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3" borderId="1" xfId="1" quotePrefix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1" xfId="1" quotePrefix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center"/>
    </xf>
    <xf numFmtId="0" fontId="16" fillId="0" borderId="1" xfId="1" quotePrefix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5" fontId="9" fillId="0" borderId="1" xfId="2" applyNumberFormat="1" applyFont="1" applyBorder="1" applyAlignment="1">
      <alignment horizontal="center" vertical="center" wrapText="1"/>
    </xf>
    <xf numFmtId="0" fontId="22" fillId="0" borderId="46" xfId="2" applyFont="1" applyBorder="1" applyAlignment="1">
      <alignment horizontal="left"/>
    </xf>
    <xf numFmtId="0" fontId="22" fillId="0" borderId="0" xfId="2" applyFont="1" applyBorder="1" applyAlignment="1">
      <alignment horizontal="left"/>
    </xf>
    <xf numFmtId="0" fontId="9" fillId="0" borderId="47" xfId="2" applyFont="1" applyBorder="1" applyAlignment="1">
      <alignment horizontal="center" vertical="center" wrapText="1"/>
    </xf>
    <xf numFmtId="0" fontId="9" fillId="0" borderId="47" xfId="2" applyFont="1" applyBorder="1" applyAlignment="1">
      <alignment horizontal="center" vertical="center"/>
    </xf>
    <xf numFmtId="165" fontId="9" fillId="0" borderId="47" xfId="2" applyNumberFormat="1" applyFont="1" applyBorder="1" applyAlignment="1">
      <alignment horizontal="center" vertical="center"/>
    </xf>
    <xf numFmtId="165" fontId="9" fillId="0" borderId="55" xfId="2" applyNumberFormat="1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47" xfId="2" applyFont="1" applyBorder="1" applyAlignment="1">
      <alignment horizontal="center" vertical="top"/>
    </xf>
    <xf numFmtId="0" fontId="3" fillId="0" borderId="47" xfId="2" applyFont="1" applyBorder="1"/>
    <xf numFmtId="0" fontId="9" fillId="0" borderId="47" xfId="2" applyFont="1" applyBorder="1"/>
    <xf numFmtId="0" fontId="9" fillId="0" borderId="47" xfId="2" applyFont="1" applyBorder="1" applyAlignment="1">
      <alignment horizontal="left"/>
    </xf>
    <xf numFmtId="0" fontId="3" fillId="0" borderId="47" xfId="2" applyFont="1" applyBorder="1" applyAlignment="1">
      <alignment horizontal="center"/>
    </xf>
    <xf numFmtId="0" fontId="9" fillId="0" borderId="14" xfId="1" quotePrefix="1" applyFont="1" applyBorder="1" applyAlignment="1">
      <alignment horizontal="center" vertical="center" wrapText="1"/>
    </xf>
    <xf numFmtId="0" fontId="9" fillId="0" borderId="8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94" xfId="1" quotePrefix="1" applyFont="1" applyBorder="1" applyAlignment="1">
      <alignment horizontal="center" vertical="center" wrapText="1"/>
    </xf>
    <xf numFmtId="0" fontId="9" fillId="0" borderId="19" xfId="1" quotePrefix="1" applyFont="1" applyBorder="1" applyAlignment="1">
      <alignment horizontal="center" vertical="center" wrapText="1"/>
    </xf>
    <xf numFmtId="0" fontId="9" fillId="0" borderId="89" xfId="1" applyFont="1" applyBorder="1" applyAlignment="1">
      <alignment horizontal="center" vertical="center" wrapText="1"/>
    </xf>
    <xf numFmtId="0" fontId="9" fillId="0" borderId="90" xfId="1" applyFont="1" applyBorder="1" applyAlignment="1">
      <alignment horizontal="center" vertical="center" wrapText="1"/>
    </xf>
    <xf numFmtId="0" fontId="9" fillId="0" borderId="91" xfId="1" applyFont="1" applyBorder="1" applyAlignment="1">
      <alignment horizontal="center" vertical="center" wrapText="1"/>
    </xf>
    <xf numFmtId="0" fontId="9" fillId="0" borderId="84" xfId="1" applyFont="1" applyBorder="1" applyAlignment="1">
      <alignment horizontal="center" vertical="center" wrapText="1"/>
    </xf>
    <xf numFmtId="0" fontId="9" fillId="0" borderId="85" xfId="1" applyFont="1" applyBorder="1" applyAlignment="1">
      <alignment horizontal="center" vertical="center" wrapText="1"/>
    </xf>
    <xf numFmtId="0" fontId="9" fillId="0" borderId="86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238</xdr:row>
      <xdr:rowOff>38100</xdr:rowOff>
    </xdr:from>
    <xdr:to>
      <xdr:col>0</xdr:col>
      <xdr:colOff>0</xdr:colOff>
      <xdr:row>239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 rot="5400000">
          <a:off x="-100013" y="45115163"/>
          <a:ext cx="200025" cy="0"/>
        </a:xfrm>
        <a:prstGeom prst="rightBrace">
          <a:avLst>
            <a:gd name="adj1" fmla="val -2147483648"/>
            <a:gd name="adj2" fmla="val 50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243</xdr:row>
      <xdr:rowOff>38100</xdr:rowOff>
    </xdr:from>
    <xdr:to>
      <xdr:col>0</xdr:col>
      <xdr:colOff>0</xdr:colOff>
      <xdr:row>244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 rot="5400000">
          <a:off x="-100013" y="44734163"/>
          <a:ext cx="200025" cy="0"/>
        </a:xfrm>
        <a:prstGeom prst="rightBrace">
          <a:avLst>
            <a:gd name="adj1" fmla="val -2147483648"/>
            <a:gd name="adj2" fmla="val 50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238</xdr:row>
      <xdr:rowOff>38100</xdr:rowOff>
    </xdr:from>
    <xdr:to>
      <xdr:col>0</xdr:col>
      <xdr:colOff>0</xdr:colOff>
      <xdr:row>239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 rot="5400000">
          <a:off x="-100013" y="44734163"/>
          <a:ext cx="200025" cy="0"/>
        </a:xfrm>
        <a:prstGeom prst="rightBrace">
          <a:avLst>
            <a:gd name="adj1" fmla="val -2147483648"/>
            <a:gd name="adj2" fmla="val 50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238</xdr:row>
      <xdr:rowOff>38100</xdr:rowOff>
    </xdr:from>
    <xdr:to>
      <xdr:col>0</xdr:col>
      <xdr:colOff>0</xdr:colOff>
      <xdr:row>239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 rot="5400000">
          <a:off x="-100013" y="44648438"/>
          <a:ext cx="200025" cy="0"/>
        </a:xfrm>
        <a:prstGeom prst="rightBrace">
          <a:avLst>
            <a:gd name="adj1" fmla="val -2147483648"/>
            <a:gd name="adj2" fmla="val 50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238</xdr:row>
      <xdr:rowOff>38100</xdr:rowOff>
    </xdr:from>
    <xdr:to>
      <xdr:col>0</xdr:col>
      <xdr:colOff>0</xdr:colOff>
      <xdr:row>239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 rot="5400000">
          <a:off x="-100013" y="43257788"/>
          <a:ext cx="200025" cy="0"/>
        </a:xfrm>
        <a:prstGeom prst="rightBrace">
          <a:avLst>
            <a:gd name="adj1" fmla="val -2147483648"/>
            <a:gd name="adj2" fmla="val 50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238</xdr:row>
      <xdr:rowOff>38100</xdr:rowOff>
    </xdr:from>
    <xdr:to>
      <xdr:col>0</xdr:col>
      <xdr:colOff>0</xdr:colOff>
      <xdr:row>239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 rot="5400000">
          <a:off x="-100013" y="43257788"/>
          <a:ext cx="200025" cy="0"/>
        </a:xfrm>
        <a:prstGeom prst="rightBrace">
          <a:avLst>
            <a:gd name="adj1" fmla="val -2147483648"/>
            <a:gd name="adj2" fmla="val 50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235</xdr:row>
      <xdr:rowOff>38100</xdr:rowOff>
    </xdr:from>
    <xdr:to>
      <xdr:col>0</xdr:col>
      <xdr:colOff>0</xdr:colOff>
      <xdr:row>236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 rot="5400000">
          <a:off x="-100013" y="43553063"/>
          <a:ext cx="200025" cy="0"/>
        </a:xfrm>
        <a:prstGeom prst="rightBrace">
          <a:avLst>
            <a:gd name="adj1" fmla="val -2147483648"/>
            <a:gd name="adj2" fmla="val 50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103;/AppData/Local/Microsoft/Windows/Temporary%20Internet%20Files/Content.IE5/DOGCDQQ7/&#1087;&#1083;&#1072;&#1085;&#1086;&#1074;&#1099;&#1077;%20&#1085;&#1072;&#1095;&#1080;&#1089;&#1083;&#1077;&#1085;&#1080;&#1103;%20&#1085;&#1072;%20&#1080;&#1102;&#1085;&#1100;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o-3\&#1069;&#1082;&#1086;&#1085;&#1086;&#1084;&#1080;&#1095;&#1077;&#1089;&#1082;&#1080;&#1081;\&#1043;&#1077;&#1083;&#1100;&#1085;&#1072;&#1079;\&#1087;&#1083;&#1072;&#1085;&#1086;&#1074;&#1099;&#1077;%20&#1085;&#1072;&#1095;&#1080;&#1089;&#1083;&#1077;&#1085;&#1080;&#1103;%20&#1085;&#1072;%20&#1086;&#1082;&#1090;&#1103;&#1073;&#1088;&#1100;_2010%20&#1076;&#1083;&#1103;%20&#1041;&#1070;&#1044;&#1046;&#1045;&#1058;&#10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o-3\&#1101;&#1082;&#1086;&#1085;&#1086;&#1084;&#1080;&#1095;&#1077;&#1089;&#1082;&#1080;&#1081;\&#1041;&#1070;&#1044;&#1046;&#1045;&#1058;&#1099;\&#1041;&#1102;&#1076;&#1078;&#1077;&#1090;%202010\&#1043;&#1086;&#1076;&#1086;&#1074;&#1086;&#1081;\&#1044;&#1086;&#1093;&#1086;&#1076;&#1085;&#1072;&#1103;%20&#1095;&#1072;&#1089;&#1090;&#1100;%202010\&#1087;&#1083;&#1072;&#1085;&#1086;&#1074;&#1099;&#1077;%20&#1085;&#1072;&#1095;&#1080;&#1089;&#1083;&#1077;&#1085;&#1080;&#1103;%20&#1085;&#1072;%20&#1076;&#1077;&#1082;&#1072;&#1073;&#1088;&#1100;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МУП УК ЖКХ г.Ульяновска"/>
      <sheetName val="Фундамент СК ООО"/>
      <sheetName val="СУК"/>
      <sheetName val="Вымпел"/>
      <sheetName val="Ульяновский _2 ТСЖ"/>
      <sheetName val="ООО РЭС"/>
      <sheetName val="ГК РЭС"/>
      <sheetName val="ООО ЖСС"/>
      <sheetName val="УК ЖСС"/>
      <sheetName val="ООО ТехноГрад"/>
      <sheetName val="ДоМ ТСЖ"/>
      <sheetName val="ЖСК Электромаш"/>
      <sheetName val="ЗАО Авиастар-СП"/>
      <sheetName val="ООО ТК Святогор"/>
      <sheetName val="МегаЛинк"/>
      <sheetName val="Евро-Строй-Сервис"/>
      <sheetName val="СМУ"/>
      <sheetName val="ОАО ДК Заволж р-на"/>
      <sheetName val="ОАО ДК ЖД р-на"/>
      <sheetName val="ОАО ДК Засвияжье 1"/>
      <sheetName val="ОАО ДК Засвияжье 2"/>
      <sheetName val="ОАО ДК Лен р-на"/>
      <sheetName val="ЗАО ГК Аметист"/>
      <sheetName val="ТСЖ Народ контроль R"/>
      <sheetName val="Стасова"/>
      <sheetName val="МостОтряд №51"/>
      <sheetName val="Пр-т Гая"/>
      <sheetName val="Север-1"/>
      <sheetName val="Мегаполис ТСЖ"/>
      <sheetName val="ООО УК Инвестстрой М"/>
      <sheetName val="Альфаком-У"/>
      <sheetName val="ТСЖ Дачный"/>
      <sheetName val="Альфаком-У-ТСЖ З-2"/>
      <sheetName val="ООО ЦЭТ"/>
      <sheetName val="ТСЖ Форт"/>
      <sheetName val="ООО ЖЭК"/>
      <sheetName val="УК ЖКХ Симбирск"/>
      <sheetName val="ООО Наш Дом 010212"/>
      <sheetName val="ООО Истоки+"/>
      <sheetName val="ООО ЖКиСР УправДом"/>
      <sheetName val="ТСЖ Малахит"/>
      <sheetName val="ООО Технология"/>
      <sheetName val="ООО ЖКХ Лен-го района"/>
      <sheetName val="ООО УК КПД-1"/>
      <sheetName val="ООО КПД-2 Жилсервис"/>
      <sheetName val="ООО УК ЦЭТ"/>
      <sheetName val="ЖСК пер Рылеева-14"/>
      <sheetName val="ООО УК Симбирская"/>
      <sheetName val="ООО УО Партнер"/>
      <sheetName val="ТСЖ Володарец"/>
      <sheetName val="Сводная"/>
    </sheetNames>
    <sheetDataSet>
      <sheetData sheetId="0">
        <row r="11">
          <cell r="K11">
            <v>209.51999999999998</v>
          </cell>
          <cell r="L11">
            <v>6522.3575999999994</v>
          </cell>
          <cell r="M11">
            <v>6522.3575999999994</v>
          </cell>
        </row>
        <row r="67">
          <cell r="K67">
            <v>4401.04</v>
          </cell>
          <cell r="L67">
            <v>30804.128400000001</v>
          </cell>
          <cell r="M67">
            <v>30804.128400000001</v>
          </cell>
        </row>
        <row r="75">
          <cell r="K75">
            <v>0</v>
          </cell>
          <cell r="L75">
            <v>0</v>
          </cell>
          <cell r="M75">
            <v>0</v>
          </cell>
        </row>
        <row r="79">
          <cell r="K79">
            <v>57.26</v>
          </cell>
          <cell r="L79">
            <v>1195.5888</v>
          </cell>
          <cell r="M79">
            <v>1195.5888</v>
          </cell>
        </row>
        <row r="84">
          <cell r="K84">
            <v>0</v>
          </cell>
          <cell r="L84">
            <v>0</v>
          </cell>
          <cell r="M84">
            <v>0</v>
          </cell>
        </row>
        <row r="90">
          <cell r="K90">
            <v>0</v>
          </cell>
          <cell r="L90">
            <v>0</v>
          </cell>
          <cell r="M90">
            <v>0</v>
          </cell>
        </row>
        <row r="96">
          <cell r="K96">
            <v>28.1</v>
          </cell>
          <cell r="L96">
            <v>586.72799999999995</v>
          </cell>
          <cell r="M96">
            <v>586.72799999999995</v>
          </cell>
        </row>
        <row r="99">
          <cell r="K99">
            <v>0</v>
          </cell>
          <cell r="L99">
            <v>0</v>
          </cell>
          <cell r="M99">
            <v>0</v>
          </cell>
        </row>
        <row r="101">
          <cell r="K101">
            <v>0</v>
          </cell>
          <cell r="L101">
            <v>0</v>
          </cell>
          <cell r="M101">
            <v>0</v>
          </cell>
        </row>
        <row r="106">
          <cell r="K106">
            <v>0</v>
          </cell>
          <cell r="L106">
            <v>0</v>
          </cell>
          <cell r="M106">
            <v>0</v>
          </cell>
        </row>
        <row r="108">
          <cell r="K108">
            <v>53.56</v>
          </cell>
          <cell r="L108">
            <v>1132.7939999999999</v>
          </cell>
          <cell r="M108">
            <v>1132.7939999999999</v>
          </cell>
        </row>
        <row r="110">
          <cell r="K110">
            <v>0</v>
          </cell>
          <cell r="L110">
            <v>0</v>
          </cell>
          <cell r="M110">
            <v>0</v>
          </cell>
        </row>
        <row r="113">
          <cell r="K113">
            <v>1469.08</v>
          </cell>
          <cell r="L113">
            <v>34303.018000000004</v>
          </cell>
          <cell r="M113">
            <v>34303.018000000004</v>
          </cell>
        </row>
        <row r="118">
          <cell r="K118">
            <v>0</v>
          </cell>
          <cell r="L118">
            <v>0</v>
          </cell>
          <cell r="M118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</row>
        <row r="124">
          <cell r="K124">
            <v>0</v>
          </cell>
          <cell r="L124">
            <v>0</v>
          </cell>
          <cell r="M124">
            <v>0</v>
          </cell>
        </row>
        <row r="130">
          <cell r="K130">
            <v>0</v>
          </cell>
          <cell r="L130">
            <v>0</v>
          </cell>
          <cell r="M130">
            <v>0</v>
          </cell>
        </row>
        <row r="134">
          <cell r="K134">
            <v>0</v>
          </cell>
          <cell r="L134">
            <v>0</v>
          </cell>
          <cell r="M134">
            <v>0</v>
          </cell>
        </row>
        <row r="140">
          <cell r="K140">
            <v>0</v>
          </cell>
          <cell r="L140">
            <v>0</v>
          </cell>
          <cell r="M140">
            <v>0</v>
          </cell>
        </row>
        <row r="144">
          <cell r="K144">
            <v>0</v>
          </cell>
          <cell r="L144">
            <v>0</v>
          </cell>
          <cell r="M144">
            <v>0</v>
          </cell>
        </row>
        <row r="149">
          <cell r="K149">
            <v>0</v>
          </cell>
          <cell r="L149">
            <v>0</v>
          </cell>
          <cell r="M149">
            <v>0</v>
          </cell>
        </row>
        <row r="152">
          <cell r="K152">
            <v>0</v>
          </cell>
          <cell r="L152">
            <v>0</v>
          </cell>
          <cell r="M152">
            <v>0</v>
          </cell>
        </row>
        <row r="162">
          <cell r="K162">
            <v>0</v>
          </cell>
          <cell r="L162">
            <v>0</v>
          </cell>
          <cell r="M162">
            <v>0</v>
          </cell>
        </row>
        <row r="167">
          <cell r="K167">
            <v>0</v>
          </cell>
          <cell r="L167">
            <v>0</v>
          </cell>
          <cell r="M167">
            <v>0</v>
          </cell>
        </row>
        <row r="172">
          <cell r="K172">
            <v>0</v>
          </cell>
          <cell r="L172">
            <v>0</v>
          </cell>
          <cell r="M172">
            <v>0</v>
          </cell>
        </row>
        <row r="177">
          <cell r="K177">
            <v>0</v>
          </cell>
          <cell r="L177">
            <v>0</v>
          </cell>
          <cell r="M177">
            <v>0</v>
          </cell>
        </row>
        <row r="182">
          <cell r="K182">
            <v>0</v>
          </cell>
          <cell r="L182">
            <v>0</v>
          </cell>
          <cell r="M182">
            <v>0</v>
          </cell>
        </row>
        <row r="186">
          <cell r="K186">
            <v>0</v>
          </cell>
          <cell r="L186">
            <v>0</v>
          </cell>
          <cell r="M186">
            <v>0</v>
          </cell>
        </row>
        <row r="188">
          <cell r="K188">
            <v>0</v>
          </cell>
          <cell r="L188">
            <v>0</v>
          </cell>
          <cell r="M188">
            <v>0</v>
          </cell>
        </row>
        <row r="190">
          <cell r="K190">
            <v>0</v>
          </cell>
          <cell r="L190">
            <v>0</v>
          </cell>
          <cell r="M190">
            <v>0</v>
          </cell>
        </row>
        <row r="195">
          <cell r="K195">
            <v>0</v>
          </cell>
          <cell r="L195">
            <v>0</v>
          </cell>
          <cell r="M195">
            <v>0</v>
          </cell>
        </row>
        <row r="199">
          <cell r="K199">
            <v>0</v>
          </cell>
          <cell r="L199">
            <v>0</v>
          </cell>
          <cell r="M199">
            <v>0</v>
          </cell>
        </row>
        <row r="206">
          <cell r="K206">
            <v>0</v>
          </cell>
          <cell r="L206">
            <v>0</v>
          </cell>
          <cell r="M206">
            <v>0</v>
          </cell>
        </row>
        <row r="240">
          <cell r="K240">
            <v>75</v>
          </cell>
          <cell r="L240">
            <v>4304.47</v>
          </cell>
          <cell r="M240">
            <v>4304.47</v>
          </cell>
        </row>
        <row r="290">
          <cell r="K290">
            <v>138</v>
          </cell>
          <cell r="L290">
            <v>11394.099999999999</v>
          </cell>
          <cell r="M290">
            <v>11394.099999999999</v>
          </cell>
        </row>
        <row r="317">
          <cell r="K317">
            <v>336</v>
          </cell>
          <cell r="L317">
            <v>15673.570000000002</v>
          </cell>
          <cell r="M317">
            <v>15673.570000000002</v>
          </cell>
        </row>
        <row r="334">
          <cell r="K334">
            <v>106</v>
          </cell>
          <cell r="L334">
            <v>10943.55</v>
          </cell>
          <cell r="M334">
            <v>10943.55</v>
          </cell>
        </row>
        <row r="340">
          <cell r="K340">
            <v>0</v>
          </cell>
          <cell r="L340">
            <v>0</v>
          </cell>
          <cell r="M340">
            <v>0</v>
          </cell>
        </row>
        <row r="360">
          <cell r="K360">
            <v>4004.5299999999997</v>
          </cell>
          <cell r="L360">
            <v>7179.2706999999991</v>
          </cell>
          <cell r="M360">
            <v>7179.2706999999991</v>
          </cell>
        </row>
        <row r="363">
          <cell r="K363">
            <v>113.3</v>
          </cell>
          <cell r="L363">
            <v>215.26999999999998</v>
          </cell>
          <cell r="M363">
            <v>215.26999999999998</v>
          </cell>
        </row>
        <row r="372">
          <cell r="K372">
            <v>51.879999999999995</v>
          </cell>
          <cell r="L372">
            <v>64.520499999999998</v>
          </cell>
          <cell r="M372">
            <v>64.520499999999998</v>
          </cell>
        </row>
        <row r="388">
          <cell r="K388">
            <v>0</v>
          </cell>
          <cell r="L388">
            <v>0</v>
          </cell>
          <cell r="M388">
            <v>0</v>
          </cell>
        </row>
        <row r="403">
          <cell r="K403">
            <v>0</v>
          </cell>
          <cell r="L403">
            <v>0</v>
          </cell>
          <cell r="M403">
            <v>0</v>
          </cell>
        </row>
        <row r="447">
          <cell r="K447">
            <v>950.7</v>
          </cell>
          <cell r="L447">
            <v>321.62819999999999</v>
          </cell>
          <cell r="M447">
            <v>321.62819999999999</v>
          </cell>
        </row>
        <row r="457">
          <cell r="K457">
            <v>4401.04</v>
          </cell>
          <cell r="L457">
            <v>1251.298</v>
          </cell>
          <cell r="M457">
            <v>1251.298</v>
          </cell>
        </row>
        <row r="460">
          <cell r="M460">
            <v>117181.93300000003</v>
          </cell>
        </row>
        <row r="462">
          <cell r="L462">
            <v>117.18193300000003</v>
          </cell>
        </row>
      </sheetData>
      <sheetData sheetId="1">
        <row r="30">
          <cell r="K30">
            <v>230984.47</v>
          </cell>
          <cell r="L30">
            <v>3375973.1817000001</v>
          </cell>
          <cell r="M30">
            <v>3375973.1817000001</v>
          </cell>
        </row>
        <row r="39">
          <cell r="K39">
            <v>52.91</v>
          </cell>
          <cell r="L39">
            <v>1104.7607999999998</v>
          </cell>
          <cell r="M39">
            <v>1104.7607999999998</v>
          </cell>
        </row>
        <row r="45">
          <cell r="K45">
            <v>0</v>
          </cell>
          <cell r="L45">
            <v>0</v>
          </cell>
          <cell r="M45">
            <v>0</v>
          </cell>
        </row>
        <row r="53">
          <cell r="K53">
            <v>22253.460000000003</v>
          </cell>
          <cell r="L53">
            <v>464652.24480000004</v>
          </cell>
          <cell r="M53">
            <v>464652.24480000004</v>
          </cell>
        </row>
        <row r="59">
          <cell r="K59">
            <v>53548.79</v>
          </cell>
          <cell r="L59">
            <v>1916511.1941</v>
          </cell>
          <cell r="M59">
            <v>1916511.1941</v>
          </cell>
        </row>
        <row r="64">
          <cell r="K64">
            <v>155248.06</v>
          </cell>
          <cell r="L64">
            <v>0</v>
          </cell>
          <cell r="M64">
            <v>0</v>
          </cell>
        </row>
        <row r="94">
          <cell r="K94">
            <v>197972.16</v>
          </cell>
          <cell r="L94">
            <v>196589.32250000004</v>
          </cell>
          <cell r="M94">
            <v>196589.32250000004</v>
          </cell>
        </row>
        <row r="113">
          <cell r="K113">
            <v>2634</v>
          </cell>
          <cell r="L113">
            <v>947133.06239999994</v>
          </cell>
          <cell r="M113">
            <v>947133.06239999994</v>
          </cell>
        </row>
        <row r="136">
          <cell r="K136">
            <v>223474.78</v>
          </cell>
          <cell r="L136">
            <v>466113.99380000005</v>
          </cell>
          <cell r="M136">
            <v>466113.99380000005</v>
          </cell>
        </row>
        <row r="175">
          <cell r="K175">
            <v>2514</v>
          </cell>
          <cell r="L175">
            <v>336895.32</v>
          </cell>
          <cell r="M175">
            <v>336895.32</v>
          </cell>
        </row>
        <row r="219">
          <cell r="K219">
            <v>2514</v>
          </cell>
          <cell r="L219">
            <v>226104.42</v>
          </cell>
          <cell r="M219">
            <v>226104.42</v>
          </cell>
        </row>
        <row r="243">
          <cell r="K243">
            <v>1222</v>
          </cell>
          <cell r="L243">
            <v>54708.94</v>
          </cell>
          <cell r="M243">
            <v>54708.94</v>
          </cell>
        </row>
        <row r="260">
          <cell r="K260">
            <v>231049.02000000002</v>
          </cell>
          <cell r="L260">
            <v>339642.05940000003</v>
          </cell>
          <cell r="M260">
            <v>339642.05940000003</v>
          </cell>
        </row>
        <row r="310">
          <cell r="K310">
            <v>2323</v>
          </cell>
          <cell r="L310">
            <v>60911.8</v>
          </cell>
          <cell r="M310">
            <v>60911.8</v>
          </cell>
        </row>
        <row r="324">
          <cell r="K324">
            <v>373</v>
          </cell>
          <cell r="L324">
            <v>18650</v>
          </cell>
          <cell r="M324">
            <v>18650</v>
          </cell>
        </row>
        <row r="418">
          <cell r="K418">
            <v>30575.24</v>
          </cell>
          <cell r="L418">
            <v>19526.034200000002</v>
          </cell>
          <cell r="M418">
            <v>19526.034200000002</v>
          </cell>
        </row>
        <row r="428">
          <cell r="K428">
            <v>230984.47</v>
          </cell>
          <cell r="L428">
            <v>166308.81839999999</v>
          </cell>
          <cell r="M428">
            <v>166308.81839999999</v>
          </cell>
        </row>
        <row r="432">
          <cell r="L432">
            <v>5702.2490864000001</v>
          </cell>
          <cell r="M432">
            <v>5702.2490864000001</v>
          </cell>
        </row>
      </sheetData>
      <sheetData sheetId="2">
        <row r="29">
          <cell r="K29">
            <v>9703.69</v>
          </cell>
          <cell r="L29">
            <v>160216.40600000002</v>
          </cell>
          <cell r="M29">
            <v>160216.40600000002</v>
          </cell>
        </row>
        <row r="36">
          <cell r="K36">
            <v>0</v>
          </cell>
          <cell r="L36">
            <v>0</v>
          </cell>
          <cell r="M36">
            <v>0</v>
          </cell>
        </row>
        <row r="42">
          <cell r="K42">
            <v>0</v>
          </cell>
          <cell r="L42">
            <v>0</v>
          </cell>
          <cell r="M42">
            <v>0</v>
          </cell>
        </row>
        <row r="45">
          <cell r="K45">
            <v>9703.69</v>
          </cell>
          <cell r="L45">
            <v>339241.0024</v>
          </cell>
          <cell r="M45">
            <v>339241.0024</v>
          </cell>
        </row>
        <row r="56">
          <cell r="K56">
            <v>0</v>
          </cell>
          <cell r="L56">
            <v>0</v>
          </cell>
          <cell r="M56">
            <v>0</v>
          </cell>
        </row>
        <row r="61">
          <cell r="K61">
            <v>0</v>
          </cell>
          <cell r="L61">
            <v>0</v>
          </cell>
          <cell r="M61">
            <v>0</v>
          </cell>
        </row>
        <row r="79">
          <cell r="K79">
            <v>0</v>
          </cell>
          <cell r="L79">
            <v>0</v>
          </cell>
          <cell r="M79">
            <v>0</v>
          </cell>
        </row>
        <row r="97">
          <cell r="K97">
            <v>0</v>
          </cell>
          <cell r="L97">
            <v>0</v>
          </cell>
          <cell r="M97">
            <v>0</v>
          </cell>
        </row>
        <row r="103">
          <cell r="K103">
            <v>0</v>
          </cell>
          <cell r="L103">
            <v>0</v>
          </cell>
        </row>
        <row r="109">
          <cell r="K109">
            <v>0</v>
          </cell>
          <cell r="L109">
            <v>0</v>
          </cell>
          <cell r="M109">
            <v>0</v>
          </cell>
        </row>
        <row r="119">
          <cell r="K119">
            <v>0</v>
          </cell>
          <cell r="L119">
            <v>0</v>
          </cell>
          <cell r="M119">
            <v>0</v>
          </cell>
        </row>
        <row r="127">
          <cell r="K127">
            <v>0</v>
          </cell>
          <cell r="L127">
            <v>0</v>
          </cell>
          <cell r="M127">
            <v>0</v>
          </cell>
        </row>
        <row r="132">
          <cell r="K132">
            <v>0</v>
          </cell>
          <cell r="L132">
            <v>0</v>
          </cell>
          <cell r="M132">
            <v>0</v>
          </cell>
        </row>
        <row r="172">
          <cell r="K172">
            <v>0</v>
          </cell>
          <cell r="L172">
            <v>0</v>
          </cell>
          <cell r="M172">
            <v>0</v>
          </cell>
        </row>
        <row r="182">
          <cell r="K182">
            <v>0</v>
          </cell>
          <cell r="L182">
            <v>0</v>
          </cell>
          <cell r="M182">
            <v>0</v>
          </cell>
        </row>
        <row r="186">
          <cell r="L186">
            <v>160.21640600000001</v>
          </cell>
          <cell r="M186">
            <v>160.21640600000001</v>
          </cell>
        </row>
      </sheetData>
      <sheetData sheetId="3">
        <row r="29">
          <cell r="K29">
            <v>43925.54</v>
          </cell>
          <cell r="L29">
            <v>792855.99700000009</v>
          </cell>
          <cell r="M29">
            <v>792855.99700000009</v>
          </cell>
        </row>
        <row r="36">
          <cell r="K36">
            <v>38173.019999999997</v>
          </cell>
          <cell r="L36">
            <v>45807.623999999996</v>
          </cell>
          <cell r="M36">
            <v>45807.623999999996</v>
          </cell>
        </row>
        <row r="42">
          <cell r="K42">
            <v>12697.97</v>
          </cell>
          <cell r="L42">
            <v>240626.53149999998</v>
          </cell>
          <cell r="M42">
            <v>240626.53149999998</v>
          </cell>
        </row>
        <row r="45">
          <cell r="K45">
            <v>31227.57</v>
          </cell>
          <cell r="L45">
            <v>1014583.7493</v>
          </cell>
          <cell r="M45">
            <v>1014583.7493</v>
          </cell>
        </row>
        <row r="56">
          <cell r="K56">
            <v>398</v>
          </cell>
          <cell r="L56">
            <v>134137.94</v>
          </cell>
          <cell r="M56">
            <v>134137.94</v>
          </cell>
        </row>
        <row r="79">
          <cell r="K79">
            <v>400</v>
          </cell>
          <cell r="L79">
            <v>53784</v>
          </cell>
          <cell r="M79">
            <v>53784</v>
          </cell>
        </row>
        <row r="97">
          <cell r="K97">
            <v>400</v>
          </cell>
          <cell r="L97">
            <v>36100</v>
          </cell>
          <cell r="M97">
            <v>36100</v>
          </cell>
        </row>
        <row r="115">
          <cell r="K115">
            <v>0</v>
          </cell>
          <cell r="L115">
            <v>0</v>
          </cell>
          <cell r="M115">
            <v>0</v>
          </cell>
        </row>
        <row r="127">
          <cell r="K127">
            <v>147</v>
          </cell>
          <cell r="L127">
            <v>5292</v>
          </cell>
          <cell r="M127">
            <v>5292</v>
          </cell>
        </row>
        <row r="132">
          <cell r="K132">
            <v>23</v>
          </cell>
          <cell r="L132">
            <v>1150</v>
          </cell>
          <cell r="M132">
            <v>1150</v>
          </cell>
        </row>
        <row r="172">
          <cell r="K172">
            <v>4593.9799999999996</v>
          </cell>
          <cell r="L172">
            <v>2940.1471999999999</v>
          </cell>
          <cell r="M172">
            <v>2940.1471999999999</v>
          </cell>
        </row>
        <row r="182">
          <cell r="K182">
            <v>0</v>
          </cell>
          <cell r="L182">
            <v>0</v>
          </cell>
          <cell r="M182">
            <v>0</v>
          </cell>
        </row>
        <row r="186">
          <cell r="L186">
            <v>1312.6942397</v>
          </cell>
          <cell r="M186">
            <v>1312.6942397</v>
          </cell>
        </row>
      </sheetData>
      <sheetData sheetId="4">
        <row r="29">
          <cell r="K29">
            <v>42779.98</v>
          </cell>
          <cell r="L29">
            <v>761055.84420000005</v>
          </cell>
          <cell r="M29">
            <v>761055.84420000005</v>
          </cell>
        </row>
        <row r="35">
          <cell r="K35">
            <v>0</v>
          </cell>
          <cell r="L35">
            <v>0</v>
          </cell>
          <cell r="M35">
            <v>0</v>
          </cell>
        </row>
        <row r="41">
          <cell r="K41">
            <v>0</v>
          </cell>
          <cell r="L41">
            <v>0</v>
          </cell>
          <cell r="M41">
            <v>0</v>
          </cell>
        </row>
        <row r="44">
          <cell r="K44">
            <v>42779.98</v>
          </cell>
          <cell r="L44">
            <v>1389921.5502000002</v>
          </cell>
          <cell r="M44">
            <v>1389921.5502000002</v>
          </cell>
        </row>
        <row r="55">
          <cell r="K55">
            <v>238</v>
          </cell>
          <cell r="L55">
            <v>85808.52</v>
          </cell>
          <cell r="M55">
            <v>85808.52</v>
          </cell>
        </row>
        <row r="78">
          <cell r="K78">
            <v>234</v>
          </cell>
          <cell r="L78">
            <v>31465.98</v>
          </cell>
          <cell r="M78">
            <v>31465.98</v>
          </cell>
        </row>
        <row r="96">
          <cell r="K96">
            <v>234</v>
          </cell>
          <cell r="L96">
            <v>21118.5</v>
          </cell>
          <cell r="M96">
            <v>21118.5</v>
          </cell>
        </row>
        <row r="102">
          <cell r="K102">
            <v>0</v>
          </cell>
          <cell r="L102">
            <v>0</v>
          </cell>
        </row>
        <row r="126">
          <cell r="K126">
            <v>0</v>
          </cell>
          <cell r="L126">
            <v>0</v>
          </cell>
          <cell r="M126">
            <v>0</v>
          </cell>
        </row>
        <row r="131">
          <cell r="K131">
            <v>12</v>
          </cell>
          <cell r="L131">
            <v>600</v>
          </cell>
          <cell r="M131">
            <v>600</v>
          </cell>
        </row>
        <row r="171">
          <cell r="K171">
            <v>4551.28</v>
          </cell>
          <cell r="L171">
            <v>3686.5367999999999</v>
          </cell>
          <cell r="M171">
            <v>3686.5367999999999</v>
          </cell>
        </row>
        <row r="181">
          <cell r="K181">
            <v>0</v>
          </cell>
          <cell r="L181">
            <v>0</v>
          </cell>
          <cell r="M181">
            <v>0</v>
          </cell>
        </row>
        <row r="185">
          <cell r="L185">
            <v>903.73538099999985</v>
          </cell>
          <cell r="M185">
            <v>903.73538099999985</v>
          </cell>
        </row>
      </sheetData>
      <sheetData sheetId="5">
        <row r="61">
          <cell r="K61">
            <v>422722.02</v>
          </cell>
          <cell r="L61">
            <v>7283212.4631999992</v>
          </cell>
          <cell r="M61">
            <v>7283212.4631999992</v>
          </cell>
        </row>
        <row r="65">
          <cell r="K65">
            <v>3</v>
          </cell>
          <cell r="L65">
            <v>15</v>
          </cell>
          <cell r="M65">
            <v>15</v>
          </cell>
        </row>
        <row r="67">
          <cell r="K67">
            <v>4</v>
          </cell>
          <cell r="L67">
            <v>30</v>
          </cell>
          <cell r="M67">
            <v>30</v>
          </cell>
        </row>
        <row r="69">
          <cell r="K69">
            <v>0</v>
          </cell>
          <cell r="L69">
            <v>0</v>
          </cell>
          <cell r="M69">
            <v>0</v>
          </cell>
        </row>
        <row r="73">
          <cell r="K73">
            <v>4</v>
          </cell>
          <cell r="L73">
            <v>30</v>
          </cell>
          <cell r="M73">
            <v>30</v>
          </cell>
        </row>
        <row r="75">
          <cell r="K75">
            <v>5433</v>
          </cell>
          <cell r="L75">
            <v>81495</v>
          </cell>
          <cell r="M75">
            <v>81495</v>
          </cell>
        </row>
        <row r="77">
          <cell r="K77">
            <v>449</v>
          </cell>
          <cell r="L77">
            <v>8980</v>
          </cell>
          <cell r="M77">
            <v>8980</v>
          </cell>
        </row>
        <row r="89">
          <cell r="K89">
            <v>0</v>
          </cell>
          <cell r="L89">
            <v>0</v>
          </cell>
          <cell r="M89">
            <v>0</v>
          </cell>
        </row>
        <row r="95">
          <cell r="K95">
            <v>37.4</v>
          </cell>
          <cell r="L95">
            <v>708.7299999999999</v>
          </cell>
          <cell r="M95">
            <v>708.7299999999999</v>
          </cell>
        </row>
        <row r="98">
          <cell r="K98">
            <v>0</v>
          </cell>
          <cell r="L98">
            <v>0</v>
          </cell>
          <cell r="M98">
            <v>0</v>
          </cell>
        </row>
        <row r="103">
          <cell r="K103">
            <v>356198.55</v>
          </cell>
          <cell r="L103">
            <v>6749962.5225</v>
          </cell>
          <cell r="M103">
            <v>6749962.5225</v>
          </cell>
        </row>
        <row r="106">
          <cell r="K106">
            <v>66521.17</v>
          </cell>
          <cell r="L106">
            <v>2161272.8133</v>
          </cell>
          <cell r="M106">
            <v>2161272.8133</v>
          </cell>
        </row>
        <row r="118">
          <cell r="K118">
            <v>4322</v>
          </cell>
          <cell r="L118">
            <v>1454324.9200000002</v>
          </cell>
          <cell r="M118">
            <v>1454324.9200000002</v>
          </cell>
        </row>
        <row r="123">
          <cell r="K123">
            <v>68928.87</v>
          </cell>
          <cell r="L123">
            <v>158536.40099999998</v>
          </cell>
          <cell r="M123">
            <v>158536.40099999998</v>
          </cell>
        </row>
        <row r="125">
          <cell r="K125">
            <v>352422.53</v>
          </cell>
          <cell r="L125">
            <v>881056.32500000007</v>
          </cell>
          <cell r="M125">
            <v>881056.32500000007</v>
          </cell>
        </row>
        <row r="143">
          <cell r="K143">
            <v>4172</v>
          </cell>
          <cell r="L143">
            <v>560057.9</v>
          </cell>
          <cell r="M143">
            <v>560057.9</v>
          </cell>
        </row>
        <row r="161">
          <cell r="K161">
            <v>4156</v>
          </cell>
          <cell r="L161">
            <v>374437.48</v>
          </cell>
          <cell r="M161">
            <v>374437.48</v>
          </cell>
        </row>
        <row r="196">
          <cell r="K196">
            <v>1351</v>
          </cell>
          <cell r="L196">
            <v>48636</v>
          </cell>
          <cell r="M196">
            <v>48636</v>
          </cell>
        </row>
        <row r="201">
          <cell r="K201">
            <v>456</v>
          </cell>
          <cell r="L201">
            <v>22800</v>
          </cell>
          <cell r="M201">
            <v>22800</v>
          </cell>
        </row>
        <row r="241">
          <cell r="K241">
            <v>48910.92</v>
          </cell>
          <cell r="L241">
            <v>31367.356000000003</v>
          </cell>
          <cell r="M241">
            <v>31367.356000000003</v>
          </cell>
        </row>
        <row r="251">
          <cell r="K251">
            <v>422722.02000000008</v>
          </cell>
          <cell r="L251">
            <v>253633.21200000003</v>
          </cell>
          <cell r="M251">
            <v>253633.21200000003</v>
          </cell>
        </row>
        <row r="255">
          <cell r="L255">
            <v>16616.027371699998</v>
          </cell>
          <cell r="M255">
            <v>16616.027371699998</v>
          </cell>
        </row>
      </sheetData>
      <sheetData sheetId="6">
        <row r="29">
          <cell r="K29">
            <v>49756.990000000005</v>
          </cell>
          <cell r="L29">
            <v>897359.84370000008</v>
          </cell>
          <cell r="M29">
            <v>897359.84370000008</v>
          </cell>
        </row>
        <row r="33">
          <cell r="K33">
            <v>1559</v>
          </cell>
          <cell r="L33">
            <v>23385</v>
          </cell>
          <cell r="M33">
            <v>23385</v>
          </cell>
        </row>
        <row r="44">
          <cell r="K44">
            <v>0</v>
          </cell>
          <cell r="L44">
            <v>0</v>
          </cell>
          <cell r="M44">
            <v>0</v>
          </cell>
        </row>
        <row r="50">
          <cell r="K50">
            <v>27.51</v>
          </cell>
          <cell r="L50">
            <v>893.79990000000009</v>
          </cell>
          <cell r="M50">
            <v>893.79990000000009</v>
          </cell>
        </row>
        <row r="54">
          <cell r="K54">
            <v>44377.32</v>
          </cell>
          <cell r="L54">
            <v>840950.21399999992</v>
          </cell>
          <cell r="M54">
            <v>840950.21399999992</v>
          </cell>
        </row>
        <row r="57">
          <cell r="K57">
            <v>5352.16</v>
          </cell>
          <cell r="L57">
            <v>173891.6784</v>
          </cell>
          <cell r="M57">
            <v>173891.6784</v>
          </cell>
        </row>
        <row r="68">
          <cell r="K68">
            <v>973</v>
          </cell>
          <cell r="L68">
            <v>327939.92000000004</v>
          </cell>
          <cell r="M68">
            <v>327939.92000000004</v>
          </cell>
        </row>
        <row r="73">
          <cell r="K73">
            <v>49756.99</v>
          </cell>
          <cell r="L73">
            <v>124392.47499999999</v>
          </cell>
          <cell r="M73">
            <v>124392.47499999999</v>
          </cell>
        </row>
        <row r="91">
          <cell r="K91">
            <v>743</v>
          </cell>
          <cell r="L91">
            <v>99911.21</v>
          </cell>
          <cell r="M91">
            <v>99911.21</v>
          </cell>
        </row>
        <row r="109">
          <cell r="K109">
            <v>736</v>
          </cell>
          <cell r="L109">
            <v>66424</v>
          </cell>
          <cell r="M109">
            <v>66424</v>
          </cell>
        </row>
        <row r="131">
          <cell r="K131">
            <v>49756.99</v>
          </cell>
          <cell r="L131">
            <v>80606.323799999998</v>
          </cell>
          <cell r="M131">
            <v>80606.323799999998</v>
          </cell>
        </row>
        <row r="143">
          <cell r="K143">
            <v>21</v>
          </cell>
          <cell r="L143">
            <v>756</v>
          </cell>
          <cell r="M143">
            <v>756</v>
          </cell>
        </row>
        <row r="148">
          <cell r="K148">
            <v>1</v>
          </cell>
          <cell r="L148">
            <v>50</v>
          </cell>
          <cell r="M148">
            <v>50</v>
          </cell>
        </row>
        <row r="188">
          <cell r="K188">
            <v>5525.62</v>
          </cell>
          <cell r="L188">
            <v>3536.3968</v>
          </cell>
          <cell r="M188">
            <v>3536.3968</v>
          </cell>
        </row>
        <row r="198">
          <cell r="K198">
            <v>49756.99</v>
          </cell>
          <cell r="L198">
            <v>33337.183300000004</v>
          </cell>
          <cell r="M198">
            <v>33337.183300000004</v>
          </cell>
        </row>
        <row r="202">
          <cell r="L202">
            <v>2260.3125845</v>
          </cell>
          <cell r="M202">
            <v>2260.3125845</v>
          </cell>
        </row>
      </sheetData>
      <sheetData sheetId="7">
        <row r="33">
          <cell r="K33">
            <v>415370.41</v>
          </cell>
          <cell r="L33">
            <v>7078386.6165999984</v>
          </cell>
          <cell r="M33">
            <v>7078386.6165999984</v>
          </cell>
        </row>
        <row r="36">
          <cell r="K36">
            <v>0</v>
          </cell>
          <cell r="L36">
            <v>0</v>
          </cell>
          <cell r="M36">
            <v>0</v>
          </cell>
        </row>
        <row r="37">
          <cell r="K37">
            <v>280372.06</v>
          </cell>
          <cell r="L37">
            <v>84111.618000000002</v>
          </cell>
          <cell r="M37">
            <v>84111.618000000002</v>
          </cell>
        </row>
        <row r="75">
          <cell r="K75">
            <v>15827.720000000001</v>
          </cell>
          <cell r="L75">
            <v>47483.16</v>
          </cell>
          <cell r="M75">
            <v>47483.16</v>
          </cell>
        </row>
        <row r="81">
          <cell r="K81">
            <v>43.15</v>
          </cell>
          <cell r="L81">
            <v>817.6925</v>
          </cell>
          <cell r="M81">
            <v>817.6925</v>
          </cell>
        </row>
        <row r="84">
          <cell r="K84">
            <v>0</v>
          </cell>
          <cell r="L84">
            <v>0</v>
          </cell>
          <cell r="M84">
            <v>0</v>
          </cell>
        </row>
        <row r="89">
          <cell r="K89">
            <v>129453.32</v>
          </cell>
          <cell r="L89">
            <v>2453140.4139999999</v>
          </cell>
          <cell r="M89">
            <v>2453140.4139999999</v>
          </cell>
        </row>
        <row r="92">
          <cell r="K92">
            <v>285905.31</v>
          </cell>
          <cell r="L92">
            <v>9289063.5219000001</v>
          </cell>
          <cell r="M92">
            <v>9289063.5219000001</v>
          </cell>
        </row>
        <row r="104">
          <cell r="K104">
            <v>4</v>
          </cell>
          <cell r="L104">
            <v>1442.16</v>
          </cell>
          <cell r="M104">
            <v>1442.16</v>
          </cell>
        </row>
        <row r="110">
          <cell r="K110">
            <v>3008</v>
          </cell>
          <cell r="L110">
            <v>1079099.32</v>
          </cell>
          <cell r="M110">
            <v>1079099.32</v>
          </cell>
        </row>
        <row r="116">
          <cell r="K116">
            <v>415349.08</v>
          </cell>
          <cell r="L116">
            <v>1142209.97</v>
          </cell>
          <cell r="M116">
            <v>1142209.97</v>
          </cell>
        </row>
        <row r="121">
          <cell r="K121">
            <v>52.7</v>
          </cell>
          <cell r="L121">
            <v>144.92500000000001</v>
          </cell>
          <cell r="M121">
            <v>144.92500000000001</v>
          </cell>
        </row>
        <row r="128">
          <cell r="K128">
            <v>2817</v>
          </cell>
          <cell r="L128">
            <v>378801.99</v>
          </cell>
          <cell r="M128">
            <v>378801.99</v>
          </cell>
        </row>
        <row r="136">
          <cell r="K136">
            <v>2817</v>
          </cell>
          <cell r="L136">
            <v>254234.25</v>
          </cell>
          <cell r="M136">
            <v>254234.25</v>
          </cell>
        </row>
        <row r="154">
          <cell r="K154">
            <v>399321.3</v>
          </cell>
          <cell r="L154">
            <v>666866.571</v>
          </cell>
          <cell r="M154">
            <v>666866.571</v>
          </cell>
        </row>
        <row r="157">
          <cell r="K157">
            <v>16080.48</v>
          </cell>
          <cell r="L157">
            <v>26854.401599999997</v>
          </cell>
          <cell r="M157">
            <v>26854.401599999997</v>
          </cell>
        </row>
        <row r="170">
          <cell r="K170">
            <v>1069</v>
          </cell>
          <cell r="L170">
            <v>38484</v>
          </cell>
          <cell r="M170">
            <v>38484</v>
          </cell>
        </row>
        <row r="175">
          <cell r="K175">
            <v>232</v>
          </cell>
          <cell r="L175">
            <v>11600</v>
          </cell>
          <cell r="M175">
            <v>11600</v>
          </cell>
        </row>
        <row r="215">
          <cell r="K215">
            <v>49287.64</v>
          </cell>
          <cell r="L215">
            <v>31104.7752</v>
          </cell>
          <cell r="M215">
            <v>31104.7752</v>
          </cell>
        </row>
        <row r="224">
          <cell r="L224">
            <v>279849.55599999998</v>
          </cell>
          <cell r="M224">
            <v>279849.55599999998</v>
          </cell>
        </row>
        <row r="229">
          <cell r="L229">
            <v>11458.705996299996</v>
          </cell>
          <cell r="M229">
            <v>11458.705996299996</v>
          </cell>
        </row>
      </sheetData>
      <sheetData sheetId="8">
        <row r="51">
          <cell r="K51">
            <v>1100117.53</v>
          </cell>
          <cell r="L51">
            <v>18739661.922800001</v>
          </cell>
          <cell r="M51">
            <v>18739661.922800001</v>
          </cell>
        </row>
        <row r="56">
          <cell r="K56">
            <v>5631.45</v>
          </cell>
          <cell r="L56">
            <v>1689.4349999999999</v>
          </cell>
          <cell r="M56">
            <v>1689.4349999999999</v>
          </cell>
        </row>
        <row r="62">
          <cell r="K62">
            <v>865796.99000000011</v>
          </cell>
          <cell r="L62">
            <v>261290.53900000002</v>
          </cell>
          <cell r="M62">
            <v>261290.53900000002</v>
          </cell>
        </row>
        <row r="100">
          <cell r="K100">
            <v>73150.260000000009</v>
          </cell>
          <cell r="L100">
            <v>219450.78000000003</v>
          </cell>
          <cell r="M100">
            <v>219450.78000000003</v>
          </cell>
        </row>
        <row r="106">
          <cell r="K106">
            <v>10.52</v>
          </cell>
          <cell r="L106">
            <v>155.06479999999999</v>
          </cell>
          <cell r="M106">
            <v>155.06479999999999</v>
          </cell>
        </row>
        <row r="108">
          <cell r="K108">
            <v>197.51999999999998</v>
          </cell>
          <cell r="L108">
            <v>3743.0039999999995</v>
          </cell>
          <cell r="M108">
            <v>3743.0039999999995</v>
          </cell>
        </row>
        <row r="111">
          <cell r="K111">
            <v>37.4</v>
          </cell>
          <cell r="L111">
            <v>1215.126</v>
          </cell>
          <cell r="M111">
            <v>1215.126</v>
          </cell>
        </row>
        <row r="116">
          <cell r="K116">
            <v>513369.75</v>
          </cell>
          <cell r="L116">
            <v>9728356.7624999993</v>
          </cell>
          <cell r="M116">
            <v>9728356.7624999993</v>
          </cell>
        </row>
        <row r="119">
          <cell r="K119">
            <v>586732.97</v>
          </cell>
          <cell r="L119">
            <v>19062954.195300002</v>
          </cell>
          <cell r="M119">
            <v>19062954.195300002</v>
          </cell>
        </row>
        <row r="131">
          <cell r="K131">
            <v>10</v>
          </cell>
          <cell r="L131">
            <v>3605.4</v>
          </cell>
          <cell r="M131">
            <v>3605.4</v>
          </cell>
        </row>
        <row r="139">
          <cell r="K139">
            <v>8667</v>
          </cell>
          <cell r="L139">
            <v>3108688.79</v>
          </cell>
          <cell r="M139">
            <v>3108688.79</v>
          </cell>
        </row>
        <row r="148">
          <cell r="K148">
            <v>1078210.27</v>
          </cell>
          <cell r="L148">
            <v>2958409.6148000001</v>
          </cell>
          <cell r="M148">
            <v>2958409.6148000001</v>
          </cell>
        </row>
        <row r="156">
          <cell r="K156">
            <v>7999</v>
          </cell>
          <cell r="L156">
            <v>1072937.07</v>
          </cell>
          <cell r="M156">
            <v>1072937.07</v>
          </cell>
        </row>
        <row r="164">
          <cell r="K164">
            <v>7999</v>
          </cell>
          <cell r="L164">
            <v>720096.07</v>
          </cell>
          <cell r="M164">
            <v>720096.07</v>
          </cell>
        </row>
        <row r="170">
          <cell r="K170">
            <v>0</v>
          </cell>
          <cell r="L170">
            <v>0</v>
          </cell>
        </row>
        <row r="176">
          <cell r="K176">
            <v>0</v>
          </cell>
          <cell r="L176">
            <v>0</v>
          </cell>
          <cell r="M176">
            <v>0</v>
          </cell>
        </row>
        <row r="182">
          <cell r="K182">
            <v>35674.94</v>
          </cell>
          <cell r="L182">
            <v>51728.663</v>
          </cell>
          <cell r="M182">
            <v>51728.663</v>
          </cell>
        </row>
        <row r="200">
          <cell r="K200">
            <v>2907</v>
          </cell>
          <cell r="L200">
            <v>104652</v>
          </cell>
          <cell r="M200">
            <v>104652</v>
          </cell>
        </row>
        <row r="205">
          <cell r="K205">
            <v>859</v>
          </cell>
          <cell r="L205">
            <v>42950</v>
          </cell>
          <cell r="M205">
            <v>42950</v>
          </cell>
        </row>
        <row r="245">
          <cell r="K245">
            <v>122268.01</v>
          </cell>
          <cell r="L245">
            <v>78064.26479999999</v>
          </cell>
          <cell r="M245">
            <v>78064.26479999999</v>
          </cell>
        </row>
        <row r="255">
          <cell r="K255">
            <v>1100117.53</v>
          </cell>
          <cell r="L255">
            <v>767783.60639999993</v>
          </cell>
          <cell r="M255">
            <v>767783.60639999993</v>
          </cell>
        </row>
        <row r="259">
          <cell r="L259">
            <v>34085.341102899998</v>
          </cell>
          <cell r="M259">
            <v>34085.341102899998</v>
          </cell>
        </row>
      </sheetData>
      <sheetData sheetId="9">
        <row r="29">
          <cell r="K29">
            <v>12374.74</v>
          </cell>
          <cell r="L29">
            <v>199852.05099999998</v>
          </cell>
          <cell r="M29">
            <v>199852.05099999998</v>
          </cell>
        </row>
        <row r="35">
          <cell r="K35">
            <v>0</v>
          </cell>
          <cell r="L35">
            <v>0</v>
          </cell>
          <cell r="M35">
            <v>0</v>
          </cell>
        </row>
        <row r="41">
          <cell r="K41">
            <v>3426.59</v>
          </cell>
          <cell r="L41">
            <v>64933.880499999999</v>
          </cell>
          <cell r="M41">
            <v>64933.880499999999</v>
          </cell>
        </row>
        <row r="44">
          <cell r="K44">
            <v>8948.15</v>
          </cell>
          <cell r="L44">
            <v>290725.39350000001</v>
          </cell>
          <cell r="M44">
            <v>290725.39350000001</v>
          </cell>
        </row>
        <row r="55">
          <cell r="K55">
            <v>55</v>
          </cell>
          <cell r="L55">
            <v>18536.649999999998</v>
          </cell>
          <cell r="M55">
            <v>18536.649999999998</v>
          </cell>
        </row>
        <row r="78">
          <cell r="K78">
            <v>50</v>
          </cell>
          <cell r="L78">
            <v>6190</v>
          </cell>
          <cell r="M78">
            <v>6190</v>
          </cell>
        </row>
        <row r="96">
          <cell r="K96">
            <v>50</v>
          </cell>
          <cell r="L96">
            <v>4223.5</v>
          </cell>
          <cell r="M96">
            <v>4223.5</v>
          </cell>
        </row>
        <row r="130">
          <cell r="K130">
            <v>48</v>
          </cell>
          <cell r="L130">
            <v>1728</v>
          </cell>
          <cell r="M130">
            <v>1728</v>
          </cell>
        </row>
        <row r="135">
          <cell r="K135">
            <v>11</v>
          </cell>
          <cell r="L135">
            <v>550</v>
          </cell>
          <cell r="M135">
            <v>550</v>
          </cell>
        </row>
        <row r="175">
          <cell r="K175">
            <v>1276.33</v>
          </cell>
          <cell r="L175">
            <v>816.85119999999995</v>
          </cell>
          <cell r="M175">
            <v>816.85119999999995</v>
          </cell>
        </row>
        <row r="185">
          <cell r="K185">
            <v>0</v>
          </cell>
          <cell r="L185">
            <v>0</v>
          </cell>
          <cell r="M185">
            <v>0</v>
          </cell>
        </row>
        <row r="189">
          <cell r="L189">
            <v>296.83093270000006</v>
          </cell>
          <cell r="M189">
            <v>296.83093270000006</v>
          </cell>
        </row>
      </sheetData>
      <sheetData sheetId="10">
        <row r="29">
          <cell r="K29">
            <v>15410.69</v>
          </cell>
          <cell r="L29">
            <v>260594.76790000001</v>
          </cell>
          <cell r="M29">
            <v>260594.76790000001</v>
          </cell>
        </row>
        <row r="35">
          <cell r="K35">
            <v>13069.11</v>
          </cell>
          <cell r="L35">
            <v>26138.22</v>
          </cell>
          <cell r="M35">
            <v>26138.22</v>
          </cell>
        </row>
        <row r="41">
          <cell r="K41">
            <v>89.39</v>
          </cell>
          <cell r="L41">
            <v>1693.9404999999999</v>
          </cell>
          <cell r="M41">
            <v>1693.9404999999999</v>
          </cell>
        </row>
        <row r="44">
          <cell r="K44">
            <v>15321.3</v>
          </cell>
          <cell r="L44">
            <v>229053.43499999997</v>
          </cell>
          <cell r="M44">
            <v>229053.43499999997</v>
          </cell>
        </row>
        <row r="55">
          <cell r="K55">
            <v>85</v>
          </cell>
          <cell r="L55">
            <v>28647.55</v>
          </cell>
          <cell r="M55">
            <v>28647.55</v>
          </cell>
        </row>
        <row r="60">
          <cell r="K60">
            <v>0</v>
          </cell>
          <cell r="L60">
            <v>0</v>
          </cell>
          <cell r="M60">
            <v>0</v>
          </cell>
        </row>
        <row r="78">
          <cell r="K78">
            <v>79</v>
          </cell>
          <cell r="L78">
            <v>10622.34</v>
          </cell>
          <cell r="M78">
            <v>10622.34</v>
          </cell>
        </row>
        <row r="96">
          <cell r="K96">
            <v>79</v>
          </cell>
          <cell r="L96">
            <v>7129.75</v>
          </cell>
          <cell r="M96">
            <v>7129.75</v>
          </cell>
        </row>
        <row r="125">
          <cell r="K125">
            <v>53</v>
          </cell>
          <cell r="L125">
            <v>1908</v>
          </cell>
          <cell r="M125">
            <v>1908</v>
          </cell>
        </row>
        <row r="131">
          <cell r="K131">
            <v>19</v>
          </cell>
          <cell r="L131">
            <v>950</v>
          </cell>
          <cell r="M131">
            <v>950</v>
          </cell>
        </row>
        <row r="171">
          <cell r="K171">
            <v>1587.31</v>
          </cell>
          <cell r="L171">
            <v>1015.8783999999999</v>
          </cell>
          <cell r="M171">
            <v>1015.8783999999999</v>
          </cell>
        </row>
        <row r="181">
          <cell r="K181">
            <v>0</v>
          </cell>
          <cell r="L181">
            <v>0</v>
          </cell>
          <cell r="M181">
            <v>0</v>
          </cell>
        </row>
        <row r="185">
          <cell r="L185">
            <v>338.70044680000001</v>
          </cell>
          <cell r="M185">
            <v>338.70044680000001</v>
          </cell>
        </row>
      </sheetData>
      <sheetData sheetId="11">
        <row r="29">
          <cell r="K29">
            <v>13182.49</v>
          </cell>
          <cell r="L29">
            <v>222915.90590000001</v>
          </cell>
          <cell r="M29">
            <v>222915.90590000001</v>
          </cell>
        </row>
        <row r="36">
          <cell r="K36">
            <v>0</v>
          </cell>
          <cell r="L36">
            <v>0</v>
          </cell>
          <cell r="M36">
            <v>0</v>
          </cell>
        </row>
        <row r="42">
          <cell r="K42">
            <v>4157.2700000000004</v>
          </cell>
          <cell r="L42">
            <v>78780.266500000012</v>
          </cell>
          <cell r="M42">
            <v>78780.266500000012</v>
          </cell>
        </row>
        <row r="45">
          <cell r="K45">
            <v>9025.2199999999993</v>
          </cell>
          <cell r="L45">
            <v>293229.39779999998</v>
          </cell>
          <cell r="M45">
            <v>293229.39779999998</v>
          </cell>
        </row>
        <row r="56">
          <cell r="K56">
            <v>134</v>
          </cell>
          <cell r="L56">
            <v>45162.02</v>
          </cell>
          <cell r="M56">
            <v>45162.02</v>
          </cell>
        </row>
        <row r="61">
          <cell r="K61">
            <v>0</v>
          </cell>
          <cell r="L61">
            <v>0</v>
          </cell>
          <cell r="M61">
            <v>0</v>
          </cell>
        </row>
        <row r="79">
          <cell r="K79">
            <v>122</v>
          </cell>
          <cell r="L79">
            <v>16404.120000000003</v>
          </cell>
          <cell r="M79">
            <v>16404.120000000003</v>
          </cell>
        </row>
        <row r="97">
          <cell r="K97">
            <v>122</v>
          </cell>
          <cell r="L97">
            <v>11010.5</v>
          </cell>
          <cell r="M97">
            <v>11010.5</v>
          </cell>
        </row>
        <row r="103">
          <cell r="K103">
            <v>0</v>
          </cell>
          <cell r="L103">
            <v>0</v>
          </cell>
        </row>
        <row r="115">
          <cell r="K115">
            <v>0</v>
          </cell>
          <cell r="L115">
            <v>0</v>
          </cell>
          <cell r="M115">
            <v>0</v>
          </cell>
        </row>
        <row r="127">
          <cell r="K127">
            <v>42</v>
          </cell>
          <cell r="L127">
            <v>1512</v>
          </cell>
          <cell r="M127">
            <v>1512</v>
          </cell>
        </row>
        <row r="132">
          <cell r="K132">
            <v>0</v>
          </cell>
          <cell r="L132">
            <v>0</v>
          </cell>
          <cell r="M132">
            <v>0</v>
          </cell>
        </row>
        <row r="172">
          <cell r="K172">
            <v>0</v>
          </cell>
          <cell r="L172">
            <v>0</v>
          </cell>
          <cell r="M172">
            <v>0</v>
          </cell>
        </row>
        <row r="182">
          <cell r="K182">
            <v>0</v>
          </cell>
          <cell r="L182">
            <v>0</v>
          </cell>
          <cell r="M182">
            <v>0</v>
          </cell>
        </row>
        <row r="186">
          <cell r="L186">
            <v>375.78481240000002</v>
          </cell>
          <cell r="M186">
            <v>375.78481240000002</v>
          </cell>
        </row>
      </sheetData>
      <sheetData sheetId="12">
        <row r="29">
          <cell r="K29">
            <v>3811.8099999999995</v>
          </cell>
          <cell r="L29">
            <v>296033.08699999994</v>
          </cell>
          <cell r="M29">
            <v>296033.08699999994</v>
          </cell>
        </row>
        <row r="36">
          <cell r="K36">
            <v>0</v>
          </cell>
          <cell r="L36">
            <v>0</v>
          </cell>
          <cell r="M36">
            <v>0</v>
          </cell>
        </row>
        <row r="42">
          <cell r="K42">
            <v>3811.81</v>
          </cell>
          <cell r="L42">
            <v>72233.799499999994</v>
          </cell>
          <cell r="M42">
            <v>72233.799499999994</v>
          </cell>
        </row>
        <row r="45">
          <cell r="K45">
            <v>0</v>
          </cell>
          <cell r="L45">
            <v>0</v>
          </cell>
          <cell r="M45">
            <v>0</v>
          </cell>
        </row>
        <row r="56">
          <cell r="K56">
            <v>18</v>
          </cell>
          <cell r="L56">
            <v>6066.72</v>
          </cell>
          <cell r="M56">
            <v>6066.72</v>
          </cell>
        </row>
        <row r="61">
          <cell r="K61">
            <v>0</v>
          </cell>
          <cell r="L61">
            <v>0</v>
          </cell>
          <cell r="M61">
            <v>0</v>
          </cell>
        </row>
        <row r="79">
          <cell r="K79">
            <v>18</v>
          </cell>
          <cell r="L79">
            <v>2420.46</v>
          </cell>
          <cell r="M79">
            <v>2420.46</v>
          </cell>
        </row>
        <row r="97">
          <cell r="K97">
            <v>18</v>
          </cell>
          <cell r="L97">
            <v>1624.5</v>
          </cell>
          <cell r="M97">
            <v>1624.5</v>
          </cell>
        </row>
        <row r="103">
          <cell r="K103">
            <v>0</v>
          </cell>
          <cell r="L103">
            <v>0</v>
          </cell>
        </row>
        <row r="115">
          <cell r="K115">
            <v>0</v>
          </cell>
          <cell r="L115">
            <v>0</v>
          </cell>
          <cell r="M115">
            <v>0</v>
          </cell>
        </row>
        <row r="127">
          <cell r="K127">
            <v>0</v>
          </cell>
          <cell r="L127">
            <v>0</v>
          </cell>
          <cell r="M127">
            <v>0</v>
          </cell>
        </row>
        <row r="132">
          <cell r="K132">
            <v>0</v>
          </cell>
          <cell r="L132">
            <v>0</v>
          </cell>
          <cell r="M132">
            <v>0</v>
          </cell>
        </row>
        <row r="172">
          <cell r="K172">
            <v>0</v>
          </cell>
          <cell r="L172">
            <v>0</v>
          </cell>
          <cell r="M172">
            <v>0</v>
          </cell>
        </row>
        <row r="182">
          <cell r="K182">
            <v>0</v>
          </cell>
          <cell r="L182">
            <v>0</v>
          </cell>
          <cell r="M182">
            <v>0</v>
          </cell>
        </row>
        <row r="186">
          <cell r="L186">
            <v>378.37856649999992</v>
          </cell>
          <cell r="M186">
            <v>378.37856649999992</v>
          </cell>
        </row>
      </sheetData>
      <sheetData sheetId="13">
        <row r="29">
          <cell r="K29">
            <v>13151.1</v>
          </cell>
          <cell r="L29">
            <v>194373.258</v>
          </cell>
          <cell r="M29">
            <v>194373.258</v>
          </cell>
        </row>
        <row r="42">
          <cell r="K42">
            <v>0</v>
          </cell>
          <cell r="L42">
            <v>0</v>
          </cell>
          <cell r="M42">
            <v>0</v>
          </cell>
        </row>
        <row r="45">
          <cell r="K45">
            <v>13151.1</v>
          </cell>
          <cell r="L45">
            <v>427279.23900000006</v>
          </cell>
          <cell r="M45">
            <v>427279.23900000006</v>
          </cell>
        </row>
        <row r="56">
          <cell r="K56">
            <v>0</v>
          </cell>
          <cell r="L56">
            <v>0</v>
          </cell>
          <cell r="M56">
            <v>0</v>
          </cell>
        </row>
        <row r="79">
          <cell r="K79">
            <v>0</v>
          </cell>
          <cell r="L79">
            <v>0</v>
          </cell>
          <cell r="M79">
            <v>0</v>
          </cell>
        </row>
        <row r="97">
          <cell r="K97">
            <v>0</v>
          </cell>
          <cell r="L97">
            <v>0</v>
          </cell>
          <cell r="M97">
            <v>0</v>
          </cell>
        </row>
        <row r="103">
          <cell r="K103">
            <v>0</v>
          </cell>
          <cell r="L103">
            <v>0</v>
          </cell>
        </row>
        <row r="132">
          <cell r="K132">
            <v>0</v>
          </cell>
          <cell r="L132">
            <v>0</v>
          </cell>
          <cell r="M132">
            <v>0</v>
          </cell>
        </row>
        <row r="172">
          <cell r="K172">
            <v>0</v>
          </cell>
          <cell r="L172">
            <v>0</v>
          </cell>
          <cell r="M172">
            <v>0</v>
          </cell>
        </row>
        <row r="186">
          <cell r="L186">
            <v>194.37325800000002</v>
          </cell>
          <cell r="M186">
            <v>194.37325800000002</v>
          </cell>
        </row>
      </sheetData>
      <sheetData sheetId="14">
        <row r="39">
          <cell r="K39">
            <v>247298.27</v>
          </cell>
          <cell r="L39">
            <v>4404649.7553000003</v>
          </cell>
          <cell r="M39">
            <v>4404649.7553000003</v>
          </cell>
        </row>
        <row r="67">
          <cell r="K67">
            <v>0</v>
          </cell>
          <cell r="L67">
            <v>0</v>
          </cell>
          <cell r="M67">
            <v>0</v>
          </cell>
        </row>
        <row r="74">
          <cell r="K74">
            <v>87615.06</v>
          </cell>
          <cell r="L74">
            <v>1660305.3869999999</v>
          </cell>
          <cell r="M74">
            <v>1660305.3869999999</v>
          </cell>
        </row>
        <row r="78">
          <cell r="K78">
            <v>151829.04</v>
          </cell>
          <cell r="L78">
            <v>4932925.5096000005</v>
          </cell>
          <cell r="M78">
            <v>4932925.5096000005</v>
          </cell>
        </row>
        <row r="83">
          <cell r="K83">
            <v>0</v>
          </cell>
          <cell r="L83">
            <v>0</v>
          </cell>
          <cell r="M83">
            <v>0</v>
          </cell>
        </row>
        <row r="84">
          <cell r="K84">
            <v>7876</v>
          </cell>
          <cell r="L84">
            <v>161536.76</v>
          </cell>
          <cell r="M84">
            <v>161536.76</v>
          </cell>
        </row>
        <row r="88">
          <cell r="K88">
            <v>130</v>
          </cell>
          <cell r="L88">
            <v>4572.1000000000004</v>
          </cell>
          <cell r="M88">
            <v>4572.1000000000004</v>
          </cell>
        </row>
        <row r="99">
          <cell r="K99">
            <v>1938</v>
          </cell>
          <cell r="L99">
            <v>653253.48</v>
          </cell>
          <cell r="M99">
            <v>653253.48</v>
          </cell>
        </row>
        <row r="107">
          <cell r="K107">
            <v>15</v>
          </cell>
          <cell r="L107">
            <v>5194.8</v>
          </cell>
          <cell r="M107">
            <v>5194.8</v>
          </cell>
        </row>
        <row r="117">
          <cell r="K117">
            <v>244219.22</v>
          </cell>
          <cell r="L117">
            <v>569760.07890000008</v>
          </cell>
          <cell r="M117">
            <v>569760.07890000008</v>
          </cell>
        </row>
        <row r="136">
          <cell r="K136">
            <v>1954</v>
          </cell>
          <cell r="L136">
            <v>248340.41999999998</v>
          </cell>
          <cell r="M136">
            <v>248340.41999999998</v>
          </cell>
        </row>
        <row r="155">
          <cell r="K155">
            <v>1951</v>
          </cell>
          <cell r="L155">
            <v>166477.17000000001</v>
          </cell>
          <cell r="M155">
            <v>166477.17000000001</v>
          </cell>
        </row>
        <row r="161">
          <cell r="K161">
            <v>628</v>
          </cell>
          <cell r="L161">
            <v>28115.56</v>
          </cell>
          <cell r="M161">
            <v>28115.56</v>
          </cell>
        </row>
        <row r="167">
          <cell r="K167">
            <v>0</v>
          </cell>
          <cell r="L167">
            <v>0</v>
          </cell>
          <cell r="M167">
            <v>0</v>
          </cell>
        </row>
        <row r="175">
          <cell r="K175">
            <v>247298.27000000002</v>
          </cell>
          <cell r="L175">
            <v>384665.7132</v>
          </cell>
          <cell r="M175">
            <v>384665.7132</v>
          </cell>
        </row>
        <row r="183">
          <cell r="K183">
            <v>26932.47</v>
          </cell>
          <cell r="L183">
            <v>8079.741</v>
          </cell>
          <cell r="M183">
            <v>8079.741</v>
          </cell>
        </row>
        <row r="187">
          <cell r="K187">
            <v>8006</v>
          </cell>
          <cell r="L187">
            <v>5283.96</v>
          </cell>
          <cell r="M187">
            <v>5283.96</v>
          </cell>
        </row>
        <row r="197">
          <cell r="K197">
            <v>27</v>
          </cell>
          <cell r="L197">
            <v>561.6</v>
          </cell>
          <cell r="M197">
            <v>561.6</v>
          </cell>
        </row>
        <row r="199">
          <cell r="K199">
            <v>463</v>
          </cell>
          <cell r="L199">
            <v>16668</v>
          </cell>
          <cell r="M199">
            <v>16668</v>
          </cell>
        </row>
        <row r="203">
          <cell r="K203">
            <v>59</v>
          </cell>
          <cell r="L203">
            <v>2118.1</v>
          </cell>
          <cell r="M203">
            <v>2118.1</v>
          </cell>
        </row>
        <row r="210">
          <cell r="K210">
            <v>132</v>
          </cell>
          <cell r="L210">
            <v>6600</v>
          </cell>
          <cell r="M210">
            <v>6600</v>
          </cell>
        </row>
        <row r="255">
          <cell r="K255">
            <v>27738.47</v>
          </cell>
          <cell r="L255">
            <v>17928.497500000001</v>
          </cell>
          <cell r="M255">
            <v>17928.497500000001</v>
          </cell>
        </row>
        <row r="265">
          <cell r="L265">
            <v>149835.11739999999</v>
          </cell>
          <cell r="M265">
            <v>149835.11739999999</v>
          </cell>
        </row>
        <row r="269">
          <cell r="L269">
            <v>7385.1132308000006</v>
          </cell>
          <cell r="M269">
            <v>7385.1132308000006</v>
          </cell>
        </row>
      </sheetData>
      <sheetData sheetId="15">
        <row r="12">
          <cell r="K12">
            <v>0</v>
          </cell>
          <cell r="L12">
            <v>0</v>
          </cell>
          <cell r="M12">
            <v>0</v>
          </cell>
        </row>
        <row r="28">
          <cell r="K28">
            <v>52514.559999999998</v>
          </cell>
          <cell r="L28">
            <v>657458.07920000004</v>
          </cell>
          <cell r="M28">
            <v>657458.07920000004</v>
          </cell>
        </row>
        <row r="34">
          <cell r="K34">
            <v>0</v>
          </cell>
          <cell r="L34">
            <v>0</v>
          </cell>
          <cell r="M34">
            <v>0</v>
          </cell>
        </row>
        <row r="36">
          <cell r="K36">
            <v>19723.72</v>
          </cell>
          <cell r="L36">
            <v>404533.49720000004</v>
          </cell>
          <cell r="M36">
            <v>404533.49720000004</v>
          </cell>
        </row>
        <row r="38">
          <cell r="K38">
            <v>0</v>
          </cell>
          <cell r="L38">
            <v>0</v>
          </cell>
          <cell r="M38">
            <v>0</v>
          </cell>
        </row>
        <row r="41">
          <cell r="K41">
            <v>494.29</v>
          </cell>
          <cell r="L41">
            <v>17384.1793</v>
          </cell>
          <cell r="M41">
            <v>17384.1793</v>
          </cell>
        </row>
        <row r="43">
          <cell r="K43">
            <v>0</v>
          </cell>
          <cell r="L43">
            <v>0</v>
          </cell>
          <cell r="M43">
            <v>0</v>
          </cell>
        </row>
        <row r="45">
          <cell r="K45">
            <v>0</v>
          </cell>
          <cell r="L45">
            <v>0</v>
          </cell>
          <cell r="M45">
            <v>0</v>
          </cell>
        </row>
        <row r="50">
          <cell r="K50">
            <v>0</v>
          </cell>
          <cell r="L50">
            <v>0</v>
          </cell>
          <cell r="M50">
            <v>0</v>
          </cell>
        </row>
        <row r="52">
          <cell r="K52">
            <v>23069.33</v>
          </cell>
          <cell r="L52">
            <v>543052.02820000006</v>
          </cell>
          <cell r="M52">
            <v>543052.02820000006</v>
          </cell>
        </row>
        <row r="55">
          <cell r="K55">
            <v>888.95</v>
          </cell>
          <cell r="L55">
            <v>35878.022000000004</v>
          </cell>
          <cell r="M55">
            <v>35878.022000000004</v>
          </cell>
        </row>
        <row r="60">
          <cell r="K60">
            <v>8108.15</v>
          </cell>
          <cell r="L60">
            <v>153649.44249999998</v>
          </cell>
          <cell r="M60">
            <v>153649.44249999998</v>
          </cell>
        </row>
        <row r="63">
          <cell r="K63">
            <v>172.12</v>
          </cell>
          <cell r="L63">
            <v>5592.1788000000006</v>
          </cell>
          <cell r="M63">
            <v>5592.1788000000006</v>
          </cell>
        </row>
        <row r="68">
          <cell r="K68">
            <v>28.7</v>
          </cell>
          <cell r="L68">
            <v>543.86500000000001</v>
          </cell>
          <cell r="M68">
            <v>543.86500000000001</v>
          </cell>
        </row>
        <row r="71">
          <cell r="K71">
            <v>0</v>
          </cell>
          <cell r="L71">
            <v>0</v>
          </cell>
          <cell r="M71">
            <v>0</v>
          </cell>
        </row>
        <row r="73">
          <cell r="K73">
            <v>0</v>
          </cell>
          <cell r="L73">
            <v>0</v>
          </cell>
          <cell r="M73">
            <v>0</v>
          </cell>
        </row>
        <row r="95">
          <cell r="K95">
            <v>250</v>
          </cell>
          <cell r="L95">
            <v>84030.900000000009</v>
          </cell>
          <cell r="M95">
            <v>84030.900000000009</v>
          </cell>
        </row>
        <row r="103">
          <cell r="K103">
            <v>286</v>
          </cell>
          <cell r="L103">
            <v>116567.87999999999</v>
          </cell>
          <cell r="M103">
            <v>116567.87999999999</v>
          </cell>
        </row>
        <row r="117">
          <cell r="K117">
            <v>32409.75</v>
          </cell>
          <cell r="L117">
            <v>73246.034999999989</v>
          </cell>
          <cell r="M117">
            <v>73246.034999999989</v>
          </cell>
        </row>
        <row r="140">
          <cell r="K140">
            <v>1256</v>
          </cell>
          <cell r="L140">
            <v>152586.62</v>
          </cell>
          <cell r="M140">
            <v>152586.62</v>
          </cell>
        </row>
        <row r="158">
          <cell r="K158">
            <v>1256</v>
          </cell>
          <cell r="L158">
            <v>143893</v>
          </cell>
          <cell r="M158">
            <v>143893</v>
          </cell>
        </row>
        <row r="170">
          <cell r="K170">
            <v>2643</v>
          </cell>
          <cell r="L170">
            <v>214379.11000000002</v>
          </cell>
          <cell r="M170">
            <v>214379.11000000002</v>
          </cell>
        </row>
        <row r="175">
          <cell r="K175">
            <v>0</v>
          </cell>
          <cell r="L175">
            <v>0</v>
          </cell>
          <cell r="M175">
            <v>0</v>
          </cell>
        </row>
        <row r="185">
          <cell r="K185">
            <v>52514.559999999998</v>
          </cell>
          <cell r="L185">
            <v>71944.94720000001</v>
          </cell>
          <cell r="M185">
            <v>71944.94720000001</v>
          </cell>
        </row>
        <row r="195">
          <cell r="K195">
            <v>309</v>
          </cell>
          <cell r="L195">
            <v>6427.2</v>
          </cell>
          <cell r="M195">
            <v>6427.2</v>
          </cell>
        </row>
        <row r="197">
          <cell r="K197">
            <v>88</v>
          </cell>
          <cell r="L197">
            <v>3159.2</v>
          </cell>
          <cell r="M197">
            <v>3159.2</v>
          </cell>
        </row>
        <row r="203">
          <cell r="K203">
            <v>51</v>
          </cell>
          <cell r="L203">
            <v>2550</v>
          </cell>
          <cell r="M203">
            <v>2550</v>
          </cell>
        </row>
        <row r="243">
          <cell r="K243">
            <v>7558.59</v>
          </cell>
          <cell r="L243">
            <v>4620.2133000000003</v>
          </cell>
          <cell r="M243">
            <v>4620.2133000000003</v>
          </cell>
        </row>
        <row r="253">
          <cell r="K253">
            <v>52514.559999999998</v>
          </cell>
          <cell r="L253">
            <v>33489.629100000006</v>
          </cell>
          <cell r="M253">
            <v>33489.629100000006</v>
          </cell>
        </row>
        <row r="258">
          <cell r="L258">
            <v>2487.4510353999999</v>
          </cell>
          <cell r="M258">
            <v>2487.4510353999999</v>
          </cell>
        </row>
      </sheetData>
      <sheetData sheetId="16">
        <row r="13">
          <cell r="K13">
            <v>0</v>
          </cell>
          <cell r="L13">
            <v>0</v>
          </cell>
        </row>
        <row r="51">
          <cell r="K51">
            <v>307458.78999999998</v>
          </cell>
          <cell r="L51">
            <v>4563212.4459999986</v>
          </cell>
          <cell r="M51">
            <v>4563212.4459999986</v>
          </cell>
        </row>
        <row r="97">
          <cell r="K97">
            <v>9488.2899999999991</v>
          </cell>
          <cell r="L97">
            <v>18936.907999999999</v>
          </cell>
          <cell r="M97">
            <v>18936.907999999999</v>
          </cell>
        </row>
        <row r="105">
          <cell r="K105">
            <v>6713.41</v>
          </cell>
          <cell r="L105">
            <v>128226.13100000001</v>
          </cell>
          <cell r="M105">
            <v>128226.13100000001</v>
          </cell>
        </row>
        <row r="109">
          <cell r="K109">
            <v>3538.7</v>
          </cell>
          <cell r="L109">
            <v>71410.966</v>
          </cell>
          <cell r="M109">
            <v>71410.966</v>
          </cell>
        </row>
        <row r="113">
          <cell r="K113">
            <v>267857.25</v>
          </cell>
          <cell r="L113">
            <v>5458930.7549999999</v>
          </cell>
          <cell r="M113">
            <v>5458930.7549999999</v>
          </cell>
        </row>
        <row r="117">
          <cell r="K117">
            <v>2652.79</v>
          </cell>
          <cell r="L117">
            <v>54276.083400000003</v>
          </cell>
          <cell r="M117">
            <v>54276.083400000003</v>
          </cell>
        </row>
        <row r="121">
          <cell r="K121">
            <v>4206.63</v>
          </cell>
          <cell r="L121">
            <v>86782.776899999997</v>
          </cell>
          <cell r="M121">
            <v>86782.776899999997</v>
          </cell>
        </row>
        <row r="125">
          <cell r="K125">
            <v>4105.42</v>
          </cell>
          <cell r="L125">
            <v>85228.51920000001</v>
          </cell>
          <cell r="M125">
            <v>85228.51920000001</v>
          </cell>
        </row>
        <row r="129">
          <cell r="K129">
            <v>4934.99</v>
          </cell>
          <cell r="L129">
            <v>104128.289</v>
          </cell>
          <cell r="M129">
            <v>104128.289</v>
          </cell>
        </row>
        <row r="133">
          <cell r="K133">
            <v>2690.46</v>
          </cell>
          <cell r="L133">
            <v>57737.2716</v>
          </cell>
          <cell r="M133">
            <v>57737.2716</v>
          </cell>
        </row>
        <row r="137">
          <cell r="K137">
            <v>53.26</v>
          </cell>
          <cell r="L137">
            <v>1218.0562</v>
          </cell>
          <cell r="M137">
            <v>1218.0562</v>
          </cell>
        </row>
        <row r="142">
          <cell r="K142">
            <v>48.87</v>
          </cell>
          <cell r="L142">
            <v>1598.049</v>
          </cell>
          <cell r="M142">
            <v>1598.049</v>
          </cell>
        </row>
        <row r="146">
          <cell r="K146">
            <v>1865.72</v>
          </cell>
          <cell r="L146">
            <v>65188.256799999996</v>
          </cell>
          <cell r="M146">
            <v>65188.256799999996</v>
          </cell>
        </row>
        <row r="150">
          <cell r="K150">
            <v>65.069999999999993</v>
          </cell>
          <cell r="L150">
            <v>2328.8552999999997</v>
          </cell>
          <cell r="M150">
            <v>2328.8552999999997</v>
          </cell>
        </row>
        <row r="157">
          <cell r="K157">
            <v>7577.89</v>
          </cell>
          <cell r="L157">
            <v>178383.5306</v>
          </cell>
          <cell r="M157">
            <v>178383.5306</v>
          </cell>
        </row>
        <row r="162">
          <cell r="K162">
            <v>0</v>
          </cell>
          <cell r="L162">
            <v>0</v>
          </cell>
          <cell r="M162">
            <v>0</v>
          </cell>
        </row>
        <row r="206">
          <cell r="K206">
            <v>3211</v>
          </cell>
          <cell r="L206">
            <v>1088760.78</v>
          </cell>
          <cell r="M206">
            <v>1088760.78</v>
          </cell>
        </row>
        <row r="240">
          <cell r="K240">
            <v>184154</v>
          </cell>
          <cell r="L240">
            <v>306009.41159999999</v>
          </cell>
          <cell r="M240">
            <v>306009.41159999999</v>
          </cell>
        </row>
        <row r="269">
          <cell r="K269">
            <v>6405</v>
          </cell>
          <cell r="L269">
            <v>734179.22</v>
          </cell>
          <cell r="M269">
            <v>734179.22</v>
          </cell>
        </row>
        <row r="300">
          <cell r="K300">
            <v>6405</v>
          </cell>
          <cell r="L300">
            <v>645316.26</v>
          </cell>
          <cell r="M300">
            <v>645316.26</v>
          </cell>
        </row>
        <row r="320">
          <cell r="K320">
            <v>4387</v>
          </cell>
          <cell r="L320">
            <v>279271.19</v>
          </cell>
          <cell r="M320">
            <v>279271.19</v>
          </cell>
        </row>
        <row r="327">
          <cell r="K327">
            <v>0</v>
          </cell>
          <cell r="L327">
            <v>0</v>
          </cell>
          <cell r="M327">
            <v>0</v>
          </cell>
        </row>
        <row r="335">
          <cell r="K335">
            <v>307475.64</v>
          </cell>
          <cell r="L335">
            <v>453493.71089999995</v>
          </cell>
          <cell r="M335">
            <v>453493.71089999995</v>
          </cell>
        </row>
        <row r="353">
          <cell r="K353">
            <v>1653</v>
          </cell>
          <cell r="L353">
            <v>34382.400000000001</v>
          </cell>
          <cell r="M353">
            <v>34382.400000000001</v>
          </cell>
        </row>
        <row r="357">
          <cell r="K357">
            <v>16</v>
          </cell>
          <cell r="L357">
            <v>574.4</v>
          </cell>
          <cell r="M357">
            <v>574.4</v>
          </cell>
        </row>
        <row r="365">
          <cell r="K365">
            <v>102</v>
          </cell>
          <cell r="L365">
            <v>5100</v>
          </cell>
          <cell r="M365">
            <v>5100</v>
          </cell>
        </row>
        <row r="441">
          <cell r="K441">
            <v>59356.04</v>
          </cell>
          <cell r="L441">
            <v>27906.674200000001</v>
          </cell>
          <cell r="M441">
            <v>27906.674200000001</v>
          </cell>
        </row>
        <row r="451">
          <cell r="K451">
            <v>0</v>
          </cell>
          <cell r="L451">
            <v>0</v>
          </cell>
          <cell r="M451">
            <v>0</v>
          </cell>
        </row>
        <row r="456">
          <cell r="L456">
            <v>13623.962657099997</v>
          </cell>
          <cell r="M456">
            <v>13623.962657099997</v>
          </cell>
        </row>
      </sheetData>
      <sheetData sheetId="17">
        <row r="13">
          <cell r="K13">
            <v>0</v>
          </cell>
          <cell r="L13">
            <v>0</v>
          </cell>
          <cell r="M13">
            <v>0</v>
          </cell>
        </row>
        <row r="194">
          <cell r="K194">
            <v>716333.85000000033</v>
          </cell>
          <cell r="L194">
            <v>9099311.6963999998</v>
          </cell>
          <cell r="M194">
            <v>9099311.6963999998</v>
          </cell>
        </row>
        <row r="202">
          <cell r="K202">
            <v>390827.9</v>
          </cell>
          <cell r="L202">
            <v>122411.39479999999</v>
          </cell>
          <cell r="M202">
            <v>122411.39479999999</v>
          </cell>
        </row>
        <row r="220">
          <cell r="K220">
            <v>15995.640000000001</v>
          </cell>
          <cell r="L220">
            <v>137725.9762</v>
          </cell>
          <cell r="M220">
            <v>137725.9762</v>
          </cell>
        </row>
        <row r="227">
          <cell r="K227">
            <v>170934.65</v>
          </cell>
          <cell r="L227">
            <v>3483648.1669999999</v>
          </cell>
          <cell r="M227">
            <v>3483648.1669999999</v>
          </cell>
        </row>
        <row r="230">
          <cell r="K230">
            <v>260583.07</v>
          </cell>
          <cell r="L230">
            <v>5344558.7657000003</v>
          </cell>
          <cell r="M230">
            <v>5344558.7657000003</v>
          </cell>
        </row>
        <row r="233">
          <cell r="K233">
            <v>0</v>
          </cell>
          <cell r="L233">
            <v>0</v>
          </cell>
          <cell r="M233">
            <v>0</v>
          </cell>
        </row>
        <row r="237">
          <cell r="K237">
            <v>0</v>
          </cell>
          <cell r="L237">
            <v>0</v>
          </cell>
          <cell r="M237">
            <v>0</v>
          </cell>
        </row>
        <row r="240">
          <cell r="K240">
            <v>12098.75</v>
          </cell>
          <cell r="L240">
            <v>422730.32499999995</v>
          </cell>
          <cell r="M240">
            <v>422730.32499999995</v>
          </cell>
        </row>
        <row r="243">
          <cell r="K243">
            <v>18636.099999999999</v>
          </cell>
          <cell r="L243">
            <v>655431.63699999999</v>
          </cell>
          <cell r="M243">
            <v>655431.63699999999</v>
          </cell>
        </row>
        <row r="249">
          <cell r="K249">
            <v>0</v>
          </cell>
          <cell r="L249">
            <v>0</v>
          </cell>
          <cell r="M249">
            <v>0</v>
          </cell>
        </row>
        <row r="250">
          <cell r="K250">
            <v>13201.27</v>
          </cell>
          <cell r="L250">
            <v>310757.8958</v>
          </cell>
          <cell r="M250">
            <v>310757.8958</v>
          </cell>
        </row>
        <row r="251">
          <cell r="K251">
            <v>107167.43</v>
          </cell>
          <cell r="L251">
            <v>2522721.3021999998</v>
          </cell>
          <cell r="M251">
            <v>2522721.3021999998</v>
          </cell>
        </row>
        <row r="252">
          <cell r="K252">
            <v>16725.98</v>
          </cell>
          <cell r="L252">
            <v>381854.12339999998</v>
          </cell>
          <cell r="M252">
            <v>381854.12339999998</v>
          </cell>
        </row>
        <row r="254">
          <cell r="K254">
            <v>4804.62</v>
          </cell>
          <cell r="L254">
            <v>193914.4632</v>
          </cell>
          <cell r="M254">
            <v>193914.4632</v>
          </cell>
        </row>
        <row r="255">
          <cell r="K255">
            <v>707.84</v>
          </cell>
          <cell r="L255">
            <v>27704.857600000003</v>
          </cell>
          <cell r="M255">
            <v>27704.857600000003</v>
          </cell>
        </row>
        <row r="256">
          <cell r="K256">
            <v>2198.65</v>
          </cell>
          <cell r="L256">
            <v>88737.513999999996</v>
          </cell>
          <cell r="M256">
            <v>88737.513999999996</v>
          </cell>
        </row>
        <row r="262">
          <cell r="K262">
            <v>145.19</v>
          </cell>
          <cell r="L262">
            <v>2751.3505</v>
          </cell>
          <cell r="M262">
            <v>2751.3505</v>
          </cell>
        </row>
        <row r="266">
          <cell r="K266">
            <v>0</v>
          </cell>
          <cell r="L266">
            <v>0</v>
          </cell>
          <cell r="M266">
            <v>0</v>
          </cell>
        </row>
        <row r="272">
          <cell r="K272">
            <v>102599.93</v>
          </cell>
          <cell r="L272">
            <v>1944268.6734999998</v>
          </cell>
          <cell r="M272">
            <v>1944268.6734999998</v>
          </cell>
        </row>
        <row r="276">
          <cell r="K276">
            <v>4730.2</v>
          </cell>
          <cell r="L276">
            <v>153684.198</v>
          </cell>
          <cell r="M276">
            <v>153684.198</v>
          </cell>
        </row>
        <row r="303">
          <cell r="K303">
            <v>5990</v>
          </cell>
          <cell r="L303">
            <v>1818577.63</v>
          </cell>
          <cell r="M303">
            <v>1818577.63</v>
          </cell>
        </row>
        <row r="317">
          <cell r="K317">
            <v>0</v>
          </cell>
          <cell r="L317">
            <v>0</v>
          </cell>
          <cell r="M317">
            <v>0</v>
          </cell>
        </row>
        <row r="331">
          <cell r="K331">
            <v>696</v>
          </cell>
          <cell r="L331">
            <v>229885.08000000002</v>
          </cell>
          <cell r="M331">
            <v>229885.08000000002</v>
          </cell>
        </row>
        <row r="342">
          <cell r="K342">
            <v>170</v>
          </cell>
          <cell r="L342">
            <v>57252.6</v>
          </cell>
          <cell r="M342">
            <v>57252.6</v>
          </cell>
        </row>
        <row r="347">
          <cell r="K347">
            <v>266089.8</v>
          </cell>
          <cell r="L347">
            <v>569432.17200000002</v>
          </cell>
          <cell r="M347">
            <v>569432.17200000002</v>
          </cell>
        </row>
        <row r="348">
          <cell r="K348">
            <v>49693.46</v>
          </cell>
          <cell r="L348">
            <v>106344.00440000001</v>
          </cell>
          <cell r="M348">
            <v>106344.00440000001</v>
          </cell>
        </row>
        <row r="349">
          <cell r="K349">
            <v>0</v>
          </cell>
          <cell r="L349">
            <v>0</v>
          </cell>
          <cell r="M349">
            <v>0</v>
          </cell>
        </row>
        <row r="376">
          <cell r="K376">
            <v>17957</v>
          </cell>
          <cell r="L376">
            <v>1903306.0899999999</v>
          </cell>
          <cell r="M376">
            <v>1903306.0899999999</v>
          </cell>
        </row>
        <row r="413">
          <cell r="K413">
            <v>18415</v>
          </cell>
          <cell r="L413">
            <v>1835360.75</v>
          </cell>
          <cell r="M413">
            <v>1835360.75</v>
          </cell>
        </row>
        <row r="429">
          <cell r="K429">
            <v>17734</v>
          </cell>
          <cell r="L429">
            <v>1236339.83</v>
          </cell>
          <cell r="M429">
            <v>1236339.83</v>
          </cell>
        </row>
        <row r="435">
          <cell r="K435">
            <v>395</v>
          </cell>
          <cell r="L435">
            <v>10507</v>
          </cell>
          <cell r="M435">
            <v>10507</v>
          </cell>
        </row>
        <row r="442">
          <cell r="K442">
            <v>565820.68999999994</v>
          </cell>
          <cell r="L442">
            <v>763857.93149999995</v>
          </cell>
          <cell r="M442">
            <v>763857.93149999995</v>
          </cell>
        </row>
        <row r="459">
          <cell r="K459">
            <v>3600</v>
          </cell>
          <cell r="L459">
            <v>74880</v>
          </cell>
          <cell r="M459">
            <v>74880</v>
          </cell>
        </row>
        <row r="462">
          <cell r="K462">
            <v>26</v>
          </cell>
          <cell r="L462">
            <v>933.4</v>
          </cell>
          <cell r="M462">
            <v>933.4</v>
          </cell>
        </row>
        <row r="463">
          <cell r="K463">
            <v>431</v>
          </cell>
          <cell r="L463">
            <v>15472.9</v>
          </cell>
          <cell r="M463">
            <v>15472.9</v>
          </cell>
        </row>
        <row r="470">
          <cell r="K470">
            <v>264</v>
          </cell>
          <cell r="L470">
            <v>13200</v>
          </cell>
          <cell r="M470">
            <v>13200</v>
          </cell>
        </row>
        <row r="531">
          <cell r="K531">
            <v>107168.97</v>
          </cell>
          <cell r="L531">
            <v>55029.314900000012</v>
          </cell>
          <cell r="M531">
            <v>55029.314900000012</v>
          </cell>
        </row>
        <row r="541">
          <cell r="K541">
            <v>716333.84999999986</v>
          </cell>
          <cell r="L541">
            <v>357990.56749999989</v>
          </cell>
          <cell r="M541">
            <v>357990.56749999989</v>
          </cell>
        </row>
        <row r="545">
          <cell r="L545">
            <v>30478.342545600004</v>
          </cell>
          <cell r="M545">
            <v>30478.342545600004</v>
          </cell>
        </row>
      </sheetData>
      <sheetData sheetId="18">
        <row r="25">
          <cell r="K25">
            <v>788.05</v>
          </cell>
          <cell r="L25">
            <v>24531.996499999997</v>
          </cell>
          <cell r="M25">
            <v>24531.996499999997</v>
          </cell>
        </row>
        <row r="330">
          <cell r="K330">
            <v>1165132.06</v>
          </cell>
          <cell r="L330">
            <v>13132554.7631</v>
          </cell>
          <cell r="M330">
            <v>13132554.7631</v>
          </cell>
        </row>
        <row r="342">
          <cell r="K342">
            <v>32306.16</v>
          </cell>
          <cell r="L342">
            <v>159904.95939999999</v>
          </cell>
          <cell r="M342">
            <v>159904.95939999999</v>
          </cell>
        </row>
        <row r="352">
          <cell r="K352">
            <v>7422.93</v>
          </cell>
          <cell r="L352">
            <v>5478.38</v>
          </cell>
          <cell r="M352">
            <v>5478.38</v>
          </cell>
        </row>
        <row r="363">
          <cell r="K363">
            <v>318555.10000000003</v>
          </cell>
          <cell r="L363">
            <v>6606832.7740000002</v>
          </cell>
          <cell r="M363">
            <v>6606832.7740000002</v>
          </cell>
        </row>
        <row r="370">
          <cell r="K370">
            <v>6377.86</v>
          </cell>
          <cell r="L370">
            <v>133169.71679999999</v>
          </cell>
          <cell r="M370">
            <v>133169.71679999999</v>
          </cell>
        </row>
        <row r="377">
          <cell r="K377">
            <v>3835.49</v>
          </cell>
          <cell r="L377">
            <v>72145.566899999991</v>
          </cell>
          <cell r="M377">
            <v>72145.566899999991</v>
          </cell>
        </row>
        <row r="385">
          <cell r="K385">
            <v>18186</v>
          </cell>
          <cell r="L385">
            <v>646512.29999999993</v>
          </cell>
          <cell r="M385">
            <v>646512.29999999993</v>
          </cell>
        </row>
        <row r="392">
          <cell r="K392">
            <v>1052.7</v>
          </cell>
          <cell r="L392">
            <v>37676.133000000002</v>
          </cell>
          <cell r="M392">
            <v>37676.133000000002</v>
          </cell>
        </row>
        <row r="399">
          <cell r="K399">
            <v>88.06</v>
          </cell>
          <cell r="L399">
            <v>2839.9349999999999</v>
          </cell>
          <cell r="M399">
            <v>2839.9349999999999</v>
          </cell>
        </row>
        <row r="409">
          <cell r="K409">
            <v>432257.44</v>
          </cell>
          <cell r="L409">
            <v>10175340.137599999</v>
          </cell>
          <cell r="M409">
            <v>10175340.137599999</v>
          </cell>
        </row>
        <row r="415">
          <cell r="K415">
            <v>6364.25</v>
          </cell>
          <cell r="L415">
            <v>136640.44749999998</v>
          </cell>
          <cell r="M415">
            <v>136640.44749999998</v>
          </cell>
        </row>
        <row r="416">
          <cell r="K416">
            <v>0</v>
          </cell>
          <cell r="L416">
            <v>0</v>
          </cell>
          <cell r="M416">
            <v>0</v>
          </cell>
        </row>
        <row r="424">
          <cell r="K424">
            <v>44960.5</v>
          </cell>
          <cell r="L424">
            <v>1814605.78</v>
          </cell>
          <cell r="M424">
            <v>1814605.78</v>
          </cell>
        </row>
        <row r="431">
          <cell r="K431">
            <v>99.01</v>
          </cell>
          <cell r="L431">
            <v>3643.5679999999998</v>
          </cell>
          <cell r="M431">
            <v>3643.5679999999998</v>
          </cell>
        </row>
        <row r="432">
          <cell r="K432">
            <v>0</v>
          </cell>
          <cell r="L432">
            <v>0</v>
          </cell>
          <cell r="M432">
            <v>0</v>
          </cell>
        </row>
        <row r="442">
          <cell r="K442">
            <v>225782.58000000002</v>
          </cell>
          <cell r="L442">
            <v>4714340.2703999998</v>
          </cell>
          <cell r="M442">
            <v>4714340.2703999998</v>
          </cell>
        </row>
        <row r="450">
          <cell r="K450">
            <v>31150.23</v>
          </cell>
          <cell r="L450">
            <v>1114866.7316999999</v>
          </cell>
          <cell r="M450">
            <v>1114866.7316999999</v>
          </cell>
        </row>
        <row r="463">
          <cell r="K463">
            <v>11631.6</v>
          </cell>
          <cell r="L463">
            <v>319636.36800000002</v>
          </cell>
          <cell r="M463">
            <v>319636.36800000002</v>
          </cell>
        </row>
        <row r="466">
          <cell r="K466">
            <v>1024.8599999999999</v>
          </cell>
          <cell r="L466">
            <v>48281.154599999994</v>
          </cell>
          <cell r="M466">
            <v>48281.154599999994</v>
          </cell>
        </row>
        <row r="474">
          <cell r="K474">
            <v>0</v>
          </cell>
          <cell r="L474">
            <v>0</v>
          </cell>
          <cell r="M474">
            <v>0</v>
          </cell>
        </row>
        <row r="514">
          <cell r="K514">
            <v>453</v>
          </cell>
          <cell r="L514">
            <v>106301.56000000001</v>
          </cell>
          <cell r="M514">
            <v>106301.56000000001</v>
          </cell>
        </row>
        <row r="542">
          <cell r="K542">
            <v>7376</v>
          </cell>
          <cell r="L542">
            <v>1936565.86</v>
          </cell>
          <cell r="M542">
            <v>1936565.86</v>
          </cell>
        </row>
        <row r="562">
          <cell r="K562">
            <v>3786</v>
          </cell>
          <cell r="L562">
            <v>1293333.78</v>
          </cell>
          <cell r="M562">
            <v>1293333.78</v>
          </cell>
        </row>
        <row r="566">
          <cell r="K566">
            <v>106</v>
          </cell>
          <cell r="L566">
            <v>39633.241000000002</v>
          </cell>
          <cell r="M566">
            <v>39633.241000000002</v>
          </cell>
        </row>
        <row r="590">
          <cell r="K590">
            <v>372145.68000000005</v>
          </cell>
          <cell r="L590">
            <v>898598.2753000001</v>
          </cell>
          <cell r="M590">
            <v>898598.2753000001</v>
          </cell>
        </row>
        <row r="661">
          <cell r="K661">
            <v>31128</v>
          </cell>
          <cell r="L661">
            <v>3353644.9967999998</v>
          </cell>
          <cell r="M661">
            <v>3353644.9967999998</v>
          </cell>
        </row>
        <row r="757">
          <cell r="K757">
            <v>34094</v>
          </cell>
          <cell r="L757">
            <v>3445485.1700000009</v>
          </cell>
          <cell r="M757">
            <v>3445485.1700000009</v>
          </cell>
        </row>
        <row r="789">
          <cell r="K789">
            <v>34930</v>
          </cell>
          <cell r="L789">
            <v>3273562.0500000003</v>
          </cell>
          <cell r="M789">
            <v>3273562.0500000003</v>
          </cell>
        </row>
        <row r="799">
          <cell r="K799">
            <v>1484</v>
          </cell>
          <cell r="L799">
            <v>66780</v>
          </cell>
          <cell r="M799">
            <v>66780</v>
          </cell>
        </row>
        <row r="847">
          <cell r="K847">
            <v>1164897.1000000001</v>
          </cell>
          <cell r="L847">
            <v>2213304.4900000002</v>
          </cell>
          <cell r="M847">
            <v>2213304.4900000002</v>
          </cell>
        </row>
        <row r="915">
          <cell r="K915">
            <v>7945</v>
          </cell>
          <cell r="L915">
            <v>180386.19999999998</v>
          </cell>
          <cell r="M915">
            <v>180386.19999999998</v>
          </cell>
        </row>
        <row r="933">
          <cell r="K933">
            <v>745</v>
          </cell>
          <cell r="L933">
            <v>37250</v>
          </cell>
          <cell r="M933">
            <v>37250</v>
          </cell>
        </row>
        <row r="1072">
          <cell r="K1072">
            <v>185062.93</v>
          </cell>
          <cell r="L1072">
            <v>100883.4083</v>
          </cell>
          <cell r="M1072">
            <v>100883.4083</v>
          </cell>
        </row>
        <row r="1084">
          <cell r="L1084">
            <v>886139.34730000026</v>
          </cell>
          <cell r="M1084">
            <v>886139.34730000026</v>
          </cell>
        </row>
        <row r="1089">
          <cell r="L1089">
            <v>49314.401646299993</v>
          </cell>
          <cell r="M1089">
            <v>49314.401646299993</v>
          </cell>
        </row>
      </sheetData>
      <sheetData sheetId="19">
        <row r="15">
          <cell r="K15">
            <v>0</v>
          </cell>
          <cell r="L15">
            <v>0</v>
          </cell>
        </row>
        <row r="79">
          <cell r="K79">
            <v>1292854.5699999998</v>
          </cell>
          <cell r="L79">
            <v>13320998.9395</v>
          </cell>
          <cell r="M79">
            <v>13320998.9395</v>
          </cell>
        </row>
        <row r="83">
          <cell r="K83">
            <v>80</v>
          </cell>
          <cell r="L83">
            <v>2000</v>
          </cell>
          <cell r="M83">
            <v>2000</v>
          </cell>
        </row>
        <row r="85">
          <cell r="K85">
            <v>0</v>
          </cell>
          <cell r="L85">
            <v>0</v>
          </cell>
          <cell r="M85">
            <v>0</v>
          </cell>
        </row>
        <row r="87">
          <cell r="K87">
            <v>0</v>
          </cell>
          <cell r="L87">
            <v>0</v>
          </cell>
          <cell r="M87">
            <v>0</v>
          </cell>
        </row>
        <row r="91">
          <cell r="K91">
            <v>13965.24</v>
          </cell>
          <cell r="L91">
            <v>13965.24</v>
          </cell>
          <cell r="M91">
            <v>13965.24</v>
          </cell>
        </row>
        <row r="93">
          <cell r="K93">
            <v>3894.89</v>
          </cell>
          <cell r="L93">
            <v>6153.9261999999999</v>
          </cell>
          <cell r="M93">
            <v>6153.9261999999999</v>
          </cell>
        </row>
        <row r="104">
          <cell r="K104">
            <v>1020606.1099999999</v>
          </cell>
          <cell r="L104">
            <v>16197018.965699997</v>
          </cell>
          <cell r="M104">
            <v>16197018.965699997</v>
          </cell>
        </row>
        <row r="109">
          <cell r="K109">
            <v>82343.86</v>
          </cell>
          <cell r="L109">
            <v>1719339.7967999999</v>
          </cell>
          <cell r="M109">
            <v>1719339.7967999999</v>
          </cell>
        </row>
        <row r="111">
          <cell r="K111">
            <v>3798.26</v>
          </cell>
          <cell r="L111">
            <v>0</v>
          </cell>
          <cell r="M111">
            <v>0</v>
          </cell>
        </row>
        <row r="116">
          <cell r="K116">
            <v>166736.32000000001</v>
          </cell>
          <cell r="L116">
            <v>4535227.9040000001</v>
          </cell>
          <cell r="M116">
            <v>4535227.9040000001</v>
          </cell>
        </row>
        <row r="121">
          <cell r="K121">
            <v>17101.7</v>
          </cell>
          <cell r="L121">
            <v>612069.84299999999</v>
          </cell>
          <cell r="M121">
            <v>612069.84299999999</v>
          </cell>
        </row>
        <row r="129">
          <cell r="K129">
            <v>69.36</v>
          </cell>
          <cell r="L129">
            <v>1448.2367999999999</v>
          </cell>
          <cell r="M129">
            <v>1448.2367999999999</v>
          </cell>
        </row>
        <row r="130">
          <cell r="K130">
            <v>0</v>
          </cell>
          <cell r="L130">
            <v>0</v>
          </cell>
          <cell r="M130">
            <v>0</v>
          </cell>
        </row>
        <row r="136">
          <cell r="K136">
            <v>0</v>
          </cell>
          <cell r="L136">
            <v>0</v>
          </cell>
          <cell r="M136">
            <v>0</v>
          </cell>
        </row>
        <row r="140">
          <cell r="K140">
            <v>926.33</v>
          </cell>
          <cell r="L140">
            <v>21805.808199999999</v>
          </cell>
          <cell r="M140">
            <v>21805.808199999999</v>
          </cell>
        </row>
        <row r="142">
          <cell r="K142">
            <v>956.09</v>
          </cell>
          <cell r="L142">
            <v>38587.792399999998</v>
          </cell>
          <cell r="M142">
            <v>38587.792399999998</v>
          </cell>
        </row>
        <row r="203">
          <cell r="K203">
            <v>20986</v>
          </cell>
          <cell r="L203">
            <v>5348206.7300000004</v>
          </cell>
          <cell r="M203">
            <v>5348206.7300000004</v>
          </cell>
        </row>
        <row r="222">
          <cell r="K222">
            <v>0</v>
          </cell>
          <cell r="L222">
            <v>0</v>
          </cell>
          <cell r="M222">
            <v>0</v>
          </cell>
        </row>
        <row r="227">
          <cell r="K227">
            <v>45140.27</v>
          </cell>
          <cell r="L227">
            <v>96148.775099999984</v>
          </cell>
          <cell r="M227">
            <v>96148.775099999984</v>
          </cell>
        </row>
        <row r="234">
          <cell r="K234">
            <v>255797.90999999997</v>
          </cell>
          <cell r="L234">
            <v>544849.54829999991</v>
          </cell>
          <cell r="M234">
            <v>544849.54829999991</v>
          </cell>
        </row>
        <row r="289">
          <cell r="K289">
            <v>34947</v>
          </cell>
          <cell r="L289">
            <v>3853443.55</v>
          </cell>
          <cell r="M289">
            <v>3853443.55</v>
          </cell>
        </row>
        <row r="348">
          <cell r="K348">
            <v>34961</v>
          </cell>
          <cell r="L348">
            <v>3312563.51</v>
          </cell>
          <cell r="M348">
            <v>3312563.51</v>
          </cell>
        </row>
        <row r="372">
          <cell r="K372">
            <v>34802</v>
          </cell>
          <cell r="L372">
            <v>2304889.8400000003</v>
          </cell>
          <cell r="M372">
            <v>2304889.8400000003</v>
          </cell>
        </row>
        <row r="377">
          <cell r="K377">
            <v>0</v>
          </cell>
          <cell r="L377">
            <v>0</v>
          </cell>
          <cell r="M377">
            <v>0</v>
          </cell>
        </row>
        <row r="393">
          <cell r="K393">
            <v>249.04999999999998</v>
          </cell>
          <cell r="L393">
            <v>458.25200000000001</v>
          </cell>
          <cell r="M393">
            <v>458.25200000000001</v>
          </cell>
        </row>
        <row r="399">
          <cell r="K399">
            <v>1293585.55</v>
          </cell>
          <cell r="L399">
            <v>2457812.5449999999</v>
          </cell>
          <cell r="M399">
            <v>2457812.5449999999</v>
          </cell>
        </row>
        <row r="423">
          <cell r="K423">
            <v>8127</v>
          </cell>
          <cell r="L423">
            <v>173571.6</v>
          </cell>
          <cell r="M423">
            <v>173571.6</v>
          </cell>
        </row>
        <row r="438">
          <cell r="K438">
            <v>783</v>
          </cell>
          <cell r="L438">
            <v>39150</v>
          </cell>
          <cell r="M438">
            <v>39150</v>
          </cell>
        </row>
        <row r="532">
          <cell r="K532">
            <v>205949.56000000003</v>
          </cell>
          <cell r="L532">
            <v>108899.03199999999</v>
          </cell>
          <cell r="M532">
            <v>108899.03199999999</v>
          </cell>
        </row>
        <row r="542">
          <cell r="K542">
            <v>1292854.57</v>
          </cell>
          <cell r="L542">
            <v>668168.6372</v>
          </cell>
          <cell r="M542">
            <v>668168.6372</v>
          </cell>
        </row>
        <row r="547">
          <cell r="L547">
            <v>46423.455175199982</v>
          </cell>
          <cell r="M547">
            <v>46423.455175199982</v>
          </cell>
        </row>
      </sheetData>
      <sheetData sheetId="20">
        <row r="59">
          <cell r="K59">
            <v>66750.81</v>
          </cell>
          <cell r="L59">
            <v>759952.6899</v>
          </cell>
          <cell r="M59">
            <v>759952.6899</v>
          </cell>
        </row>
        <row r="68">
          <cell r="K68">
            <v>87.29</v>
          </cell>
          <cell r="L68">
            <v>1822.6152</v>
          </cell>
          <cell r="M68">
            <v>1822.6152</v>
          </cell>
        </row>
        <row r="73">
          <cell r="K73">
            <v>0</v>
          </cell>
          <cell r="L73">
            <v>0</v>
          </cell>
          <cell r="M73">
            <v>0</v>
          </cell>
        </row>
        <row r="79">
          <cell r="K79">
            <v>0</v>
          </cell>
          <cell r="L79">
            <v>0</v>
          </cell>
          <cell r="M79">
            <v>0</v>
          </cell>
        </row>
        <row r="84">
          <cell r="K84">
            <v>0</v>
          </cell>
          <cell r="L84">
            <v>0</v>
          </cell>
          <cell r="M84">
            <v>0</v>
          </cell>
        </row>
        <row r="92">
          <cell r="K92">
            <v>5731.12</v>
          </cell>
          <cell r="L92">
            <v>118118.3832</v>
          </cell>
          <cell r="M92">
            <v>118118.3832</v>
          </cell>
        </row>
        <row r="97">
          <cell r="K97">
            <v>35675.93</v>
          </cell>
          <cell r="L97">
            <v>744913.41839999997</v>
          </cell>
          <cell r="M97">
            <v>744913.41839999997</v>
          </cell>
        </row>
        <row r="103">
          <cell r="K103">
            <v>120.4</v>
          </cell>
          <cell r="L103">
            <v>4309.116</v>
          </cell>
          <cell r="M103">
            <v>4309.116</v>
          </cell>
        </row>
        <row r="108">
          <cell r="K108">
            <v>65.75</v>
          </cell>
          <cell r="L108">
            <v>2501.7874999999999</v>
          </cell>
          <cell r="M108">
            <v>2501.7874999999999</v>
          </cell>
        </row>
        <row r="113">
          <cell r="K113">
            <v>844.25</v>
          </cell>
          <cell r="L113">
            <v>32537.395</v>
          </cell>
          <cell r="M113">
            <v>32537.395</v>
          </cell>
        </row>
        <row r="122">
          <cell r="K122">
            <v>1910.87</v>
          </cell>
          <cell r="L122">
            <v>46988.293299999998</v>
          </cell>
          <cell r="M122">
            <v>46988.293299999998</v>
          </cell>
        </row>
        <row r="128">
          <cell r="K128">
            <v>92.22</v>
          </cell>
          <cell r="L128">
            <v>4185.8657999999996</v>
          </cell>
          <cell r="M128">
            <v>4185.8657999999996</v>
          </cell>
        </row>
        <row r="137">
          <cell r="K137">
            <v>0</v>
          </cell>
          <cell r="L137">
            <v>0</v>
          </cell>
          <cell r="M137">
            <v>0</v>
          </cell>
        </row>
        <row r="138">
          <cell r="K138">
            <v>0</v>
          </cell>
          <cell r="L138">
            <v>0</v>
          </cell>
          <cell r="M138">
            <v>0</v>
          </cell>
        </row>
        <row r="139">
          <cell r="K139">
            <v>0</v>
          </cell>
          <cell r="L139">
            <v>0</v>
          </cell>
          <cell r="M139">
            <v>0</v>
          </cell>
        </row>
        <row r="140">
          <cell r="K140">
            <v>0</v>
          </cell>
          <cell r="L140">
            <v>0</v>
          </cell>
          <cell r="M140">
            <v>0</v>
          </cell>
        </row>
        <row r="141">
          <cell r="K141">
            <v>0</v>
          </cell>
          <cell r="L141">
            <v>0</v>
          </cell>
          <cell r="M141">
            <v>0</v>
          </cell>
        </row>
        <row r="142">
          <cell r="K142">
            <v>6776.66</v>
          </cell>
          <cell r="L142">
            <v>139666.9626</v>
          </cell>
          <cell r="M142">
            <v>139666.9626</v>
          </cell>
        </row>
        <row r="145">
          <cell r="K145">
            <v>0</v>
          </cell>
          <cell r="L145">
            <v>0</v>
          </cell>
          <cell r="M145">
            <v>0</v>
          </cell>
        </row>
        <row r="146">
          <cell r="K146">
            <v>0</v>
          </cell>
          <cell r="L146">
            <v>0</v>
          </cell>
          <cell r="M146">
            <v>0</v>
          </cell>
        </row>
        <row r="148">
          <cell r="K148">
            <v>0</v>
          </cell>
          <cell r="L148">
            <v>0</v>
          </cell>
          <cell r="M148">
            <v>0</v>
          </cell>
        </row>
        <row r="149">
          <cell r="K149">
            <v>0</v>
          </cell>
          <cell r="L149">
            <v>0</v>
          </cell>
          <cell r="M149">
            <v>0</v>
          </cell>
        </row>
        <row r="150">
          <cell r="K150">
            <v>419.95</v>
          </cell>
          <cell r="L150">
            <v>15979.097499999998</v>
          </cell>
          <cell r="M150">
            <v>15979.097499999998</v>
          </cell>
        </row>
        <row r="156">
          <cell r="K156">
            <v>4412.8100000000004</v>
          </cell>
          <cell r="L156">
            <v>4854.0910000000013</v>
          </cell>
          <cell r="M156">
            <v>4854.0910000000013</v>
          </cell>
        </row>
        <row r="196">
          <cell r="K196">
            <v>84</v>
          </cell>
          <cell r="L196">
            <v>20981.11</v>
          </cell>
          <cell r="M196">
            <v>20981.11</v>
          </cell>
        </row>
        <row r="223">
          <cell r="K223">
            <v>2139</v>
          </cell>
          <cell r="L223">
            <v>343653.33</v>
          </cell>
          <cell r="M223">
            <v>343653.33</v>
          </cell>
        </row>
        <row r="231">
          <cell r="K231">
            <v>109</v>
          </cell>
          <cell r="L231">
            <v>36345.96</v>
          </cell>
          <cell r="M231">
            <v>36345.96</v>
          </cell>
        </row>
        <row r="242">
          <cell r="K242">
            <v>9917.59</v>
          </cell>
          <cell r="L242">
            <v>23802.216</v>
          </cell>
          <cell r="M242">
            <v>23802.216</v>
          </cell>
        </row>
        <row r="285">
          <cell r="K285">
            <v>1878</v>
          </cell>
          <cell r="L285">
            <v>143556.96999999997</v>
          </cell>
          <cell r="M285">
            <v>143556.96999999997</v>
          </cell>
        </row>
        <row r="341">
          <cell r="K341">
            <v>1878</v>
          </cell>
          <cell r="L341">
            <v>107136.19999999998</v>
          </cell>
          <cell r="M341">
            <v>107136.19999999998</v>
          </cell>
        </row>
        <row r="366">
          <cell r="K366">
            <v>1077</v>
          </cell>
          <cell r="L366">
            <v>56068.260000000009</v>
          </cell>
          <cell r="M366">
            <v>56068.260000000009</v>
          </cell>
        </row>
        <row r="383">
          <cell r="K383">
            <v>0</v>
          </cell>
          <cell r="L383">
            <v>0</v>
          </cell>
          <cell r="M383">
            <v>0</v>
          </cell>
        </row>
        <row r="401">
          <cell r="K401">
            <v>35925.07</v>
          </cell>
          <cell r="L401">
            <v>57480.112000000001</v>
          </cell>
          <cell r="M401">
            <v>57480.112000000001</v>
          </cell>
        </row>
        <row r="417">
          <cell r="K417">
            <v>3670.19</v>
          </cell>
          <cell r="L417">
            <v>5872.3040000000001</v>
          </cell>
          <cell r="M417">
            <v>5872.3040000000001</v>
          </cell>
        </row>
        <row r="428">
          <cell r="K428">
            <v>12859.369999999999</v>
          </cell>
          <cell r="L428">
            <v>20574.991999999998</v>
          </cell>
          <cell r="M428">
            <v>20574.991999999998</v>
          </cell>
        </row>
        <row r="457">
          <cell r="K457">
            <v>146</v>
          </cell>
          <cell r="L457">
            <v>4592.0999999999995</v>
          </cell>
          <cell r="M457">
            <v>4592.0999999999995</v>
          </cell>
        </row>
        <row r="471">
          <cell r="K471">
            <v>34</v>
          </cell>
          <cell r="L471">
            <v>1700</v>
          </cell>
          <cell r="M471">
            <v>1700</v>
          </cell>
        </row>
        <row r="566">
          <cell r="K566">
            <v>6599.4500000000007</v>
          </cell>
          <cell r="L566">
            <v>3570.8386999999998</v>
          </cell>
          <cell r="M566">
            <v>3570.8386999999998</v>
          </cell>
        </row>
        <row r="576">
          <cell r="K576">
            <v>66750.81</v>
          </cell>
          <cell r="L576">
            <v>51885.347700000006</v>
          </cell>
          <cell r="M576">
            <v>51885.347700000006</v>
          </cell>
        </row>
        <row r="580">
          <cell r="L580">
            <v>2533.9212223000004</v>
          </cell>
          <cell r="M580">
            <v>2533.9212223000004</v>
          </cell>
        </row>
      </sheetData>
      <sheetData sheetId="21">
        <row r="19">
          <cell r="K19">
            <v>154.72999999999999</v>
          </cell>
          <cell r="L19">
            <v>4816.7448999999997</v>
          </cell>
          <cell r="M19">
            <v>4816.7448999999997</v>
          </cell>
        </row>
        <row r="150">
          <cell r="K150">
            <v>875033.80999999971</v>
          </cell>
          <cell r="L150">
            <v>8885985.7530999985</v>
          </cell>
          <cell r="M150">
            <v>8885985.7530999985</v>
          </cell>
        </row>
        <row r="169">
          <cell r="K169">
            <v>54.8</v>
          </cell>
          <cell r="L169">
            <v>164.39999999999998</v>
          </cell>
          <cell r="M169">
            <v>164.39999999999998</v>
          </cell>
        </row>
        <row r="177">
          <cell r="K177">
            <v>3361.01</v>
          </cell>
          <cell r="L177">
            <v>60531.790100000006</v>
          </cell>
          <cell r="M177">
            <v>60531.790100000006</v>
          </cell>
        </row>
        <row r="182">
          <cell r="K182">
            <v>0</v>
          </cell>
          <cell r="L182">
            <v>0</v>
          </cell>
          <cell r="M182">
            <v>0</v>
          </cell>
        </row>
        <row r="189">
          <cell r="K189">
            <v>7855.39</v>
          </cell>
          <cell r="L189">
            <v>145953.14619999999</v>
          </cell>
          <cell r="M189">
            <v>145953.14619999999</v>
          </cell>
        </row>
        <row r="190">
          <cell r="K190">
            <v>709.6</v>
          </cell>
          <cell r="L190">
            <v>13404.344000000001</v>
          </cell>
          <cell r="M190">
            <v>13404.344000000001</v>
          </cell>
        </row>
        <row r="191">
          <cell r="K191">
            <v>750.37</v>
          </cell>
          <cell r="L191">
            <v>16448.110400000001</v>
          </cell>
          <cell r="M191">
            <v>16448.110400000001</v>
          </cell>
        </row>
        <row r="192">
          <cell r="K192">
            <v>2475.9899999999998</v>
          </cell>
          <cell r="L192">
            <v>62766.3465</v>
          </cell>
          <cell r="M192">
            <v>62766.3465</v>
          </cell>
        </row>
        <row r="193">
          <cell r="K193">
            <v>3369.33</v>
          </cell>
          <cell r="L193">
            <v>81638.865900000004</v>
          </cell>
          <cell r="M193">
            <v>81638.865900000004</v>
          </cell>
        </row>
        <row r="194">
          <cell r="K194">
            <v>1242.32</v>
          </cell>
          <cell r="L194">
            <v>32648.169600000001</v>
          </cell>
          <cell r="M194">
            <v>32648.169600000001</v>
          </cell>
        </row>
        <row r="195">
          <cell r="K195">
            <v>2516.58</v>
          </cell>
          <cell r="L195">
            <v>67645.670400000003</v>
          </cell>
          <cell r="M195">
            <v>67645.670400000003</v>
          </cell>
        </row>
        <row r="196">
          <cell r="K196">
            <v>1095.8900000000001</v>
          </cell>
          <cell r="L196">
            <v>30016.427100000004</v>
          </cell>
          <cell r="M196">
            <v>30016.427100000004</v>
          </cell>
        </row>
        <row r="197">
          <cell r="K197">
            <v>2584.63</v>
          </cell>
          <cell r="L197">
            <v>73015.797500000001</v>
          </cell>
          <cell r="M197">
            <v>73015.797500000001</v>
          </cell>
        </row>
        <row r="198">
          <cell r="K198">
            <v>2467.75</v>
          </cell>
          <cell r="L198">
            <v>70256.842499999999</v>
          </cell>
          <cell r="M198">
            <v>70256.842499999999</v>
          </cell>
        </row>
        <row r="199">
          <cell r="K199">
            <v>2688.43</v>
          </cell>
          <cell r="L199">
            <v>61645.699899999992</v>
          </cell>
          <cell r="M199">
            <v>61645.699899999992</v>
          </cell>
        </row>
        <row r="200">
          <cell r="K200">
            <v>2661.48</v>
          </cell>
          <cell r="L200">
            <v>61160.810400000002</v>
          </cell>
          <cell r="M200">
            <v>61160.810400000002</v>
          </cell>
        </row>
        <row r="204">
          <cell r="K204">
            <v>298120.84999999998</v>
          </cell>
          <cell r="L204">
            <v>6224763.3479999993</v>
          </cell>
          <cell r="M204">
            <v>6224763.3479999993</v>
          </cell>
        </row>
        <row r="209">
          <cell r="K209">
            <v>0</v>
          </cell>
          <cell r="L209">
            <v>0</v>
          </cell>
          <cell r="M209">
            <v>0</v>
          </cell>
        </row>
        <row r="216">
          <cell r="K216">
            <v>0</v>
          </cell>
          <cell r="L216">
            <v>0</v>
          </cell>
          <cell r="M216">
            <v>0</v>
          </cell>
        </row>
        <row r="220">
          <cell r="K220">
            <v>71.16</v>
          </cell>
          <cell r="L220">
            <v>1322.1527999999998</v>
          </cell>
          <cell r="M220">
            <v>1322.1527999999998</v>
          </cell>
        </row>
        <row r="224">
          <cell r="K224">
            <v>23516.080000000002</v>
          </cell>
          <cell r="L224">
            <v>497835.41360000009</v>
          </cell>
          <cell r="M224">
            <v>497835.41360000009</v>
          </cell>
        </row>
        <row r="228">
          <cell r="K228">
            <v>23963.93</v>
          </cell>
          <cell r="L228">
            <v>545419.04680000001</v>
          </cell>
          <cell r="M228">
            <v>545419.04680000001</v>
          </cell>
        </row>
        <row r="232">
          <cell r="K232">
            <v>52.52</v>
          </cell>
          <cell r="L232">
            <v>1096.6176</v>
          </cell>
          <cell r="M232">
            <v>1096.6176</v>
          </cell>
        </row>
        <row r="236">
          <cell r="K236">
            <v>26545.64</v>
          </cell>
          <cell r="L236">
            <v>576836.75719999999</v>
          </cell>
          <cell r="M236">
            <v>576836.75719999999</v>
          </cell>
        </row>
        <row r="238">
          <cell r="K238">
            <v>0</v>
          </cell>
          <cell r="L238">
            <v>0</v>
          </cell>
          <cell r="M238">
            <v>0</v>
          </cell>
        </row>
        <row r="240">
          <cell r="K240">
            <v>0</v>
          </cell>
          <cell r="L240">
            <v>0</v>
          </cell>
          <cell r="M240">
            <v>0</v>
          </cell>
        </row>
        <row r="242">
          <cell r="K242">
            <v>0</v>
          </cell>
          <cell r="L242">
            <v>0</v>
          </cell>
          <cell r="M242">
            <v>0</v>
          </cell>
        </row>
        <row r="247">
          <cell r="K247">
            <v>0</v>
          </cell>
          <cell r="L247">
            <v>0</v>
          </cell>
          <cell r="M247">
            <v>0</v>
          </cell>
        </row>
        <row r="251">
          <cell r="K251">
            <v>0</v>
          </cell>
          <cell r="L251">
            <v>0</v>
          </cell>
          <cell r="M251">
            <v>0</v>
          </cell>
        </row>
        <row r="255">
          <cell r="K255">
            <v>0</v>
          </cell>
          <cell r="L255">
            <v>0</v>
          </cell>
          <cell r="M255">
            <v>0</v>
          </cell>
        </row>
        <row r="259">
          <cell r="K259">
            <v>0</v>
          </cell>
          <cell r="L259">
            <v>0</v>
          </cell>
          <cell r="M259">
            <v>0</v>
          </cell>
        </row>
        <row r="263">
          <cell r="K263">
            <v>89.22</v>
          </cell>
          <cell r="L263">
            <v>3193.1837999999998</v>
          </cell>
          <cell r="M263">
            <v>3193.1837999999998</v>
          </cell>
        </row>
        <row r="267">
          <cell r="K267">
            <v>0</v>
          </cell>
          <cell r="L267">
            <v>0</v>
          </cell>
          <cell r="M267">
            <v>0</v>
          </cell>
        </row>
        <row r="269">
          <cell r="K269">
            <v>0</v>
          </cell>
          <cell r="L269">
            <v>0</v>
          </cell>
          <cell r="M269">
            <v>0</v>
          </cell>
        </row>
        <row r="277">
          <cell r="K277">
            <v>307050.19999999995</v>
          </cell>
          <cell r="L277">
            <v>7169622.169999999</v>
          </cell>
          <cell r="M277">
            <v>7169622.169999999</v>
          </cell>
        </row>
        <row r="282">
          <cell r="K282">
            <v>37289.61</v>
          </cell>
          <cell r="L282">
            <v>877797.41940000001</v>
          </cell>
          <cell r="M282">
            <v>877797.41940000001</v>
          </cell>
        </row>
        <row r="283">
          <cell r="K283">
            <v>0</v>
          </cell>
          <cell r="L283">
            <v>0</v>
          </cell>
          <cell r="M283">
            <v>0</v>
          </cell>
        </row>
        <row r="284">
          <cell r="K284">
            <v>4657.92</v>
          </cell>
          <cell r="L284">
            <v>90270.489600000001</v>
          </cell>
          <cell r="M284">
            <v>90270.489600000001</v>
          </cell>
        </row>
        <row r="285">
          <cell r="K285">
            <v>4814.1499999999996</v>
          </cell>
          <cell r="L285">
            <v>95416.452999999994</v>
          </cell>
          <cell r="M285">
            <v>95416.452999999994</v>
          </cell>
        </row>
        <row r="286">
          <cell r="K286">
            <v>3499.35</v>
          </cell>
          <cell r="L286">
            <v>71981.629499999995</v>
          </cell>
          <cell r="M286">
            <v>71981.629499999995</v>
          </cell>
        </row>
        <row r="287">
          <cell r="K287">
            <v>731.34</v>
          </cell>
          <cell r="L287">
            <v>15445.900800000001</v>
          </cell>
          <cell r="M287">
            <v>15445.900800000001</v>
          </cell>
        </row>
        <row r="288">
          <cell r="K288">
            <v>1224.0999999999999</v>
          </cell>
          <cell r="L288">
            <v>26550.728999999999</v>
          </cell>
          <cell r="M288">
            <v>26550.728999999999</v>
          </cell>
        </row>
        <row r="289">
          <cell r="K289">
            <v>643.03</v>
          </cell>
          <cell r="L289">
            <v>14609.641599999999</v>
          </cell>
          <cell r="M289">
            <v>14609.641599999999</v>
          </cell>
        </row>
        <row r="290">
          <cell r="K290">
            <v>3520.31</v>
          </cell>
          <cell r="L290">
            <v>81248.754799999995</v>
          </cell>
          <cell r="M290">
            <v>81248.754799999995</v>
          </cell>
        </row>
        <row r="291">
          <cell r="K291">
            <v>3199.85</v>
          </cell>
          <cell r="L291">
            <v>75228.473500000007</v>
          </cell>
          <cell r="M291">
            <v>75228.473500000007</v>
          </cell>
        </row>
        <row r="292">
          <cell r="K292">
            <v>624.53</v>
          </cell>
          <cell r="L292">
            <v>15650.721799999999</v>
          </cell>
          <cell r="M292">
            <v>15650.721799999999</v>
          </cell>
        </row>
        <row r="293">
          <cell r="K293">
            <v>2006.47</v>
          </cell>
          <cell r="L293">
            <v>50462.720499999996</v>
          </cell>
          <cell r="M293">
            <v>50462.720499999996</v>
          </cell>
        </row>
        <row r="294">
          <cell r="K294">
            <v>624.59</v>
          </cell>
          <cell r="L294">
            <v>16289.307199999999</v>
          </cell>
          <cell r="M294">
            <v>16289.307199999999</v>
          </cell>
        </row>
        <row r="295">
          <cell r="K295">
            <v>0</v>
          </cell>
          <cell r="L295">
            <v>0</v>
          </cell>
          <cell r="M295">
            <v>0</v>
          </cell>
        </row>
        <row r="296">
          <cell r="K296">
            <v>48.76</v>
          </cell>
          <cell r="L296">
            <v>1046.8771999999999</v>
          </cell>
          <cell r="M296">
            <v>1046.8771999999999</v>
          </cell>
        </row>
        <row r="301">
          <cell r="K301">
            <v>16625.36</v>
          </cell>
          <cell r="L301">
            <v>379556.96879999997</v>
          </cell>
          <cell r="M301">
            <v>379556.96879999997</v>
          </cell>
        </row>
        <row r="306">
          <cell r="K306">
            <v>35589.89</v>
          </cell>
          <cell r="L306">
            <v>752726.17349999992</v>
          </cell>
          <cell r="M306">
            <v>752726.17349999992</v>
          </cell>
        </row>
        <row r="308">
          <cell r="K308">
            <v>0</v>
          </cell>
          <cell r="L308">
            <v>0</v>
          </cell>
          <cell r="M308">
            <v>0</v>
          </cell>
        </row>
        <row r="309">
          <cell r="K309">
            <v>435.96</v>
          </cell>
          <cell r="L309">
            <v>17455.838400000001</v>
          </cell>
          <cell r="M309">
            <v>17455.838400000001</v>
          </cell>
        </row>
        <row r="310">
          <cell r="K310">
            <v>0</v>
          </cell>
          <cell r="L310">
            <v>0</v>
          </cell>
          <cell r="M310">
            <v>0</v>
          </cell>
        </row>
        <row r="311">
          <cell r="K311">
            <v>0</v>
          </cell>
          <cell r="L311">
            <v>0</v>
          </cell>
          <cell r="M311">
            <v>0</v>
          </cell>
        </row>
        <row r="312">
          <cell r="K312">
            <v>0</v>
          </cell>
          <cell r="L312">
            <v>0</v>
          </cell>
          <cell r="M312">
            <v>0</v>
          </cell>
        </row>
        <row r="313">
          <cell r="K313">
            <v>0</v>
          </cell>
          <cell r="L313">
            <v>0</v>
          </cell>
          <cell r="M313">
            <v>0</v>
          </cell>
        </row>
        <row r="314">
          <cell r="K314">
            <v>0</v>
          </cell>
          <cell r="L314">
            <v>0</v>
          </cell>
          <cell r="M314">
            <v>0</v>
          </cell>
        </row>
        <row r="315">
          <cell r="K315">
            <v>0</v>
          </cell>
          <cell r="L315">
            <v>0</v>
          </cell>
          <cell r="M315">
            <v>0</v>
          </cell>
        </row>
        <row r="316">
          <cell r="K316">
            <v>0</v>
          </cell>
          <cell r="L316">
            <v>0</v>
          </cell>
          <cell r="M316">
            <v>0</v>
          </cell>
        </row>
        <row r="317">
          <cell r="K317">
            <v>0</v>
          </cell>
          <cell r="L317">
            <v>0</v>
          </cell>
          <cell r="M317">
            <v>0</v>
          </cell>
        </row>
        <row r="318">
          <cell r="K318">
            <v>0</v>
          </cell>
          <cell r="L318">
            <v>0</v>
          </cell>
          <cell r="M318">
            <v>0</v>
          </cell>
        </row>
        <row r="319">
          <cell r="K319">
            <v>0</v>
          </cell>
          <cell r="L319">
            <v>0</v>
          </cell>
          <cell r="M319">
            <v>0</v>
          </cell>
        </row>
        <row r="320">
          <cell r="K320">
            <v>0</v>
          </cell>
          <cell r="L320">
            <v>0</v>
          </cell>
          <cell r="M320">
            <v>0</v>
          </cell>
        </row>
        <row r="321">
          <cell r="K321">
            <v>0</v>
          </cell>
          <cell r="L321">
            <v>0</v>
          </cell>
          <cell r="M321">
            <v>0</v>
          </cell>
        </row>
        <row r="322">
          <cell r="K322">
            <v>0</v>
          </cell>
          <cell r="L322">
            <v>0</v>
          </cell>
          <cell r="M322">
            <v>0</v>
          </cell>
        </row>
        <row r="323">
          <cell r="K323">
            <v>0</v>
          </cell>
          <cell r="L323">
            <v>0</v>
          </cell>
          <cell r="M323">
            <v>0</v>
          </cell>
        </row>
        <row r="324">
          <cell r="K324">
            <v>0</v>
          </cell>
          <cell r="L324">
            <v>0</v>
          </cell>
          <cell r="M324">
            <v>0</v>
          </cell>
        </row>
        <row r="336">
          <cell r="K336">
            <v>485.09</v>
          </cell>
          <cell r="L336">
            <v>6354.6789999999992</v>
          </cell>
          <cell r="M336">
            <v>6354.6789999999992</v>
          </cell>
        </row>
        <row r="345">
          <cell r="K345">
            <v>8682</v>
          </cell>
          <cell r="L345">
            <v>166421.95919999998</v>
          </cell>
          <cell r="M345">
            <v>166421.95919999998</v>
          </cell>
        </row>
        <row r="349">
          <cell r="K349">
            <v>0</v>
          </cell>
          <cell r="L349">
            <v>0</v>
          </cell>
          <cell r="M349">
            <v>0</v>
          </cell>
        </row>
        <row r="386">
          <cell r="K386">
            <v>5159</v>
          </cell>
          <cell r="L386">
            <v>1751033.14</v>
          </cell>
          <cell r="M386">
            <v>1751033.14</v>
          </cell>
        </row>
        <row r="424">
          <cell r="K424">
            <v>1985</v>
          </cell>
          <cell r="L424">
            <v>633294.02999999991</v>
          </cell>
          <cell r="M424">
            <v>633294.02999999991</v>
          </cell>
        </row>
        <row r="432">
          <cell r="K432">
            <v>1528</v>
          </cell>
          <cell r="L432">
            <v>503193.82999999996</v>
          </cell>
          <cell r="M432">
            <v>503193.82999999996</v>
          </cell>
        </row>
        <row r="436">
          <cell r="K436">
            <v>0</v>
          </cell>
          <cell r="L436">
            <v>0</v>
          </cell>
          <cell r="M436">
            <v>0</v>
          </cell>
        </row>
        <row r="439">
          <cell r="K439">
            <v>57</v>
          </cell>
          <cell r="L439">
            <v>21014.190000000002</v>
          </cell>
          <cell r="M439">
            <v>21014.190000000002</v>
          </cell>
        </row>
        <row r="452">
          <cell r="K452">
            <v>183233.21</v>
          </cell>
          <cell r="L452">
            <v>425348.87300000002</v>
          </cell>
          <cell r="M452">
            <v>425348.87300000002</v>
          </cell>
        </row>
        <row r="472">
          <cell r="K472">
            <v>36413.99</v>
          </cell>
          <cell r="L472">
            <v>136475.19</v>
          </cell>
          <cell r="M472">
            <v>136475.19</v>
          </cell>
        </row>
        <row r="479">
          <cell r="K479">
            <v>12947.51</v>
          </cell>
          <cell r="L479">
            <v>4709.8230000000003</v>
          </cell>
          <cell r="M479">
            <v>4709.8230000000003</v>
          </cell>
        </row>
        <row r="521">
          <cell r="K521">
            <v>21615</v>
          </cell>
          <cell r="L521">
            <v>2453666.52</v>
          </cell>
          <cell r="M521">
            <v>2453666.52</v>
          </cell>
        </row>
        <row r="581">
          <cell r="K581">
            <v>21698</v>
          </cell>
          <cell r="L581">
            <v>2337004.7609999999</v>
          </cell>
          <cell r="M581">
            <v>2337004.7609999999</v>
          </cell>
        </row>
        <row r="601">
          <cell r="K601">
            <v>26579</v>
          </cell>
          <cell r="L601">
            <v>2303921.1800000002</v>
          </cell>
          <cell r="M601">
            <v>2303921.1800000002</v>
          </cell>
        </row>
        <row r="609">
          <cell r="K609">
            <v>64</v>
          </cell>
          <cell r="L609">
            <v>3176.96</v>
          </cell>
          <cell r="M609">
            <v>3176.96</v>
          </cell>
        </row>
        <row r="618">
          <cell r="K618">
            <v>108.65</v>
          </cell>
          <cell r="L618">
            <v>167.32100000000003</v>
          </cell>
          <cell r="M618">
            <v>167.32100000000003</v>
          </cell>
        </row>
        <row r="626">
          <cell r="K626">
            <v>874071.05</v>
          </cell>
          <cell r="L626">
            <v>1663386.2323</v>
          </cell>
          <cell r="M626">
            <v>1663386.2323</v>
          </cell>
        </row>
        <row r="632">
          <cell r="K632">
            <v>657.74</v>
          </cell>
          <cell r="L632">
            <v>526.19200000000001</v>
          </cell>
          <cell r="M632">
            <v>526.19200000000001</v>
          </cell>
        </row>
        <row r="642">
          <cell r="K642">
            <v>3064.14</v>
          </cell>
          <cell r="L642">
            <v>4596.21</v>
          </cell>
          <cell r="M642">
            <v>4596.21</v>
          </cell>
        </row>
        <row r="657">
          <cell r="K657">
            <v>4264</v>
          </cell>
          <cell r="L657">
            <v>91258.2</v>
          </cell>
          <cell r="M657">
            <v>91258.2</v>
          </cell>
        </row>
        <row r="669">
          <cell r="K669">
            <v>572</v>
          </cell>
          <cell r="L669">
            <v>28600</v>
          </cell>
          <cell r="M669">
            <v>28600</v>
          </cell>
        </row>
        <row r="746">
          <cell r="K746">
            <v>87330.21</v>
          </cell>
          <cell r="L746">
            <v>52532.522899999996</v>
          </cell>
          <cell r="M746">
            <v>52532.522899999996</v>
          </cell>
        </row>
        <row r="766">
          <cell r="L766">
            <v>560976.36309999996</v>
          </cell>
          <cell r="M766">
            <v>560976.36309999996</v>
          </cell>
        </row>
        <row r="771">
          <cell r="L771">
            <v>37746.529879800008</v>
          </cell>
          <cell r="M771">
            <v>37746.529879800008</v>
          </cell>
        </row>
      </sheetData>
      <sheetData sheetId="22">
        <row r="99">
          <cell r="K99">
            <v>1146766.08</v>
          </cell>
          <cell r="L99">
            <v>17050058.3299</v>
          </cell>
          <cell r="M99">
            <v>17050058.3299</v>
          </cell>
        </row>
        <row r="102">
          <cell r="K102">
            <v>37184.269999999997</v>
          </cell>
          <cell r="L102">
            <v>74368.539999999994</v>
          </cell>
          <cell r="M102">
            <v>74368.539999999994</v>
          </cell>
        </row>
        <row r="105">
          <cell r="K105">
            <v>0</v>
          </cell>
          <cell r="L105">
            <v>0</v>
          </cell>
          <cell r="M105">
            <v>0</v>
          </cell>
        </row>
        <row r="114">
          <cell r="K114">
            <v>35.299999999999997</v>
          </cell>
          <cell r="L114">
            <v>659.40399999999988</v>
          </cell>
          <cell r="M114">
            <v>659.40399999999988</v>
          </cell>
        </row>
        <row r="119">
          <cell r="K119">
            <v>110.65</v>
          </cell>
          <cell r="L119">
            <v>2310.3719999999998</v>
          </cell>
          <cell r="M119">
            <v>2310.3719999999998</v>
          </cell>
        </row>
        <row r="125">
          <cell r="K125">
            <v>0</v>
          </cell>
          <cell r="L125">
            <v>0</v>
          </cell>
          <cell r="M125">
            <v>0</v>
          </cell>
        </row>
        <row r="130">
          <cell r="K130">
            <v>0</v>
          </cell>
          <cell r="L130">
            <v>0</v>
          </cell>
          <cell r="M130">
            <v>0</v>
          </cell>
        </row>
        <row r="135">
          <cell r="K135">
            <v>0</v>
          </cell>
          <cell r="L135">
            <v>0</v>
          </cell>
          <cell r="M135">
            <v>0</v>
          </cell>
        </row>
        <row r="143">
          <cell r="K143">
            <v>5147.3500000000004</v>
          </cell>
          <cell r="L143">
            <v>117462.52700000002</v>
          </cell>
          <cell r="M143">
            <v>117462.52700000002</v>
          </cell>
        </row>
        <row r="149">
          <cell r="K149">
            <v>1083.03</v>
          </cell>
          <cell r="L149">
            <v>45649.714499999995</v>
          </cell>
          <cell r="M149">
            <v>45649.714499999995</v>
          </cell>
        </row>
        <row r="157">
          <cell r="K157">
            <v>12486.64</v>
          </cell>
          <cell r="L157">
            <v>177310.28799999997</v>
          </cell>
          <cell r="M157">
            <v>177310.28799999997</v>
          </cell>
        </row>
        <row r="162">
          <cell r="K162">
            <v>24511.54</v>
          </cell>
          <cell r="L162">
            <v>388998.1398</v>
          </cell>
          <cell r="M162">
            <v>388998.1398</v>
          </cell>
        </row>
        <row r="167">
          <cell r="K167">
            <v>680857.75</v>
          </cell>
          <cell r="L167">
            <v>12718422.77</v>
          </cell>
          <cell r="M167">
            <v>12718422.77</v>
          </cell>
        </row>
        <row r="172">
          <cell r="K172">
            <v>291820.59999999998</v>
          </cell>
          <cell r="L172">
            <v>6093214.1279999996</v>
          </cell>
          <cell r="M172">
            <v>6093214.1279999996</v>
          </cell>
        </row>
        <row r="177">
          <cell r="K177">
            <v>0</v>
          </cell>
          <cell r="L177">
            <v>0</v>
          </cell>
          <cell r="M177">
            <v>0</v>
          </cell>
        </row>
        <row r="183">
          <cell r="K183">
            <v>1135.53</v>
          </cell>
          <cell r="L183">
            <v>29762.241300000002</v>
          </cell>
          <cell r="M183">
            <v>29762.241300000002</v>
          </cell>
        </row>
        <row r="188">
          <cell r="K188">
            <v>3475.7799999999997</v>
          </cell>
          <cell r="L188">
            <v>101840.35399999999</v>
          </cell>
          <cell r="M188">
            <v>101840.35399999999</v>
          </cell>
        </row>
        <row r="193">
          <cell r="K193">
            <v>93893.300000000017</v>
          </cell>
          <cell r="L193">
            <v>3237440.9840000002</v>
          </cell>
          <cell r="M193">
            <v>3237440.9840000002</v>
          </cell>
        </row>
        <row r="198">
          <cell r="K198">
            <v>32694.560000000001</v>
          </cell>
          <cell r="L198">
            <v>1260375.2879999999</v>
          </cell>
          <cell r="M198">
            <v>1260375.2879999999</v>
          </cell>
        </row>
        <row r="203">
          <cell r="K203">
            <v>0</v>
          </cell>
          <cell r="L203">
            <v>0</v>
          </cell>
          <cell r="M203">
            <v>0</v>
          </cell>
        </row>
        <row r="214">
          <cell r="K214">
            <v>0</v>
          </cell>
          <cell r="L214">
            <v>0</v>
          </cell>
          <cell r="M214">
            <v>0</v>
          </cell>
        </row>
        <row r="219">
          <cell r="K219">
            <v>0</v>
          </cell>
          <cell r="L219">
            <v>0</v>
          </cell>
          <cell r="M219">
            <v>0</v>
          </cell>
        </row>
        <row r="225">
          <cell r="K225">
            <v>0</v>
          </cell>
          <cell r="L225">
            <v>0</v>
          </cell>
          <cell r="M225">
            <v>0</v>
          </cell>
        </row>
        <row r="230">
          <cell r="K230">
            <v>0</v>
          </cell>
          <cell r="L230">
            <v>0</v>
          </cell>
          <cell r="M230">
            <v>0</v>
          </cell>
        </row>
        <row r="238">
          <cell r="K238">
            <v>12486.64</v>
          </cell>
          <cell r="L238">
            <v>20852.6888</v>
          </cell>
          <cell r="M238">
            <v>20852.6888</v>
          </cell>
        </row>
        <row r="243">
          <cell r="K243">
            <v>681133.5</v>
          </cell>
          <cell r="L243">
            <v>1498493.7000000002</v>
          </cell>
          <cell r="M243">
            <v>1498493.7000000002</v>
          </cell>
        </row>
        <row r="249">
          <cell r="K249">
            <v>1135.53</v>
          </cell>
          <cell r="L249">
            <v>3497.4324000000001</v>
          </cell>
          <cell r="M249">
            <v>3497.4324000000001</v>
          </cell>
        </row>
        <row r="254">
          <cell r="K254">
            <v>94245.1</v>
          </cell>
          <cell r="L254">
            <v>382635.10599999997</v>
          </cell>
          <cell r="M254">
            <v>382635.10599999997</v>
          </cell>
        </row>
        <row r="285">
          <cell r="K285">
            <v>0</v>
          </cell>
          <cell r="L285">
            <v>0</v>
          </cell>
          <cell r="M285">
            <v>0</v>
          </cell>
        </row>
        <row r="307">
          <cell r="K307">
            <v>16063</v>
          </cell>
          <cell r="L307">
            <v>5670915.4000000004</v>
          </cell>
          <cell r="M307">
            <v>5670915.4000000004</v>
          </cell>
        </row>
        <row r="314">
          <cell r="K314">
            <v>134</v>
          </cell>
          <cell r="L314">
            <v>45128.52</v>
          </cell>
          <cell r="M314">
            <v>45128.52</v>
          </cell>
        </row>
        <row r="320">
          <cell r="K320">
            <v>11499.05</v>
          </cell>
          <cell r="L320">
            <v>27597.719999999998</v>
          </cell>
          <cell r="M320">
            <v>27597.719999999998</v>
          </cell>
        </row>
        <row r="324">
          <cell r="K324">
            <v>870992.80999999994</v>
          </cell>
          <cell r="L324">
            <v>2090382.7439999997</v>
          </cell>
          <cell r="M324">
            <v>2090382.7439999997</v>
          </cell>
        </row>
        <row r="364">
          <cell r="K364">
            <v>14887</v>
          </cell>
          <cell r="L364">
            <v>1898807.99</v>
          </cell>
          <cell r="M364">
            <v>1898807.99</v>
          </cell>
        </row>
        <row r="408">
          <cell r="K408">
            <v>14887</v>
          </cell>
          <cell r="L408">
            <v>1329668.3099999998</v>
          </cell>
          <cell r="M408">
            <v>1329668.3099999998</v>
          </cell>
        </row>
        <row r="432">
          <cell r="K432">
            <v>20727</v>
          </cell>
          <cell r="L432">
            <v>966368.59000000008</v>
          </cell>
          <cell r="M432">
            <v>966368.59000000008</v>
          </cell>
        </row>
        <row r="440">
          <cell r="K440">
            <v>0</v>
          </cell>
          <cell r="L440">
            <v>0</v>
          </cell>
          <cell r="M440">
            <v>0</v>
          </cell>
        </row>
        <row r="455">
          <cell r="K455">
            <v>1053884.27</v>
          </cell>
          <cell r="L455">
            <v>1688468.1904000002</v>
          </cell>
          <cell r="M455">
            <v>1688468.1904000002</v>
          </cell>
        </row>
        <row r="469">
          <cell r="K469">
            <v>18308.23</v>
          </cell>
          <cell r="L469">
            <v>29293.168000000001</v>
          </cell>
          <cell r="M469">
            <v>29293.168000000001</v>
          </cell>
        </row>
        <row r="479">
          <cell r="K479">
            <v>75037.08</v>
          </cell>
          <cell r="L479">
            <v>120059.32800000001</v>
          </cell>
          <cell r="M479">
            <v>120059.32800000001</v>
          </cell>
        </row>
        <row r="498">
          <cell r="K498">
            <v>12358</v>
          </cell>
          <cell r="L498">
            <v>345517.30000000005</v>
          </cell>
          <cell r="M498">
            <v>345517.30000000005</v>
          </cell>
        </row>
        <row r="512">
          <cell r="K512">
            <v>1538</v>
          </cell>
          <cell r="L512">
            <v>76900</v>
          </cell>
          <cell r="M512">
            <v>76900</v>
          </cell>
        </row>
        <row r="606">
          <cell r="K606">
            <v>77468.149999999994</v>
          </cell>
          <cell r="L606">
            <v>46505.061999999991</v>
          </cell>
          <cell r="M606">
            <v>46505.061999999991</v>
          </cell>
        </row>
        <row r="616">
          <cell r="K616">
            <v>1146766.0799999998</v>
          </cell>
          <cell r="L616">
            <v>860919.56939999992</v>
          </cell>
          <cell r="M616">
            <v>860919.56939999992</v>
          </cell>
        </row>
        <row r="621">
          <cell r="L621">
            <v>48521.962059499987</v>
          </cell>
          <cell r="M621">
            <v>48521.962059499987</v>
          </cell>
        </row>
      </sheetData>
      <sheetData sheetId="23">
        <row r="29">
          <cell r="K29">
            <v>52980.32</v>
          </cell>
          <cell r="L29">
            <v>788347.16159999999</v>
          </cell>
          <cell r="M29">
            <v>788347.16159999999</v>
          </cell>
        </row>
        <row r="36">
          <cell r="K36">
            <v>0</v>
          </cell>
          <cell r="L36">
            <v>0</v>
          </cell>
          <cell r="M36">
            <v>0</v>
          </cell>
        </row>
        <row r="42">
          <cell r="K42">
            <v>6603.62</v>
          </cell>
          <cell r="L42">
            <v>137883.58559999999</v>
          </cell>
          <cell r="M42">
            <v>137883.58559999999</v>
          </cell>
        </row>
        <row r="45">
          <cell r="K45">
            <v>46376.7</v>
          </cell>
          <cell r="L45">
            <v>1659822.0929999999</v>
          </cell>
          <cell r="M45">
            <v>1659822.0929999999</v>
          </cell>
        </row>
        <row r="56">
          <cell r="K56">
            <v>897</v>
          </cell>
          <cell r="L56">
            <v>323754.21000000002</v>
          </cell>
          <cell r="M56">
            <v>323754.21000000002</v>
          </cell>
        </row>
        <row r="61">
          <cell r="K61">
            <v>52980.32</v>
          </cell>
          <cell r="L61">
            <v>112318.27840000001</v>
          </cell>
          <cell r="M61">
            <v>112318.27840000001</v>
          </cell>
        </row>
        <row r="79">
          <cell r="K79">
            <v>901</v>
          </cell>
          <cell r="L79">
            <v>121157.47</v>
          </cell>
          <cell r="M79">
            <v>121157.47</v>
          </cell>
        </row>
        <row r="97">
          <cell r="K97">
            <v>901</v>
          </cell>
          <cell r="L97">
            <v>81315.25</v>
          </cell>
          <cell r="M97">
            <v>81315.25</v>
          </cell>
        </row>
        <row r="103">
          <cell r="K103">
            <v>1966</v>
          </cell>
          <cell r="L103">
            <v>88017.82</v>
          </cell>
          <cell r="M103">
            <v>88017.82</v>
          </cell>
        </row>
        <row r="119">
          <cell r="K119">
            <v>52980.32</v>
          </cell>
          <cell r="L119">
            <v>83708.905599999998</v>
          </cell>
          <cell r="M119">
            <v>83708.905599999998</v>
          </cell>
        </row>
        <row r="127">
          <cell r="K127">
            <v>615</v>
          </cell>
          <cell r="L127">
            <v>12792</v>
          </cell>
          <cell r="M127">
            <v>12792</v>
          </cell>
        </row>
        <row r="132">
          <cell r="K132">
            <v>0</v>
          </cell>
          <cell r="L132">
            <v>0</v>
          </cell>
          <cell r="M132">
            <v>0</v>
          </cell>
        </row>
        <row r="172">
          <cell r="K172">
            <v>3897.83</v>
          </cell>
          <cell r="L172">
            <v>3897.83</v>
          </cell>
          <cell r="M172">
            <v>3897.83</v>
          </cell>
        </row>
        <row r="182">
          <cell r="K182">
            <v>52980.32</v>
          </cell>
          <cell r="L182">
            <v>42384.256000000001</v>
          </cell>
          <cell r="M182">
            <v>42384.256000000001</v>
          </cell>
        </row>
        <row r="186">
          <cell r="L186">
            <v>1557.1653271999996</v>
          </cell>
          <cell r="M186">
            <v>1557.1653271999996</v>
          </cell>
        </row>
      </sheetData>
      <sheetData sheetId="24">
        <row r="49">
          <cell r="K49">
            <v>18949.329999999998</v>
          </cell>
          <cell r="L49">
            <v>161400.1072</v>
          </cell>
          <cell r="M49">
            <v>161400.1072</v>
          </cell>
        </row>
        <row r="58">
          <cell r="K58">
            <v>17788.87</v>
          </cell>
          <cell r="L58">
            <v>282309.36689999996</v>
          </cell>
          <cell r="M58">
            <v>282309.36689999996</v>
          </cell>
        </row>
        <row r="64">
          <cell r="K64">
            <v>1160.46</v>
          </cell>
          <cell r="L64">
            <v>31564.511999999999</v>
          </cell>
          <cell r="M64">
            <v>31564.511999999999</v>
          </cell>
        </row>
        <row r="72">
          <cell r="K72">
            <v>0</v>
          </cell>
          <cell r="L72">
            <v>0</v>
          </cell>
          <cell r="M72">
            <v>0</v>
          </cell>
        </row>
        <row r="78">
          <cell r="K78">
            <v>0</v>
          </cell>
          <cell r="L78">
            <v>0</v>
          </cell>
          <cell r="M78">
            <v>0</v>
          </cell>
        </row>
        <row r="83">
          <cell r="K83">
            <v>0</v>
          </cell>
          <cell r="L83">
            <v>0</v>
          </cell>
          <cell r="M83">
            <v>0</v>
          </cell>
        </row>
        <row r="85">
          <cell r="K85">
            <v>0</v>
          </cell>
          <cell r="L85">
            <v>0</v>
          </cell>
          <cell r="M85">
            <v>0</v>
          </cell>
        </row>
        <row r="113">
          <cell r="K113">
            <v>658</v>
          </cell>
          <cell r="L113">
            <v>102804.84999999999</v>
          </cell>
          <cell r="M113">
            <v>102804.84999999999</v>
          </cell>
        </row>
        <row r="132">
          <cell r="K132">
            <v>0</v>
          </cell>
          <cell r="L132">
            <v>0</v>
          </cell>
          <cell r="M132">
            <v>0</v>
          </cell>
        </row>
        <row r="141">
          <cell r="K141">
            <v>0</v>
          </cell>
          <cell r="L141">
            <v>0</v>
          </cell>
          <cell r="M141">
            <v>0</v>
          </cell>
        </row>
        <row r="180">
          <cell r="K180">
            <v>843</v>
          </cell>
          <cell r="L180">
            <v>75908.650000000009</v>
          </cell>
          <cell r="M180">
            <v>75908.650000000009</v>
          </cell>
        </row>
        <row r="224">
          <cell r="K224">
            <v>843</v>
          </cell>
          <cell r="L224">
            <v>62798.45</v>
          </cell>
          <cell r="M224">
            <v>62798.45</v>
          </cell>
        </row>
        <row r="248">
          <cell r="K248">
            <v>237</v>
          </cell>
          <cell r="L248">
            <v>17712.64</v>
          </cell>
          <cell r="M248">
            <v>17712.64</v>
          </cell>
        </row>
        <row r="253">
          <cell r="K253">
            <v>0</v>
          </cell>
          <cell r="L253">
            <v>0</v>
          </cell>
          <cell r="M253">
            <v>0</v>
          </cell>
        </row>
        <row r="262">
          <cell r="K262">
            <v>0</v>
          </cell>
          <cell r="L262">
            <v>0</v>
          </cell>
          <cell r="M262">
            <v>0</v>
          </cell>
        </row>
        <row r="292">
          <cell r="K292">
            <v>18</v>
          </cell>
          <cell r="L292">
            <v>374.40000000000003</v>
          </cell>
          <cell r="M292">
            <v>374.40000000000003</v>
          </cell>
        </row>
        <row r="307">
          <cell r="K307">
            <v>2</v>
          </cell>
          <cell r="L307">
            <v>100</v>
          </cell>
          <cell r="M307">
            <v>100</v>
          </cell>
        </row>
        <row r="401">
          <cell r="K401">
            <v>3100.0699999999997</v>
          </cell>
          <cell r="L401">
            <v>1612.8524</v>
          </cell>
          <cell r="M401">
            <v>1612.8524</v>
          </cell>
        </row>
        <row r="411">
          <cell r="K411">
            <v>0</v>
          </cell>
          <cell r="L411">
            <v>0</v>
          </cell>
          <cell r="M411">
            <v>0</v>
          </cell>
        </row>
        <row r="416">
          <cell r="L416">
            <v>705.02131650000001</v>
          </cell>
          <cell r="M416">
            <v>705.02131650000001</v>
          </cell>
        </row>
      </sheetData>
      <sheetData sheetId="25">
        <row r="29">
          <cell r="K29">
            <v>8382.08</v>
          </cell>
          <cell r="L29">
            <v>59648.252599999993</v>
          </cell>
          <cell r="M29">
            <v>59648.252599999993</v>
          </cell>
        </row>
        <row r="36">
          <cell r="K36">
            <v>0</v>
          </cell>
          <cell r="L36">
            <v>0</v>
          </cell>
          <cell r="M36">
            <v>0</v>
          </cell>
        </row>
        <row r="42">
          <cell r="K42">
            <v>8315.41</v>
          </cell>
          <cell r="L42">
            <v>189258.7316</v>
          </cell>
          <cell r="M42">
            <v>189258.7316</v>
          </cell>
        </row>
        <row r="45">
          <cell r="K45">
            <v>66.67</v>
          </cell>
          <cell r="L45">
            <v>2600.7966999999999</v>
          </cell>
          <cell r="M45">
            <v>2600.7966999999999</v>
          </cell>
        </row>
        <row r="61">
          <cell r="K61">
            <v>0</v>
          </cell>
          <cell r="L61">
            <v>0</v>
          </cell>
          <cell r="M61">
            <v>0</v>
          </cell>
        </row>
        <row r="79">
          <cell r="K79">
            <v>20</v>
          </cell>
          <cell r="L79">
            <v>1295.7600000000002</v>
          </cell>
          <cell r="M79">
            <v>1295.7600000000002</v>
          </cell>
        </row>
        <row r="97">
          <cell r="K97">
            <v>606</v>
          </cell>
          <cell r="L97">
            <v>27679.52</v>
          </cell>
          <cell r="M97">
            <v>27679.52</v>
          </cell>
        </row>
        <row r="103">
          <cell r="K103">
            <v>0</v>
          </cell>
          <cell r="L103">
            <v>0</v>
          </cell>
          <cell r="M103">
            <v>0</v>
          </cell>
        </row>
        <row r="115">
          <cell r="K115">
            <v>0</v>
          </cell>
          <cell r="L115">
            <v>0</v>
          </cell>
          <cell r="M115">
            <v>0</v>
          </cell>
        </row>
        <row r="132">
          <cell r="K132">
            <v>0</v>
          </cell>
          <cell r="L132">
            <v>0</v>
          </cell>
          <cell r="M132">
            <v>0</v>
          </cell>
        </row>
        <row r="172">
          <cell r="K172">
            <v>4203.3</v>
          </cell>
          <cell r="L172">
            <v>1561.2862</v>
          </cell>
          <cell r="M172">
            <v>1561.2862</v>
          </cell>
        </row>
        <row r="182">
          <cell r="K182">
            <v>0</v>
          </cell>
          <cell r="L182">
            <v>0</v>
          </cell>
          <cell r="M182">
            <v>0</v>
          </cell>
        </row>
        <row r="186">
          <cell r="L186">
            <v>279.44355039999999</v>
          </cell>
          <cell r="M186">
            <v>279.44355039999999</v>
          </cell>
        </row>
      </sheetData>
      <sheetData sheetId="26">
        <row r="85">
          <cell r="K85">
            <v>34971.15</v>
          </cell>
          <cell r="L85">
            <v>279604.95900000003</v>
          </cell>
          <cell r="M85">
            <v>279604.95900000003</v>
          </cell>
        </row>
        <row r="96">
          <cell r="K96">
            <v>23571.84</v>
          </cell>
          <cell r="L96">
            <v>488879.96159999998</v>
          </cell>
          <cell r="M96">
            <v>488879.96159999998</v>
          </cell>
        </row>
        <row r="103">
          <cell r="K103">
            <v>0</v>
          </cell>
          <cell r="L103">
            <v>0</v>
          </cell>
          <cell r="M103">
            <v>0</v>
          </cell>
        </row>
        <row r="110">
          <cell r="K110">
            <v>0</v>
          </cell>
          <cell r="L110">
            <v>0</v>
          </cell>
          <cell r="M110">
            <v>0</v>
          </cell>
        </row>
        <row r="118">
          <cell r="K118">
            <v>3454.95</v>
          </cell>
          <cell r="L118">
            <v>122823.47249999999</v>
          </cell>
          <cell r="M118">
            <v>122823.47249999999</v>
          </cell>
        </row>
        <row r="125">
          <cell r="K125">
            <v>0</v>
          </cell>
          <cell r="L125">
            <v>0</v>
          </cell>
          <cell r="M125">
            <v>0</v>
          </cell>
        </row>
        <row r="132">
          <cell r="K132">
            <v>0</v>
          </cell>
          <cell r="L132">
            <v>0</v>
          </cell>
          <cell r="M132">
            <v>0</v>
          </cell>
        </row>
        <row r="142">
          <cell r="K142">
            <v>5592.69</v>
          </cell>
          <cell r="L142">
            <v>131651.92259999999</v>
          </cell>
          <cell r="M142">
            <v>131651.92259999999</v>
          </cell>
        </row>
        <row r="148">
          <cell r="K148">
            <v>0</v>
          </cell>
          <cell r="L148">
            <v>0</v>
          </cell>
          <cell r="M148">
            <v>0</v>
          </cell>
        </row>
        <row r="149">
          <cell r="K149">
            <v>0</v>
          </cell>
          <cell r="L149">
            <v>0</v>
          </cell>
          <cell r="M149">
            <v>0</v>
          </cell>
        </row>
        <row r="157">
          <cell r="K157">
            <v>190.24</v>
          </cell>
          <cell r="L157">
            <v>7678.0864000000001</v>
          </cell>
          <cell r="M157">
            <v>7678.0864000000001</v>
          </cell>
        </row>
        <row r="164">
          <cell r="K164">
            <v>0</v>
          </cell>
          <cell r="L164">
            <v>0</v>
          </cell>
          <cell r="M164">
            <v>0</v>
          </cell>
        </row>
        <row r="165">
          <cell r="K165">
            <v>0</v>
          </cell>
          <cell r="L165">
            <v>0</v>
          </cell>
          <cell r="M165">
            <v>0</v>
          </cell>
        </row>
        <row r="170">
          <cell r="K170">
            <v>1751.56</v>
          </cell>
          <cell r="L170">
            <v>28673.037200000002</v>
          </cell>
          <cell r="M170">
            <v>28673.037200000002</v>
          </cell>
        </row>
        <row r="173">
          <cell r="K173">
            <v>0</v>
          </cell>
          <cell r="L173">
            <v>0</v>
          </cell>
          <cell r="M173">
            <v>0</v>
          </cell>
        </row>
        <row r="217">
          <cell r="K217">
            <v>198</v>
          </cell>
          <cell r="L217">
            <v>24656.94</v>
          </cell>
          <cell r="M217">
            <v>24656.94</v>
          </cell>
        </row>
        <row r="259">
          <cell r="K259">
            <v>0</v>
          </cell>
          <cell r="L259">
            <v>0</v>
          </cell>
          <cell r="M259">
            <v>0</v>
          </cell>
        </row>
        <row r="312">
          <cell r="K312">
            <v>1737</v>
          </cell>
          <cell r="L312">
            <v>151363.38</v>
          </cell>
          <cell r="M312">
            <v>151363.38</v>
          </cell>
        </row>
        <row r="372">
          <cell r="K372">
            <v>1769</v>
          </cell>
          <cell r="L372">
            <v>172556.83000000002</v>
          </cell>
          <cell r="M372">
            <v>172556.83000000002</v>
          </cell>
        </row>
        <row r="404">
          <cell r="K404">
            <v>527</v>
          </cell>
          <cell r="L404">
            <v>60366.240000000005</v>
          </cell>
          <cell r="M404">
            <v>60366.240000000005</v>
          </cell>
        </row>
        <row r="414">
          <cell r="K414">
            <v>32</v>
          </cell>
          <cell r="L414">
            <v>2120.3200000000002</v>
          </cell>
          <cell r="M414">
            <v>2120.3200000000002</v>
          </cell>
        </row>
        <row r="471">
          <cell r="K471">
            <v>71.63</v>
          </cell>
          <cell r="L471">
            <v>136.09699999999998</v>
          </cell>
          <cell r="M471">
            <v>136.09699999999998</v>
          </cell>
        </row>
        <row r="530">
          <cell r="K530">
            <v>171</v>
          </cell>
          <cell r="L530">
            <v>4553.3999999999996</v>
          </cell>
          <cell r="M530">
            <v>4553.3999999999996</v>
          </cell>
        </row>
        <row r="548">
          <cell r="K548">
            <v>9</v>
          </cell>
          <cell r="L548">
            <v>450</v>
          </cell>
          <cell r="M548">
            <v>450</v>
          </cell>
        </row>
        <row r="685">
          <cell r="K685">
            <v>7020.2999999999993</v>
          </cell>
          <cell r="L685">
            <v>3545.5212000000001</v>
          </cell>
          <cell r="M685">
            <v>3545.5212000000001</v>
          </cell>
        </row>
        <row r="696">
          <cell r="K696">
            <v>34971.15</v>
          </cell>
          <cell r="L696">
            <v>10171.7356</v>
          </cell>
          <cell r="M696">
            <v>10171.7356</v>
          </cell>
        </row>
        <row r="701">
          <cell r="L701">
            <v>1348.4225116000002</v>
          </cell>
          <cell r="M701">
            <v>1348.4225116000002</v>
          </cell>
        </row>
      </sheetData>
      <sheetData sheetId="27">
        <row r="45">
          <cell r="K45">
            <v>17561.689999999999</v>
          </cell>
          <cell r="L45">
            <v>156027.49400000001</v>
          </cell>
          <cell r="M45">
            <v>156027.49400000001</v>
          </cell>
        </row>
        <row r="48">
          <cell r="K48">
            <v>30</v>
          </cell>
          <cell r="L48">
            <v>3000</v>
          </cell>
          <cell r="M48">
            <v>3000</v>
          </cell>
        </row>
        <row r="67">
          <cell r="K67">
            <v>0</v>
          </cell>
          <cell r="L67">
            <v>0</v>
          </cell>
          <cell r="M67">
            <v>0</v>
          </cell>
        </row>
        <row r="75">
          <cell r="K75">
            <v>1274.8399999999999</v>
          </cell>
          <cell r="L75">
            <v>22959.868399999999</v>
          </cell>
          <cell r="M75">
            <v>22959.868399999999</v>
          </cell>
        </row>
        <row r="80">
          <cell r="K80">
            <v>323.68</v>
          </cell>
          <cell r="L80">
            <v>9995.2384000000002</v>
          </cell>
          <cell r="M80">
            <v>9995.2384000000002</v>
          </cell>
        </row>
        <row r="161">
          <cell r="K161">
            <v>7739.2</v>
          </cell>
          <cell r="L161">
            <v>180710.32</v>
          </cell>
          <cell r="M161">
            <v>180710.32</v>
          </cell>
        </row>
        <row r="162">
          <cell r="K162">
            <v>0</v>
          </cell>
          <cell r="L162">
            <v>0</v>
          </cell>
          <cell r="M162">
            <v>0</v>
          </cell>
        </row>
        <row r="163">
          <cell r="K163">
            <v>0</v>
          </cell>
          <cell r="L163">
            <v>0</v>
          </cell>
          <cell r="M163">
            <v>0</v>
          </cell>
        </row>
        <row r="164">
          <cell r="K164">
            <v>0</v>
          </cell>
          <cell r="L164">
            <v>0</v>
          </cell>
          <cell r="M164">
            <v>0</v>
          </cell>
        </row>
        <row r="165">
          <cell r="K165">
            <v>0</v>
          </cell>
          <cell r="L165">
            <v>0</v>
          </cell>
          <cell r="M165">
            <v>0</v>
          </cell>
        </row>
        <row r="166">
          <cell r="K166">
            <v>0</v>
          </cell>
          <cell r="L166">
            <v>0</v>
          </cell>
          <cell r="M166">
            <v>0</v>
          </cell>
        </row>
        <row r="167">
          <cell r="K167">
            <v>750.42</v>
          </cell>
          <cell r="L167">
            <v>17664.886799999997</v>
          </cell>
          <cell r="M167">
            <v>17664.886799999997</v>
          </cell>
        </row>
        <row r="168">
          <cell r="K168">
            <v>0</v>
          </cell>
          <cell r="L168">
            <v>0</v>
          </cell>
          <cell r="M168">
            <v>0</v>
          </cell>
        </row>
        <row r="169">
          <cell r="K169">
            <v>0</v>
          </cell>
          <cell r="L169">
            <v>0</v>
          </cell>
          <cell r="M169">
            <v>0</v>
          </cell>
        </row>
        <row r="170">
          <cell r="K170">
            <v>0</v>
          </cell>
          <cell r="L170">
            <v>0</v>
          </cell>
          <cell r="M170">
            <v>0</v>
          </cell>
        </row>
        <row r="171">
          <cell r="K171">
            <v>0</v>
          </cell>
          <cell r="L171">
            <v>0</v>
          </cell>
          <cell r="M171">
            <v>0</v>
          </cell>
        </row>
        <row r="172">
          <cell r="K172">
            <v>0</v>
          </cell>
          <cell r="L172">
            <v>0</v>
          </cell>
          <cell r="M172">
            <v>0</v>
          </cell>
        </row>
        <row r="173">
          <cell r="K173">
            <v>4324.84</v>
          </cell>
          <cell r="L173">
            <v>98736.097199999989</v>
          </cell>
          <cell r="M173">
            <v>98736.097199999989</v>
          </cell>
        </row>
        <row r="174">
          <cell r="K174">
            <v>0</v>
          </cell>
          <cell r="L174">
            <v>0</v>
          </cell>
          <cell r="M174">
            <v>0</v>
          </cell>
        </row>
        <row r="175">
          <cell r="K175">
            <v>0</v>
          </cell>
          <cell r="L175">
            <v>0</v>
          </cell>
          <cell r="M175">
            <v>0</v>
          </cell>
        </row>
        <row r="180">
          <cell r="K180">
            <v>0</v>
          </cell>
          <cell r="L180">
            <v>0</v>
          </cell>
          <cell r="M180">
            <v>0</v>
          </cell>
        </row>
        <row r="185">
          <cell r="K185">
            <v>0</v>
          </cell>
          <cell r="L185">
            <v>0</v>
          </cell>
          <cell r="M185">
            <v>0</v>
          </cell>
        </row>
        <row r="187">
          <cell r="K187">
            <v>0</v>
          </cell>
          <cell r="L187">
            <v>0</v>
          </cell>
          <cell r="M187">
            <v>0</v>
          </cell>
        </row>
        <row r="188">
          <cell r="K188">
            <v>0</v>
          </cell>
          <cell r="L188">
            <v>0</v>
          </cell>
          <cell r="M188">
            <v>0</v>
          </cell>
        </row>
        <row r="189">
          <cell r="K189">
            <v>0</v>
          </cell>
          <cell r="L189">
            <v>0</v>
          </cell>
          <cell r="M189">
            <v>0</v>
          </cell>
        </row>
        <row r="190">
          <cell r="K190">
            <v>0</v>
          </cell>
          <cell r="L190">
            <v>0</v>
          </cell>
          <cell r="M190">
            <v>0</v>
          </cell>
        </row>
        <row r="191">
          <cell r="K191">
            <v>0</v>
          </cell>
          <cell r="L191">
            <v>0</v>
          </cell>
          <cell r="M191">
            <v>0</v>
          </cell>
        </row>
        <row r="192">
          <cell r="K192">
            <v>148.13</v>
          </cell>
          <cell r="L192">
            <v>5797.8081999999995</v>
          </cell>
          <cell r="M192">
            <v>5797.8081999999995</v>
          </cell>
        </row>
        <row r="193">
          <cell r="K193">
            <v>0</v>
          </cell>
          <cell r="L193">
            <v>0</v>
          </cell>
          <cell r="M193">
            <v>0</v>
          </cell>
        </row>
        <row r="194">
          <cell r="K194">
            <v>269.49</v>
          </cell>
          <cell r="L194">
            <v>10790.3796</v>
          </cell>
          <cell r="M194">
            <v>10790.3796</v>
          </cell>
        </row>
        <row r="195">
          <cell r="K195">
            <v>0</v>
          </cell>
          <cell r="L195">
            <v>0</v>
          </cell>
          <cell r="M195">
            <v>0</v>
          </cell>
        </row>
        <row r="196">
          <cell r="K196">
            <v>0</v>
          </cell>
          <cell r="L196">
            <v>0</v>
          </cell>
          <cell r="M196">
            <v>0</v>
          </cell>
        </row>
        <row r="197">
          <cell r="K197">
            <v>38.53</v>
          </cell>
          <cell r="L197">
            <v>1555.0708</v>
          </cell>
          <cell r="M197">
            <v>1555.0708</v>
          </cell>
        </row>
        <row r="198">
          <cell r="K198">
            <v>0</v>
          </cell>
          <cell r="L198">
            <v>0</v>
          </cell>
          <cell r="M198">
            <v>0</v>
          </cell>
        </row>
        <row r="199">
          <cell r="K199">
            <v>0</v>
          </cell>
          <cell r="L199">
            <v>0</v>
          </cell>
          <cell r="M199">
            <v>0</v>
          </cell>
        </row>
        <row r="200">
          <cell r="K200">
            <v>0</v>
          </cell>
          <cell r="L200">
            <v>0</v>
          </cell>
          <cell r="M200">
            <v>0</v>
          </cell>
        </row>
        <row r="201">
          <cell r="K201">
            <v>0</v>
          </cell>
          <cell r="L201">
            <v>0</v>
          </cell>
          <cell r="M201">
            <v>0</v>
          </cell>
        </row>
        <row r="207">
          <cell r="K207">
            <v>2819.91</v>
          </cell>
          <cell r="L207">
            <v>47007.899700000002</v>
          </cell>
          <cell r="M207">
            <v>47007.899700000002</v>
          </cell>
        </row>
        <row r="297">
          <cell r="K297">
            <v>0</v>
          </cell>
          <cell r="L297">
            <v>0</v>
          </cell>
          <cell r="M297">
            <v>0</v>
          </cell>
        </row>
        <row r="331">
          <cell r="K331">
            <v>658</v>
          </cell>
          <cell r="L331">
            <v>58791.81</v>
          </cell>
          <cell r="M331">
            <v>58791.81</v>
          </cell>
        </row>
        <row r="369">
          <cell r="K369">
            <v>658</v>
          </cell>
          <cell r="L369">
            <v>68449.150000000009</v>
          </cell>
          <cell r="M369">
            <v>68449.150000000009</v>
          </cell>
        </row>
        <row r="389">
          <cell r="K389">
            <v>506</v>
          </cell>
          <cell r="L389">
            <v>47155.020000000004</v>
          </cell>
          <cell r="M389">
            <v>47155.020000000004</v>
          </cell>
        </row>
        <row r="397">
          <cell r="K397">
            <v>0</v>
          </cell>
          <cell r="L397">
            <v>0</v>
          </cell>
          <cell r="M397">
            <v>0</v>
          </cell>
        </row>
        <row r="406">
          <cell r="K406">
            <v>0</v>
          </cell>
          <cell r="L406">
            <v>0</v>
          </cell>
          <cell r="M406">
            <v>0</v>
          </cell>
        </row>
        <row r="418">
          <cell r="K418">
            <v>52.52</v>
          </cell>
          <cell r="L418">
            <v>42.016000000000005</v>
          </cell>
          <cell r="M418">
            <v>42.016000000000005</v>
          </cell>
        </row>
        <row r="443">
          <cell r="K443">
            <v>0</v>
          </cell>
          <cell r="L443">
            <v>0</v>
          </cell>
          <cell r="M443">
            <v>0</v>
          </cell>
        </row>
        <row r="456">
          <cell r="K456">
            <v>11</v>
          </cell>
          <cell r="L456">
            <v>550</v>
          </cell>
          <cell r="M456">
            <v>550</v>
          </cell>
        </row>
        <row r="533">
          <cell r="K533">
            <v>2651.78</v>
          </cell>
          <cell r="L533">
            <v>1270.1116000000002</v>
          </cell>
          <cell r="M533">
            <v>1270.1116000000002</v>
          </cell>
        </row>
        <row r="543">
          <cell r="K543">
            <v>0</v>
          </cell>
          <cell r="L543">
            <v>0</v>
          </cell>
          <cell r="M543">
            <v>0</v>
          </cell>
        </row>
        <row r="548">
          <cell r="L548">
            <v>655.31475799999998</v>
          </cell>
          <cell r="M548">
            <v>655.31475799999998</v>
          </cell>
        </row>
      </sheetData>
      <sheetData sheetId="28">
        <row r="29">
          <cell r="K29">
            <v>31217.350000000002</v>
          </cell>
          <cell r="L29">
            <v>315348.98840000003</v>
          </cell>
          <cell r="M29">
            <v>315348.98840000003</v>
          </cell>
        </row>
        <row r="36">
          <cell r="K36">
            <v>0</v>
          </cell>
          <cell r="L36">
            <v>0</v>
          </cell>
          <cell r="M36">
            <v>0</v>
          </cell>
        </row>
        <row r="42">
          <cell r="K42">
            <v>27540.31</v>
          </cell>
          <cell r="L42">
            <v>575041.67279999994</v>
          </cell>
          <cell r="M42">
            <v>575041.67279999994</v>
          </cell>
        </row>
        <row r="45">
          <cell r="K45">
            <v>3549.51</v>
          </cell>
          <cell r="L45">
            <v>127036.9629</v>
          </cell>
          <cell r="M45">
            <v>127036.9629</v>
          </cell>
        </row>
        <row r="56">
          <cell r="K56">
            <v>544</v>
          </cell>
          <cell r="L56">
            <v>181422.76</v>
          </cell>
          <cell r="M56">
            <v>181422.76</v>
          </cell>
        </row>
        <row r="61">
          <cell r="K61">
            <v>0</v>
          </cell>
          <cell r="L61">
            <v>0</v>
          </cell>
          <cell r="M61">
            <v>0</v>
          </cell>
        </row>
        <row r="79">
          <cell r="K79">
            <v>543</v>
          </cell>
          <cell r="L79">
            <v>67428.97</v>
          </cell>
          <cell r="M79">
            <v>67428.97</v>
          </cell>
        </row>
        <row r="97">
          <cell r="K97">
            <v>543</v>
          </cell>
          <cell r="L97">
            <v>45235.83</v>
          </cell>
          <cell r="M97">
            <v>45235.83</v>
          </cell>
        </row>
        <row r="103">
          <cell r="K103">
            <v>987</v>
          </cell>
          <cell r="L103">
            <v>44187.990000000005</v>
          </cell>
          <cell r="M103">
            <v>44187.990000000005</v>
          </cell>
        </row>
        <row r="115">
          <cell r="K115">
            <v>0</v>
          </cell>
          <cell r="L115">
            <v>0</v>
          </cell>
          <cell r="M115">
            <v>0</v>
          </cell>
        </row>
        <row r="127">
          <cell r="K127">
            <v>225</v>
          </cell>
          <cell r="L127">
            <v>4680</v>
          </cell>
          <cell r="M127">
            <v>4680</v>
          </cell>
        </row>
        <row r="132">
          <cell r="K132">
            <v>0</v>
          </cell>
          <cell r="L132">
            <v>0</v>
          </cell>
          <cell r="M132">
            <v>0</v>
          </cell>
        </row>
        <row r="172">
          <cell r="K172">
            <v>2476.42</v>
          </cell>
          <cell r="L172">
            <v>1632.9585999999999</v>
          </cell>
          <cell r="M172">
            <v>1632.9585999999999</v>
          </cell>
        </row>
        <row r="182">
          <cell r="K182">
            <v>0</v>
          </cell>
          <cell r="L182">
            <v>0</v>
          </cell>
          <cell r="M182">
            <v>0</v>
          </cell>
        </row>
        <row r="186">
          <cell r="L186">
            <v>1234.9791698000001</v>
          </cell>
          <cell r="M186">
            <v>1234.9791698000001</v>
          </cell>
        </row>
      </sheetData>
      <sheetData sheetId="29">
        <row r="29">
          <cell r="K29">
            <v>22186.58</v>
          </cell>
          <cell r="L29">
            <v>326364.59180000005</v>
          </cell>
          <cell r="M29">
            <v>326364.59180000005</v>
          </cell>
        </row>
        <row r="42">
          <cell r="K42">
            <v>22186.58</v>
          </cell>
          <cell r="L42">
            <v>0</v>
          </cell>
          <cell r="M42">
            <v>0</v>
          </cell>
        </row>
        <row r="45">
          <cell r="K45">
            <v>0</v>
          </cell>
          <cell r="L45">
            <v>0</v>
          </cell>
          <cell r="M45">
            <v>0</v>
          </cell>
        </row>
        <row r="61">
          <cell r="K61">
            <v>22186.58</v>
          </cell>
          <cell r="L61">
            <v>46591.818000000007</v>
          </cell>
          <cell r="M61">
            <v>46591.818000000007</v>
          </cell>
        </row>
        <row r="79">
          <cell r="K79">
            <v>0</v>
          </cell>
          <cell r="L79">
            <v>0</v>
          </cell>
          <cell r="M79">
            <v>0</v>
          </cell>
        </row>
        <row r="97">
          <cell r="K97">
            <v>0</v>
          </cell>
          <cell r="L97">
            <v>0</v>
          </cell>
          <cell r="M97">
            <v>0</v>
          </cell>
        </row>
        <row r="121">
          <cell r="K121">
            <v>22186.58</v>
          </cell>
          <cell r="L121">
            <v>14421.277000000002</v>
          </cell>
          <cell r="M121">
            <v>14421.277000000002</v>
          </cell>
        </row>
        <row r="174">
          <cell r="K174">
            <v>0</v>
          </cell>
          <cell r="L174">
            <v>0</v>
          </cell>
          <cell r="M174">
            <v>0</v>
          </cell>
        </row>
        <row r="184">
          <cell r="K184">
            <v>22186.58</v>
          </cell>
          <cell r="L184">
            <v>14421.277000000002</v>
          </cell>
          <cell r="M184">
            <v>14421.277000000002</v>
          </cell>
        </row>
        <row r="188">
          <cell r="L188">
            <v>326.36459180000003</v>
          </cell>
          <cell r="M188">
            <v>326.36459180000003</v>
          </cell>
        </row>
      </sheetData>
      <sheetData sheetId="30">
        <row r="64">
          <cell r="K64">
            <v>267495.53000000003</v>
          </cell>
          <cell r="L64">
            <v>3107688.7541999999</v>
          </cell>
          <cell r="M64">
            <v>3107688.7541999999</v>
          </cell>
        </row>
        <row r="73">
          <cell r="K73">
            <v>0</v>
          </cell>
          <cell r="L73">
            <v>0</v>
          </cell>
          <cell r="M73">
            <v>0</v>
          </cell>
        </row>
        <row r="78">
          <cell r="K78">
            <v>235026.65</v>
          </cell>
          <cell r="L78">
            <v>4907356.4519999996</v>
          </cell>
          <cell r="M78">
            <v>4907356.4519999996</v>
          </cell>
        </row>
        <row r="84">
          <cell r="K84">
            <v>0</v>
          </cell>
          <cell r="L84">
            <v>0</v>
          </cell>
          <cell r="M84">
            <v>0</v>
          </cell>
        </row>
        <row r="89">
          <cell r="K89">
            <v>21556.949999999997</v>
          </cell>
          <cell r="L89">
            <v>771523.24049999984</v>
          </cell>
          <cell r="M89">
            <v>771523.24049999984</v>
          </cell>
        </row>
        <row r="97">
          <cell r="K97">
            <v>134.49</v>
          </cell>
          <cell r="L97">
            <v>2808.1512000000002</v>
          </cell>
          <cell r="M97">
            <v>2808.1512000000002</v>
          </cell>
        </row>
        <row r="103">
          <cell r="K103">
            <v>0</v>
          </cell>
          <cell r="L103">
            <v>0</v>
          </cell>
          <cell r="M103">
            <v>0</v>
          </cell>
        </row>
        <row r="108">
          <cell r="K108">
            <v>10187.48</v>
          </cell>
          <cell r="L108">
            <v>232580.16839999997</v>
          </cell>
          <cell r="M108">
            <v>232580.16839999997</v>
          </cell>
        </row>
        <row r="110">
          <cell r="K110">
            <v>878.34</v>
          </cell>
          <cell r="L110">
            <v>34378.227599999998</v>
          </cell>
          <cell r="M110">
            <v>34378.227599999998</v>
          </cell>
        </row>
        <row r="138">
          <cell r="K138">
            <v>5137</v>
          </cell>
          <cell r="L138">
            <v>1697036.31</v>
          </cell>
          <cell r="M138">
            <v>1697036.31</v>
          </cell>
        </row>
        <row r="157">
          <cell r="K157">
            <v>1</v>
          </cell>
          <cell r="L157">
            <v>329.71</v>
          </cell>
          <cell r="M157">
            <v>329.71</v>
          </cell>
        </row>
        <row r="159">
          <cell r="K159">
            <v>240</v>
          </cell>
          <cell r="L159">
            <v>80827.199999999997</v>
          </cell>
          <cell r="M159">
            <v>80827.199999999997</v>
          </cell>
        </row>
        <row r="169">
          <cell r="K169">
            <v>78194.820000000007</v>
          </cell>
          <cell r="L169">
            <v>187667.568</v>
          </cell>
          <cell r="M169">
            <v>187667.568</v>
          </cell>
        </row>
        <row r="173">
          <cell r="K173">
            <v>99</v>
          </cell>
          <cell r="L173">
            <v>3960</v>
          </cell>
          <cell r="M173">
            <v>3960</v>
          </cell>
        </row>
        <row r="177">
          <cell r="K177">
            <v>25417.54</v>
          </cell>
          <cell r="L177">
            <v>7625.2619999999997</v>
          </cell>
          <cell r="M177">
            <v>7625.2619999999997</v>
          </cell>
        </row>
        <row r="216">
          <cell r="K216">
            <v>5119</v>
          </cell>
          <cell r="L216">
            <v>631395.94999999995</v>
          </cell>
          <cell r="M216">
            <v>631395.94999999995</v>
          </cell>
        </row>
        <row r="260">
          <cell r="K260">
            <v>5119</v>
          </cell>
          <cell r="L260">
            <v>424970.58999999997</v>
          </cell>
          <cell r="M260">
            <v>424970.58999999997</v>
          </cell>
        </row>
        <row r="284">
          <cell r="K284">
            <v>11245</v>
          </cell>
          <cell r="L284">
            <v>503438.65</v>
          </cell>
          <cell r="M284">
            <v>503438.65</v>
          </cell>
        </row>
        <row r="289">
          <cell r="K289">
            <v>0</v>
          </cell>
          <cell r="L289">
            <v>0</v>
          </cell>
          <cell r="M289">
            <v>0</v>
          </cell>
        </row>
        <row r="305">
          <cell r="K305">
            <v>267427.63</v>
          </cell>
          <cell r="L305">
            <v>454626.97100000002</v>
          </cell>
          <cell r="M305">
            <v>454626.97100000002</v>
          </cell>
        </row>
        <row r="328">
          <cell r="K328">
            <v>3044</v>
          </cell>
          <cell r="L328">
            <v>91733.400000000009</v>
          </cell>
          <cell r="M328">
            <v>91733.400000000009</v>
          </cell>
        </row>
        <row r="343">
          <cell r="K343">
            <v>372</v>
          </cell>
          <cell r="L343">
            <v>18600</v>
          </cell>
          <cell r="M343">
            <v>18600</v>
          </cell>
        </row>
        <row r="437">
          <cell r="K437">
            <v>51272.31</v>
          </cell>
          <cell r="L437">
            <v>26492.292600000001</v>
          </cell>
          <cell r="M437">
            <v>26492.292600000001</v>
          </cell>
        </row>
        <row r="447">
          <cell r="K447">
            <v>267495.53000000003</v>
          </cell>
          <cell r="L447">
            <v>201994.41999999998</v>
          </cell>
          <cell r="M447">
            <v>201994.41999999998</v>
          </cell>
        </row>
        <row r="452">
          <cell r="L452">
            <v>11736.842890399999</v>
          </cell>
          <cell r="M452">
            <v>11736.842890399999</v>
          </cell>
        </row>
      </sheetData>
      <sheetData sheetId="31">
        <row r="49">
          <cell r="K49">
            <v>178.98</v>
          </cell>
          <cell r="L49">
            <v>916.37759999999992</v>
          </cell>
          <cell r="M49">
            <v>916.37759999999992</v>
          </cell>
        </row>
        <row r="83">
          <cell r="K83">
            <v>0</v>
          </cell>
          <cell r="L83">
            <v>0</v>
          </cell>
          <cell r="M83">
            <v>0</v>
          </cell>
        </row>
        <row r="85">
          <cell r="K85">
            <v>0</v>
          </cell>
          <cell r="L85">
            <v>0</v>
          </cell>
          <cell r="M85">
            <v>0</v>
          </cell>
        </row>
        <row r="141">
          <cell r="K141">
            <v>0</v>
          </cell>
          <cell r="L141">
            <v>0</v>
          </cell>
          <cell r="M141">
            <v>0</v>
          </cell>
        </row>
        <row r="180">
          <cell r="K180">
            <v>0</v>
          </cell>
          <cell r="L180">
            <v>0</v>
          </cell>
          <cell r="M180">
            <v>0</v>
          </cell>
        </row>
        <row r="224">
          <cell r="K224">
            <v>0</v>
          </cell>
          <cell r="L224">
            <v>0</v>
          </cell>
          <cell r="M224">
            <v>0</v>
          </cell>
        </row>
        <row r="248">
          <cell r="K248">
            <v>0</v>
          </cell>
          <cell r="L248">
            <v>0</v>
          </cell>
          <cell r="M248">
            <v>0</v>
          </cell>
        </row>
        <row r="253">
          <cell r="K253">
            <v>0</v>
          </cell>
          <cell r="L253">
            <v>0</v>
          </cell>
          <cell r="M253">
            <v>0</v>
          </cell>
        </row>
        <row r="262">
          <cell r="K262">
            <v>178.98</v>
          </cell>
          <cell r="L262">
            <v>329.32319999999999</v>
          </cell>
          <cell r="M262">
            <v>329.32319999999999</v>
          </cell>
        </row>
        <row r="307">
          <cell r="K307">
            <v>0</v>
          </cell>
          <cell r="L307">
            <v>0</v>
          </cell>
          <cell r="M307">
            <v>0</v>
          </cell>
        </row>
        <row r="401">
          <cell r="K401">
            <v>0</v>
          </cell>
          <cell r="L401">
            <v>0</v>
          </cell>
          <cell r="M401">
            <v>0</v>
          </cell>
        </row>
        <row r="411">
          <cell r="K411">
            <v>178.98</v>
          </cell>
          <cell r="L411">
            <v>73.381799999999998</v>
          </cell>
          <cell r="M411">
            <v>73.381799999999998</v>
          </cell>
        </row>
        <row r="416">
          <cell r="L416">
            <v>0.9163775999999999</v>
          </cell>
          <cell r="M416">
            <v>0.9163775999999999</v>
          </cell>
        </row>
      </sheetData>
      <sheetData sheetId="32">
        <row r="49">
          <cell r="K49">
            <v>54455.59</v>
          </cell>
          <cell r="L49">
            <v>806036.23599999992</v>
          </cell>
          <cell r="M49">
            <v>806036.23599999992</v>
          </cell>
        </row>
        <row r="58">
          <cell r="K58">
            <v>0</v>
          </cell>
          <cell r="L58">
            <v>0</v>
          </cell>
          <cell r="M58">
            <v>0</v>
          </cell>
        </row>
        <row r="63">
          <cell r="K63">
            <v>48202.64</v>
          </cell>
          <cell r="L63">
            <v>1006471.1231999999</v>
          </cell>
          <cell r="M63">
            <v>1006471.1231999999</v>
          </cell>
        </row>
        <row r="69">
          <cell r="K69">
            <v>0</v>
          </cell>
          <cell r="L69">
            <v>0</v>
          </cell>
          <cell r="M69">
            <v>0</v>
          </cell>
        </row>
        <row r="74">
          <cell r="K74">
            <v>6252.95</v>
          </cell>
          <cell r="L74">
            <v>223793.08049999998</v>
          </cell>
          <cell r="M74">
            <v>223793.08049999998</v>
          </cell>
        </row>
        <row r="82">
          <cell r="K82">
            <v>0</v>
          </cell>
          <cell r="L82">
            <v>0</v>
          </cell>
          <cell r="M82">
            <v>0</v>
          </cell>
        </row>
        <row r="88">
          <cell r="K88">
            <v>0</v>
          </cell>
          <cell r="L88">
            <v>0</v>
          </cell>
          <cell r="M88">
            <v>0</v>
          </cell>
        </row>
        <row r="123">
          <cell r="K123">
            <v>967</v>
          </cell>
          <cell r="L123">
            <v>343743.13</v>
          </cell>
          <cell r="M123">
            <v>343743.13</v>
          </cell>
        </row>
        <row r="142">
          <cell r="K142">
            <v>0</v>
          </cell>
          <cell r="L142">
            <v>0</v>
          </cell>
          <cell r="M142">
            <v>0</v>
          </cell>
        </row>
        <row r="154">
          <cell r="K154">
            <v>2246</v>
          </cell>
          <cell r="L154">
            <v>5390.4</v>
          </cell>
          <cell r="M154">
            <v>5390.4</v>
          </cell>
        </row>
        <row r="193">
          <cell r="K193">
            <v>900</v>
          </cell>
          <cell r="L193">
            <v>119109.38</v>
          </cell>
          <cell r="M193">
            <v>119109.38</v>
          </cell>
        </row>
        <row r="237">
          <cell r="K237">
            <v>900</v>
          </cell>
          <cell r="L237">
            <v>79934.039999999994</v>
          </cell>
          <cell r="M237">
            <v>79934.039999999994</v>
          </cell>
        </row>
        <row r="261">
          <cell r="K261">
            <v>2644</v>
          </cell>
          <cell r="L261">
            <v>118371.88</v>
          </cell>
          <cell r="M261">
            <v>118371.88</v>
          </cell>
        </row>
        <row r="266">
          <cell r="K266">
            <v>0</v>
          </cell>
          <cell r="L266">
            <v>0</v>
          </cell>
          <cell r="M266">
            <v>0</v>
          </cell>
        </row>
        <row r="305">
          <cell r="K305">
            <v>657</v>
          </cell>
          <cell r="L305">
            <v>18678.8</v>
          </cell>
          <cell r="M305">
            <v>18678.8</v>
          </cell>
        </row>
        <row r="320">
          <cell r="K320">
            <v>93</v>
          </cell>
          <cell r="L320">
            <v>4650</v>
          </cell>
          <cell r="M320">
            <v>4650</v>
          </cell>
        </row>
        <row r="414">
          <cell r="K414">
            <v>11082.44</v>
          </cell>
          <cell r="L414">
            <v>6976.1162000000004</v>
          </cell>
          <cell r="M414">
            <v>6976.1162000000004</v>
          </cell>
        </row>
        <row r="424">
          <cell r="K424">
            <v>54455.59</v>
          </cell>
          <cell r="L424">
            <v>40841.692499999997</v>
          </cell>
          <cell r="M424">
            <v>40841.692499999997</v>
          </cell>
        </row>
        <row r="429">
          <cell r="L429">
            <v>2503.9707053999996</v>
          </cell>
          <cell r="M429">
            <v>2503.9707053999996</v>
          </cell>
        </row>
      </sheetData>
      <sheetData sheetId="33">
        <row r="19">
          <cell r="K19">
            <v>0</v>
          </cell>
          <cell r="L19">
            <v>0</v>
          </cell>
          <cell r="M19">
            <v>0</v>
          </cell>
        </row>
        <row r="68">
          <cell r="K68">
            <v>178291.69</v>
          </cell>
          <cell r="L68">
            <v>2827845.1077999999</v>
          </cell>
          <cell r="M68">
            <v>2827845.1077999999</v>
          </cell>
        </row>
        <row r="72">
          <cell r="K72">
            <v>0</v>
          </cell>
          <cell r="L72">
            <v>0</v>
          </cell>
          <cell r="M72">
            <v>0</v>
          </cell>
        </row>
        <row r="74">
          <cell r="K74">
            <v>8076.7</v>
          </cell>
          <cell r="L74">
            <v>8076.7</v>
          </cell>
          <cell r="M74">
            <v>8076.7</v>
          </cell>
        </row>
        <row r="76">
          <cell r="K76">
            <v>0</v>
          </cell>
          <cell r="L76">
            <v>0</v>
          </cell>
          <cell r="M76">
            <v>0</v>
          </cell>
        </row>
        <row r="78">
          <cell r="K78">
            <v>0</v>
          </cell>
          <cell r="L78">
            <v>0</v>
          </cell>
          <cell r="M78">
            <v>0</v>
          </cell>
        </row>
        <row r="97">
          <cell r="K97">
            <v>15460.669999999998</v>
          </cell>
          <cell r="L97">
            <v>33810.142</v>
          </cell>
          <cell r="M97">
            <v>33810.142</v>
          </cell>
        </row>
        <row r="115">
          <cell r="K115">
            <v>7984.29</v>
          </cell>
          <cell r="L115">
            <v>0</v>
          </cell>
          <cell r="M115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</row>
        <row r="125">
          <cell r="K125">
            <v>0</v>
          </cell>
          <cell r="L125">
            <v>0</v>
          </cell>
          <cell r="M125">
            <v>0</v>
          </cell>
        </row>
        <row r="129">
          <cell r="K129">
            <v>25714.92</v>
          </cell>
          <cell r="L129">
            <v>544384.85640000005</v>
          </cell>
          <cell r="M129">
            <v>544384.85640000005</v>
          </cell>
        </row>
        <row r="133">
          <cell r="K133">
            <v>44388.35</v>
          </cell>
          <cell r="L133">
            <v>1010278.846</v>
          </cell>
          <cell r="M133">
            <v>1010278.846</v>
          </cell>
        </row>
        <row r="137">
          <cell r="K137">
            <v>117.55</v>
          </cell>
          <cell r="L137">
            <v>2454.444</v>
          </cell>
          <cell r="M137">
            <v>2454.444</v>
          </cell>
        </row>
        <row r="141">
          <cell r="K141">
            <v>2761.27</v>
          </cell>
          <cell r="L141">
            <v>60002.397100000002</v>
          </cell>
          <cell r="M141">
            <v>60002.397100000002</v>
          </cell>
        </row>
        <row r="143">
          <cell r="K143">
            <v>0</v>
          </cell>
          <cell r="L143">
            <v>0</v>
          </cell>
          <cell r="M143">
            <v>0</v>
          </cell>
        </row>
        <row r="145">
          <cell r="K145">
            <v>0</v>
          </cell>
          <cell r="L145">
            <v>0</v>
          </cell>
          <cell r="M145">
            <v>0</v>
          </cell>
        </row>
        <row r="150">
          <cell r="K150">
            <v>4105.45</v>
          </cell>
          <cell r="L150">
            <v>0</v>
          </cell>
          <cell r="M150">
            <v>0</v>
          </cell>
        </row>
        <row r="154">
          <cell r="K154">
            <v>0</v>
          </cell>
          <cell r="L154">
            <v>0</v>
          </cell>
          <cell r="M154">
            <v>0</v>
          </cell>
        </row>
        <row r="158">
          <cell r="K158">
            <v>1847.76</v>
          </cell>
          <cell r="L158">
            <v>64985.7192</v>
          </cell>
          <cell r="M158">
            <v>64985.7192</v>
          </cell>
        </row>
        <row r="162">
          <cell r="K162">
            <v>0</v>
          </cell>
          <cell r="L162">
            <v>0</v>
          </cell>
          <cell r="M162">
            <v>0</v>
          </cell>
        </row>
        <row r="166">
          <cell r="K166">
            <v>0</v>
          </cell>
          <cell r="L166">
            <v>0</v>
          </cell>
          <cell r="M166">
            <v>0</v>
          </cell>
        </row>
        <row r="170">
          <cell r="K170">
            <v>8287.02</v>
          </cell>
          <cell r="L170">
            <v>323276.65019999997</v>
          </cell>
          <cell r="M170">
            <v>323276.65019999997</v>
          </cell>
        </row>
        <row r="178">
          <cell r="K178">
            <v>13422.09</v>
          </cell>
          <cell r="L178">
            <v>313405.8015</v>
          </cell>
          <cell r="M178">
            <v>313405.8015</v>
          </cell>
        </row>
        <row r="183">
          <cell r="K183">
            <v>0</v>
          </cell>
          <cell r="L183">
            <v>0</v>
          </cell>
          <cell r="M183">
            <v>0</v>
          </cell>
        </row>
        <row r="188">
          <cell r="K188">
            <v>0</v>
          </cell>
          <cell r="L188">
            <v>0</v>
          </cell>
          <cell r="M188">
            <v>0</v>
          </cell>
        </row>
        <row r="193">
          <cell r="K193">
            <v>0</v>
          </cell>
          <cell r="L193">
            <v>0</v>
          </cell>
          <cell r="M193">
            <v>0</v>
          </cell>
        </row>
        <row r="195">
          <cell r="K195">
            <v>0</v>
          </cell>
          <cell r="L195">
            <v>0</v>
          </cell>
          <cell r="M195">
            <v>0</v>
          </cell>
        </row>
        <row r="196">
          <cell r="K196">
            <v>2501.9299999999998</v>
          </cell>
          <cell r="L196">
            <v>100177.2772</v>
          </cell>
          <cell r="M196">
            <v>100177.2772</v>
          </cell>
        </row>
        <row r="202">
          <cell r="K202">
            <v>3047.8</v>
          </cell>
          <cell r="L202">
            <v>55652.828000000009</v>
          </cell>
          <cell r="M202">
            <v>55652.828000000009</v>
          </cell>
        </row>
        <row r="206">
          <cell r="K206">
            <v>0</v>
          </cell>
          <cell r="L206">
            <v>0</v>
          </cell>
          <cell r="M206">
            <v>0</v>
          </cell>
        </row>
        <row r="214">
          <cell r="K214">
            <v>17577.32</v>
          </cell>
          <cell r="L214">
            <v>278952.06839999999</v>
          </cell>
          <cell r="M214">
            <v>278952.06839999999</v>
          </cell>
        </row>
        <row r="219">
          <cell r="K219">
            <v>37564.18</v>
          </cell>
          <cell r="L219">
            <v>784340.0784</v>
          </cell>
          <cell r="M219">
            <v>784340.0784</v>
          </cell>
        </row>
        <row r="225">
          <cell r="K225">
            <v>3372.14</v>
          </cell>
          <cell r="L225">
            <v>91722.207999999999</v>
          </cell>
          <cell r="M225">
            <v>91722.207999999999</v>
          </cell>
        </row>
        <row r="230">
          <cell r="K230">
            <v>4925.22</v>
          </cell>
          <cell r="L230">
            <v>176273.6238</v>
          </cell>
          <cell r="M230">
            <v>176273.6238</v>
          </cell>
        </row>
        <row r="237">
          <cell r="K237">
            <v>23</v>
          </cell>
          <cell r="L237">
            <v>1524.8999999999999</v>
          </cell>
          <cell r="M237">
            <v>1524.8999999999999</v>
          </cell>
        </row>
        <row r="272">
          <cell r="K272">
            <v>1202</v>
          </cell>
          <cell r="L272">
            <v>436098.26</v>
          </cell>
          <cell r="M272">
            <v>436098.26</v>
          </cell>
        </row>
        <row r="282">
          <cell r="K282">
            <v>28</v>
          </cell>
          <cell r="L282">
            <v>10322.76</v>
          </cell>
          <cell r="M282">
            <v>10322.76</v>
          </cell>
        </row>
        <row r="299">
          <cell r="K299">
            <v>1115</v>
          </cell>
          <cell r="L299">
            <v>380281.91000000003</v>
          </cell>
          <cell r="M299">
            <v>380281.91000000003</v>
          </cell>
        </row>
        <row r="301">
          <cell r="K301">
            <v>63</v>
          </cell>
          <cell r="L301">
            <v>23226.210000000003</v>
          </cell>
          <cell r="M301">
            <v>23226.210000000003</v>
          </cell>
        </row>
        <row r="307">
          <cell r="K307">
            <v>5670.14</v>
          </cell>
          <cell r="L307">
            <v>8732.0156000000006</v>
          </cell>
          <cell r="M307">
            <v>8732.0156000000006</v>
          </cell>
        </row>
        <row r="309">
          <cell r="K309">
            <v>0</v>
          </cell>
          <cell r="L309">
            <v>0</v>
          </cell>
          <cell r="M309">
            <v>0</v>
          </cell>
        </row>
        <row r="310">
          <cell r="K310">
            <v>52920.32</v>
          </cell>
          <cell r="L310">
            <v>105840.64</v>
          </cell>
          <cell r="M310">
            <v>105840.64</v>
          </cell>
        </row>
        <row r="311">
          <cell r="K311">
            <v>2614.5100000000002</v>
          </cell>
          <cell r="L311">
            <v>8732.4634000000005</v>
          </cell>
          <cell r="M311">
            <v>8732.4634000000005</v>
          </cell>
        </row>
        <row r="313">
          <cell r="K313">
            <v>4688.8900000000003</v>
          </cell>
          <cell r="L313">
            <v>8721.3354000000018</v>
          </cell>
          <cell r="M313">
            <v>8721.3354000000018</v>
          </cell>
        </row>
        <row r="314">
          <cell r="K314">
            <v>12689.68</v>
          </cell>
          <cell r="L314">
            <v>29820.748000000003</v>
          </cell>
          <cell r="M314">
            <v>29820.748000000003</v>
          </cell>
        </row>
        <row r="316">
          <cell r="K316">
            <v>7984.29</v>
          </cell>
          <cell r="L316">
            <v>17086.3806</v>
          </cell>
          <cell r="M316">
            <v>17086.3806</v>
          </cell>
        </row>
        <row r="331">
          <cell r="K331">
            <v>3047.8</v>
          </cell>
          <cell r="L331">
            <v>7741.4120000000003</v>
          </cell>
          <cell r="M331">
            <v>7741.4120000000003</v>
          </cell>
        </row>
        <row r="366">
          <cell r="K366">
            <v>3664</v>
          </cell>
          <cell r="L366">
            <v>429581.04000000004</v>
          </cell>
          <cell r="M366">
            <v>429581.04000000004</v>
          </cell>
        </row>
        <row r="404">
          <cell r="K404">
            <v>3664</v>
          </cell>
          <cell r="L404">
            <v>341124.11000000004</v>
          </cell>
          <cell r="M404">
            <v>341124.11000000004</v>
          </cell>
        </row>
        <row r="425">
          <cell r="K425">
            <v>2664</v>
          </cell>
          <cell r="L425">
            <v>152091.83000000002</v>
          </cell>
          <cell r="M425">
            <v>152091.83000000002</v>
          </cell>
        </row>
        <row r="433">
          <cell r="K433">
            <v>0</v>
          </cell>
          <cell r="L433">
            <v>0</v>
          </cell>
          <cell r="M433">
            <v>0</v>
          </cell>
        </row>
        <row r="444">
          <cell r="K444">
            <v>103595.74000000002</v>
          </cell>
          <cell r="L444">
            <v>149952.31939999998</v>
          </cell>
          <cell r="M444">
            <v>149952.31939999998</v>
          </cell>
        </row>
        <row r="450">
          <cell r="K450">
            <v>13150.27</v>
          </cell>
          <cell r="L450">
            <v>21080.948</v>
          </cell>
          <cell r="M450">
            <v>21080.948</v>
          </cell>
        </row>
        <row r="455">
          <cell r="K455">
            <v>0</v>
          </cell>
          <cell r="L455">
            <v>0</v>
          </cell>
          <cell r="M455">
            <v>0</v>
          </cell>
        </row>
        <row r="479">
          <cell r="K479">
            <v>330</v>
          </cell>
          <cell r="L479">
            <v>6864</v>
          </cell>
          <cell r="M479">
            <v>6864</v>
          </cell>
        </row>
        <row r="492">
          <cell r="K492">
            <v>53</v>
          </cell>
          <cell r="L492">
            <v>2650</v>
          </cell>
          <cell r="M492">
            <v>2650</v>
          </cell>
        </row>
        <row r="569">
          <cell r="K569">
            <v>14855.699999999999</v>
          </cell>
          <cell r="L569">
            <v>9683.9736000000012</v>
          </cell>
          <cell r="M569">
            <v>9683.9736000000012</v>
          </cell>
        </row>
        <row r="579">
          <cell r="L579">
            <v>118714.10201999999</v>
          </cell>
          <cell r="M579">
            <v>118714.10201999999</v>
          </cell>
        </row>
        <row r="584">
          <cell r="L584">
            <v>7720.3936751999991</v>
          </cell>
          <cell r="M584">
            <v>7720.3936751999991</v>
          </cell>
        </row>
      </sheetData>
      <sheetData sheetId="34">
        <row r="13">
          <cell r="K13">
            <v>0</v>
          </cell>
          <cell r="L13">
            <v>0</v>
          </cell>
        </row>
        <row r="29">
          <cell r="K29">
            <v>256.45999999999998</v>
          </cell>
          <cell r="L29">
            <v>3513.5019999999995</v>
          </cell>
          <cell r="M29">
            <v>3513.5019999999995</v>
          </cell>
        </row>
        <row r="36">
          <cell r="K36">
            <v>256.45999999999998</v>
          </cell>
          <cell r="L36">
            <v>1282.3</v>
          </cell>
          <cell r="M36">
            <v>1282.3</v>
          </cell>
        </row>
        <row r="42">
          <cell r="K42">
            <v>256.45999999999998</v>
          </cell>
          <cell r="L42">
            <v>5354.8847999999989</v>
          </cell>
          <cell r="M42">
            <v>5354.8847999999989</v>
          </cell>
        </row>
        <row r="45">
          <cell r="K45">
            <v>0</v>
          </cell>
          <cell r="L45">
            <v>0</v>
          </cell>
          <cell r="M45">
            <v>0</v>
          </cell>
        </row>
        <row r="56">
          <cell r="K56">
            <v>0</v>
          </cell>
          <cell r="L56">
            <v>0</v>
          </cell>
          <cell r="M56">
            <v>0</v>
          </cell>
        </row>
        <row r="61">
          <cell r="K61">
            <v>0</v>
          </cell>
          <cell r="L61">
            <v>0</v>
          </cell>
          <cell r="M61">
            <v>0</v>
          </cell>
        </row>
        <row r="79">
          <cell r="K79">
            <v>15</v>
          </cell>
          <cell r="L79">
            <v>1199.7</v>
          </cell>
          <cell r="M79">
            <v>1199.7</v>
          </cell>
        </row>
        <row r="97">
          <cell r="K97">
            <v>15</v>
          </cell>
          <cell r="L97">
            <v>1396.8000000000002</v>
          </cell>
          <cell r="M97">
            <v>1396.8000000000002</v>
          </cell>
        </row>
        <row r="103">
          <cell r="K103">
            <v>15</v>
          </cell>
          <cell r="L103">
            <v>976.80000000000007</v>
          </cell>
          <cell r="M103">
            <v>976.80000000000007</v>
          </cell>
        </row>
        <row r="127">
          <cell r="K127">
            <v>0</v>
          </cell>
          <cell r="L127">
            <v>0</v>
          </cell>
          <cell r="M127">
            <v>0</v>
          </cell>
        </row>
        <row r="132">
          <cell r="K132">
            <v>0</v>
          </cell>
          <cell r="L132">
            <v>0</v>
          </cell>
          <cell r="M132">
            <v>0</v>
          </cell>
        </row>
        <row r="172">
          <cell r="K172">
            <v>0</v>
          </cell>
          <cell r="L172">
            <v>0</v>
          </cell>
          <cell r="M172">
            <v>0</v>
          </cell>
        </row>
        <row r="182">
          <cell r="K182">
            <v>0</v>
          </cell>
          <cell r="L182">
            <v>0</v>
          </cell>
          <cell r="M182">
            <v>0</v>
          </cell>
        </row>
        <row r="186">
          <cell r="L186">
            <v>13.723986799999999</v>
          </cell>
          <cell r="M186">
            <v>13.723986799999999</v>
          </cell>
        </row>
      </sheetData>
      <sheetData sheetId="35">
        <row r="19">
          <cell r="K19">
            <v>0</v>
          </cell>
          <cell r="L19">
            <v>0</v>
          </cell>
          <cell r="M19">
            <v>0</v>
          </cell>
        </row>
        <row r="43">
          <cell r="K43">
            <v>16843.18</v>
          </cell>
          <cell r="L43">
            <v>172036.53590000002</v>
          </cell>
          <cell r="M43">
            <v>172036.53590000002</v>
          </cell>
        </row>
        <row r="70">
          <cell r="K70">
            <v>10988.13</v>
          </cell>
          <cell r="L70">
            <v>229432.15439999997</v>
          </cell>
          <cell r="M70">
            <v>229432.15439999997</v>
          </cell>
        </row>
        <row r="75">
          <cell r="K75">
            <v>806.07</v>
          </cell>
          <cell r="L75">
            <v>28849.245300000002</v>
          </cell>
          <cell r="M75">
            <v>28849.245300000002</v>
          </cell>
        </row>
        <row r="83">
          <cell r="K83">
            <v>3606.62</v>
          </cell>
          <cell r="L83">
            <v>84214.577000000005</v>
          </cell>
          <cell r="M83">
            <v>84214.577000000005</v>
          </cell>
        </row>
        <row r="85">
          <cell r="K85">
            <v>0</v>
          </cell>
          <cell r="L85">
            <v>0</v>
          </cell>
          <cell r="M85">
            <v>0</v>
          </cell>
        </row>
        <row r="86">
          <cell r="K86">
            <v>1275.56</v>
          </cell>
          <cell r="L86">
            <v>50907.599599999994</v>
          </cell>
          <cell r="M86">
            <v>50907.599599999994</v>
          </cell>
        </row>
        <row r="95">
          <cell r="K95">
            <v>0</v>
          </cell>
          <cell r="L95">
            <v>0</v>
          </cell>
          <cell r="M95">
            <v>0</v>
          </cell>
        </row>
        <row r="99">
          <cell r="K99">
            <v>0</v>
          </cell>
          <cell r="L99">
            <v>0</v>
          </cell>
          <cell r="M99">
            <v>0</v>
          </cell>
        </row>
        <row r="107">
          <cell r="K107">
            <v>196</v>
          </cell>
          <cell r="L107">
            <v>64623.159999999996</v>
          </cell>
          <cell r="M107">
            <v>64623.159999999996</v>
          </cell>
        </row>
        <row r="112">
          <cell r="K112">
            <v>0</v>
          </cell>
          <cell r="L112">
            <v>0</v>
          </cell>
          <cell r="M112">
            <v>0</v>
          </cell>
        </row>
        <row r="141">
          <cell r="K141">
            <v>370</v>
          </cell>
          <cell r="L141">
            <v>42573.75</v>
          </cell>
          <cell r="M141">
            <v>42573.75</v>
          </cell>
        </row>
        <row r="159">
          <cell r="K159">
            <v>370</v>
          </cell>
          <cell r="L159">
            <v>37817.689999999995</v>
          </cell>
          <cell r="M159">
            <v>37817.689999999995</v>
          </cell>
        </row>
        <row r="179">
          <cell r="K179">
            <v>529</v>
          </cell>
          <cell r="L179">
            <v>34163.58</v>
          </cell>
          <cell r="M179">
            <v>34163.58</v>
          </cell>
        </row>
        <row r="234">
          <cell r="K234">
            <v>67</v>
          </cell>
          <cell r="L234">
            <v>1393.6000000000001</v>
          </cell>
          <cell r="M234">
            <v>1393.6000000000001</v>
          </cell>
        </row>
        <row r="247">
          <cell r="K247">
            <v>0</v>
          </cell>
          <cell r="L247">
            <v>0</v>
          </cell>
          <cell r="M247">
            <v>0</v>
          </cell>
        </row>
        <row r="324">
          <cell r="K324">
            <v>1533.27</v>
          </cell>
          <cell r="L324">
            <v>996.13609999999994</v>
          </cell>
          <cell r="M324">
            <v>996.13609999999994</v>
          </cell>
        </row>
        <row r="339">
          <cell r="L339">
            <v>667.25118339999995</v>
          </cell>
          <cell r="M339">
            <v>667.25118339999995</v>
          </cell>
        </row>
      </sheetData>
      <sheetData sheetId="36">
        <row r="65">
          <cell r="K65">
            <v>7807.1500000000005</v>
          </cell>
          <cell r="L65">
            <v>97073.261300000013</v>
          </cell>
          <cell r="M65">
            <v>97073.261300000013</v>
          </cell>
        </row>
        <row r="84">
          <cell r="K84">
            <v>0</v>
          </cell>
          <cell r="L84">
            <v>0</v>
          </cell>
          <cell r="M84">
            <v>0</v>
          </cell>
        </row>
        <row r="120">
          <cell r="K120">
            <v>1169.78</v>
          </cell>
          <cell r="L120">
            <v>24425.006399999998</v>
          </cell>
          <cell r="M120">
            <v>24425.006399999998</v>
          </cell>
        </row>
        <row r="124">
          <cell r="K124">
            <v>0</v>
          </cell>
          <cell r="L124">
            <v>0</v>
          </cell>
          <cell r="M124">
            <v>0</v>
          </cell>
        </row>
        <row r="128">
          <cell r="K128">
            <v>0</v>
          </cell>
          <cell r="L128">
            <v>0</v>
          </cell>
          <cell r="M128">
            <v>0</v>
          </cell>
        </row>
        <row r="132">
          <cell r="K132">
            <v>0</v>
          </cell>
          <cell r="L132">
            <v>0</v>
          </cell>
          <cell r="M132">
            <v>0</v>
          </cell>
        </row>
        <row r="136">
          <cell r="K136">
            <v>0</v>
          </cell>
          <cell r="L136">
            <v>0</v>
          </cell>
          <cell r="M136">
            <v>0</v>
          </cell>
        </row>
        <row r="140">
          <cell r="K140">
            <v>0</v>
          </cell>
          <cell r="L140">
            <v>0</v>
          </cell>
          <cell r="M140">
            <v>0</v>
          </cell>
        </row>
        <row r="145">
          <cell r="K145">
            <v>2188.77</v>
          </cell>
          <cell r="L145">
            <v>78336.078299999994</v>
          </cell>
          <cell r="M145">
            <v>78336.078299999994</v>
          </cell>
        </row>
        <row r="149">
          <cell r="K149">
            <v>0</v>
          </cell>
          <cell r="L149">
            <v>0</v>
          </cell>
          <cell r="M149">
            <v>0</v>
          </cell>
        </row>
        <row r="153">
          <cell r="K153">
            <v>0</v>
          </cell>
          <cell r="L153">
            <v>0</v>
          </cell>
          <cell r="M153">
            <v>0</v>
          </cell>
        </row>
        <row r="157">
          <cell r="K157">
            <v>0</v>
          </cell>
          <cell r="L157">
            <v>0</v>
          </cell>
          <cell r="M157">
            <v>0</v>
          </cell>
        </row>
        <row r="161">
          <cell r="K161">
            <v>0</v>
          </cell>
          <cell r="L161">
            <v>0</v>
          </cell>
          <cell r="M161">
            <v>0</v>
          </cell>
        </row>
        <row r="165">
          <cell r="K165">
            <v>0</v>
          </cell>
          <cell r="L165">
            <v>0</v>
          </cell>
          <cell r="M165">
            <v>0</v>
          </cell>
        </row>
        <row r="173">
          <cell r="K173">
            <v>1240.4100000000001</v>
          </cell>
          <cell r="L173">
            <v>28963.573500000002</v>
          </cell>
          <cell r="M173">
            <v>28963.573500000002</v>
          </cell>
        </row>
        <row r="178">
          <cell r="K178">
            <v>1769.68</v>
          </cell>
          <cell r="L178">
            <v>41339.724800000004</v>
          </cell>
          <cell r="M178">
            <v>41339.724800000004</v>
          </cell>
        </row>
        <row r="179">
          <cell r="K179">
            <v>0</v>
          </cell>
          <cell r="L179">
            <v>0</v>
          </cell>
          <cell r="M179">
            <v>0</v>
          </cell>
        </row>
        <row r="180">
          <cell r="K180">
            <v>0</v>
          </cell>
          <cell r="L180">
            <v>0</v>
          </cell>
          <cell r="M180">
            <v>0</v>
          </cell>
        </row>
        <row r="181">
          <cell r="K181">
            <v>0</v>
          </cell>
          <cell r="L181">
            <v>0</v>
          </cell>
          <cell r="M181">
            <v>0</v>
          </cell>
        </row>
        <row r="182">
          <cell r="K182">
            <v>0</v>
          </cell>
          <cell r="L182">
            <v>0</v>
          </cell>
          <cell r="M182">
            <v>0</v>
          </cell>
        </row>
        <row r="183">
          <cell r="K183">
            <v>0</v>
          </cell>
          <cell r="L183">
            <v>0</v>
          </cell>
          <cell r="M183">
            <v>0</v>
          </cell>
        </row>
        <row r="184">
          <cell r="K184">
            <v>898.69</v>
          </cell>
          <cell r="L184">
            <v>21155.1626</v>
          </cell>
          <cell r="M184">
            <v>21155.1626</v>
          </cell>
        </row>
        <row r="185">
          <cell r="K185">
            <v>0</v>
          </cell>
          <cell r="L185">
            <v>0</v>
          </cell>
          <cell r="M185">
            <v>0</v>
          </cell>
        </row>
        <row r="186">
          <cell r="K186">
            <v>0</v>
          </cell>
          <cell r="L186">
            <v>0</v>
          </cell>
          <cell r="M186">
            <v>0</v>
          </cell>
        </row>
        <row r="187">
          <cell r="K187">
            <v>0</v>
          </cell>
          <cell r="L187">
            <v>0</v>
          </cell>
          <cell r="M187">
            <v>0</v>
          </cell>
        </row>
        <row r="188">
          <cell r="K188">
            <v>0</v>
          </cell>
          <cell r="L188">
            <v>0</v>
          </cell>
          <cell r="M188">
            <v>0</v>
          </cell>
        </row>
        <row r="189">
          <cell r="K189">
            <v>0</v>
          </cell>
          <cell r="L189">
            <v>0</v>
          </cell>
          <cell r="M189">
            <v>0</v>
          </cell>
        </row>
        <row r="190">
          <cell r="K190">
            <v>0</v>
          </cell>
          <cell r="L190">
            <v>0</v>
          </cell>
          <cell r="M190">
            <v>0</v>
          </cell>
        </row>
        <row r="191">
          <cell r="K191">
            <v>0</v>
          </cell>
          <cell r="L191">
            <v>0</v>
          </cell>
          <cell r="M191">
            <v>0</v>
          </cell>
        </row>
        <row r="192">
          <cell r="K192">
            <v>0</v>
          </cell>
          <cell r="L192">
            <v>0</v>
          </cell>
          <cell r="M192">
            <v>0</v>
          </cell>
        </row>
        <row r="197">
          <cell r="K197">
            <v>0</v>
          </cell>
          <cell r="L197">
            <v>0</v>
          </cell>
          <cell r="M197">
            <v>0</v>
          </cell>
        </row>
        <row r="202">
          <cell r="K202">
            <v>0</v>
          </cell>
          <cell r="L202">
            <v>0</v>
          </cell>
          <cell r="M202">
            <v>0</v>
          </cell>
        </row>
        <row r="204">
          <cell r="K204">
            <v>0</v>
          </cell>
          <cell r="L204">
            <v>0</v>
          </cell>
          <cell r="M204">
            <v>0</v>
          </cell>
        </row>
        <row r="205">
          <cell r="K205">
            <v>0</v>
          </cell>
          <cell r="L205">
            <v>0</v>
          </cell>
          <cell r="M205">
            <v>0</v>
          </cell>
        </row>
        <row r="206">
          <cell r="K206">
            <v>264.41000000000003</v>
          </cell>
          <cell r="L206">
            <v>10586.976400000001</v>
          </cell>
          <cell r="M206">
            <v>10586.976400000001</v>
          </cell>
        </row>
        <row r="207">
          <cell r="K207">
            <v>0</v>
          </cell>
          <cell r="L207">
            <v>0</v>
          </cell>
          <cell r="M207">
            <v>0</v>
          </cell>
        </row>
        <row r="208">
          <cell r="K208">
            <v>0</v>
          </cell>
          <cell r="L208">
            <v>0</v>
          </cell>
          <cell r="M208">
            <v>0</v>
          </cell>
        </row>
        <row r="209">
          <cell r="K209">
            <v>0</v>
          </cell>
          <cell r="L209">
            <v>0</v>
          </cell>
          <cell r="M209">
            <v>0</v>
          </cell>
        </row>
        <row r="210">
          <cell r="K210">
            <v>0</v>
          </cell>
          <cell r="L210">
            <v>0</v>
          </cell>
          <cell r="M210">
            <v>0</v>
          </cell>
        </row>
        <row r="211">
          <cell r="K211">
            <v>0</v>
          </cell>
          <cell r="L211">
            <v>0</v>
          </cell>
          <cell r="M211">
            <v>0</v>
          </cell>
        </row>
        <row r="212">
          <cell r="K212">
            <v>0</v>
          </cell>
          <cell r="L212">
            <v>0</v>
          </cell>
          <cell r="M212">
            <v>0</v>
          </cell>
        </row>
        <row r="213">
          <cell r="K213">
            <v>0</v>
          </cell>
          <cell r="L213">
            <v>0</v>
          </cell>
          <cell r="M213">
            <v>0</v>
          </cell>
        </row>
        <row r="214">
          <cell r="K214">
            <v>0</v>
          </cell>
          <cell r="L214">
            <v>0</v>
          </cell>
          <cell r="M214">
            <v>0</v>
          </cell>
        </row>
        <row r="215">
          <cell r="K215">
            <v>0</v>
          </cell>
          <cell r="L215">
            <v>0</v>
          </cell>
          <cell r="M215">
            <v>0</v>
          </cell>
        </row>
        <row r="216">
          <cell r="K216">
            <v>0</v>
          </cell>
          <cell r="L216">
            <v>0</v>
          </cell>
          <cell r="M216">
            <v>0</v>
          </cell>
        </row>
        <row r="217">
          <cell r="K217">
            <v>0</v>
          </cell>
          <cell r="L217">
            <v>0</v>
          </cell>
          <cell r="M217">
            <v>0</v>
          </cell>
        </row>
        <row r="218">
          <cell r="K218">
            <v>0</v>
          </cell>
          <cell r="L218">
            <v>0</v>
          </cell>
          <cell r="M218">
            <v>0</v>
          </cell>
        </row>
        <row r="292">
          <cell r="K292">
            <v>83</v>
          </cell>
          <cell r="L292">
            <v>27365.929999999997</v>
          </cell>
          <cell r="M292">
            <v>27365.929999999997</v>
          </cell>
        </row>
        <row r="319">
          <cell r="K319">
            <v>2034.09</v>
          </cell>
          <cell r="L319">
            <v>4678.4069999999992</v>
          </cell>
          <cell r="M319">
            <v>4678.4069999999992</v>
          </cell>
        </row>
        <row r="353">
          <cell r="K353">
            <v>208</v>
          </cell>
          <cell r="L353">
            <v>24447.620000000003</v>
          </cell>
          <cell r="M353">
            <v>24447.620000000003</v>
          </cell>
        </row>
        <row r="391">
          <cell r="K391">
            <v>208</v>
          </cell>
          <cell r="L391">
            <v>23315.420000000002</v>
          </cell>
          <cell r="M391">
            <v>23315.420000000002</v>
          </cell>
        </row>
        <row r="411">
          <cell r="K411">
            <v>315</v>
          </cell>
          <cell r="L411">
            <v>28408.600000000002</v>
          </cell>
          <cell r="M411">
            <v>28408.600000000002</v>
          </cell>
        </row>
        <row r="420">
          <cell r="K420">
            <v>0</v>
          </cell>
          <cell r="L420">
            <v>0</v>
          </cell>
          <cell r="M420">
            <v>0</v>
          </cell>
        </row>
        <row r="429">
          <cell r="K429">
            <v>5392.64</v>
          </cell>
          <cell r="L429">
            <v>4206.2592000000004</v>
          </cell>
          <cell r="M429">
            <v>4206.2592000000004</v>
          </cell>
        </row>
        <row r="466">
          <cell r="K466">
            <v>52</v>
          </cell>
          <cell r="L466">
            <v>1413.8</v>
          </cell>
          <cell r="M466">
            <v>1413.8</v>
          </cell>
        </row>
        <row r="479">
          <cell r="K479">
            <v>4</v>
          </cell>
          <cell r="L479">
            <v>200</v>
          </cell>
          <cell r="M479">
            <v>200</v>
          </cell>
        </row>
        <row r="556">
          <cell r="K556">
            <v>1067.8800000000001</v>
          </cell>
          <cell r="L556">
            <v>695.80420000000004</v>
          </cell>
          <cell r="M556">
            <v>695.80420000000004</v>
          </cell>
        </row>
        <row r="566">
          <cell r="K566">
            <v>7807.15</v>
          </cell>
          <cell r="L566">
            <v>2673.6228000000001</v>
          </cell>
          <cell r="M566">
            <v>2673.6228000000001</v>
          </cell>
        </row>
        <row r="571">
          <cell r="L571">
            <v>318.8039028</v>
          </cell>
          <cell r="M571">
            <v>318.8039028</v>
          </cell>
        </row>
      </sheetData>
      <sheetData sheetId="37">
        <row r="53">
          <cell r="K53">
            <v>16328.09</v>
          </cell>
          <cell r="L53">
            <v>91546.034700000004</v>
          </cell>
          <cell r="M53">
            <v>91546.034700000004</v>
          </cell>
        </row>
        <row r="68">
          <cell r="K68">
            <v>0</v>
          </cell>
          <cell r="L68">
            <v>0</v>
          </cell>
          <cell r="M68">
            <v>0</v>
          </cell>
        </row>
        <row r="73">
          <cell r="K73">
            <v>0</v>
          </cell>
          <cell r="L73">
            <v>0</v>
          </cell>
          <cell r="M73">
            <v>0</v>
          </cell>
        </row>
        <row r="79">
          <cell r="K79">
            <v>0</v>
          </cell>
          <cell r="L79">
            <v>0</v>
          </cell>
          <cell r="M79">
            <v>0</v>
          </cell>
        </row>
        <row r="84">
          <cell r="K84">
            <v>0</v>
          </cell>
          <cell r="L84">
            <v>0</v>
          </cell>
          <cell r="M84">
            <v>0</v>
          </cell>
        </row>
        <row r="93">
          <cell r="K93">
            <v>0</v>
          </cell>
          <cell r="L93">
            <v>0</v>
          </cell>
          <cell r="M93">
            <v>0</v>
          </cell>
        </row>
        <row r="94">
          <cell r="K94">
            <v>0</v>
          </cell>
          <cell r="L94">
            <v>0</v>
          </cell>
          <cell r="M94">
            <v>0</v>
          </cell>
        </row>
        <row r="95">
          <cell r="K95">
            <v>0</v>
          </cell>
          <cell r="L95">
            <v>0</v>
          </cell>
          <cell r="M95">
            <v>0</v>
          </cell>
        </row>
        <row r="96">
          <cell r="K96">
            <v>0</v>
          </cell>
          <cell r="L96">
            <v>0</v>
          </cell>
          <cell r="M96">
            <v>0</v>
          </cell>
        </row>
        <row r="102">
          <cell r="K102">
            <v>0</v>
          </cell>
          <cell r="L102">
            <v>0</v>
          </cell>
          <cell r="M102">
            <v>0</v>
          </cell>
        </row>
        <row r="138">
          <cell r="K138">
            <v>0</v>
          </cell>
          <cell r="L138">
            <v>0</v>
          </cell>
          <cell r="M138">
            <v>0</v>
          </cell>
        </row>
        <row r="146">
          <cell r="K146">
            <v>0</v>
          </cell>
          <cell r="L146">
            <v>0</v>
          </cell>
          <cell r="M146">
            <v>0</v>
          </cell>
        </row>
        <row r="155">
          <cell r="K155">
            <v>0</v>
          </cell>
          <cell r="L155">
            <v>0</v>
          </cell>
          <cell r="M155">
            <v>0</v>
          </cell>
        </row>
        <row r="197">
          <cell r="K197">
            <v>0</v>
          </cell>
          <cell r="L197">
            <v>0</v>
          </cell>
          <cell r="M197">
            <v>0</v>
          </cell>
        </row>
        <row r="252">
          <cell r="K252">
            <v>0</v>
          </cell>
          <cell r="L252">
            <v>0</v>
          </cell>
          <cell r="M252">
            <v>0</v>
          </cell>
        </row>
        <row r="277">
          <cell r="K277">
            <v>0</v>
          </cell>
          <cell r="L277">
            <v>0</v>
          </cell>
          <cell r="M277">
            <v>0</v>
          </cell>
        </row>
        <row r="286">
          <cell r="K286">
            <v>51</v>
          </cell>
          <cell r="L286">
            <v>9507.42</v>
          </cell>
          <cell r="M286">
            <v>9507.42</v>
          </cell>
        </row>
        <row r="324">
          <cell r="K324">
            <v>0</v>
          </cell>
          <cell r="L324">
            <v>0</v>
          </cell>
          <cell r="M324">
            <v>0</v>
          </cell>
        </row>
        <row r="358">
          <cell r="K358">
            <v>18</v>
          </cell>
          <cell r="L358">
            <v>646.19999999999993</v>
          </cell>
          <cell r="M358">
            <v>646.19999999999993</v>
          </cell>
        </row>
        <row r="372">
          <cell r="K372">
            <v>0</v>
          </cell>
          <cell r="L372">
            <v>0</v>
          </cell>
          <cell r="M372">
            <v>0</v>
          </cell>
        </row>
        <row r="466">
          <cell r="K466">
            <v>0</v>
          </cell>
          <cell r="L466">
            <v>0</v>
          </cell>
          <cell r="M466">
            <v>0</v>
          </cell>
        </row>
        <row r="476">
          <cell r="K476">
            <v>16328.09</v>
          </cell>
          <cell r="L476">
            <v>8951.6779999999999</v>
          </cell>
          <cell r="M476">
            <v>8951.6779999999999</v>
          </cell>
        </row>
        <row r="480">
          <cell r="L480">
            <v>101.6996547</v>
          </cell>
          <cell r="M480">
            <v>101.6996547</v>
          </cell>
        </row>
      </sheetData>
      <sheetData sheetId="38">
        <row r="15">
          <cell r="K15">
            <v>0</v>
          </cell>
          <cell r="L15">
            <v>0</v>
          </cell>
        </row>
        <row r="54">
          <cell r="K54">
            <v>56711.77</v>
          </cell>
          <cell r="L54">
            <v>816124.60920000006</v>
          </cell>
          <cell r="M54">
            <v>816124.60920000006</v>
          </cell>
        </row>
        <row r="58">
          <cell r="K58">
            <v>365</v>
          </cell>
          <cell r="L58">
            <v>109500</v>
          </cell>
          <cell r="M58">
            <v>109500</v>
          </cell>
        </row>
        <row r="65">
          <cell r="K65">
            <v>0</v>
          </cell>
          <cell r="L65">
            <v>0</v>
          </cell>
          <cell r="M65">
            <v>0</v>
          </cell>
        </row>
        <row r="72">
          <cell r="K72">
            <v>0</v>
          </cell>
          <cell r="L72">
            <v>0</v>
          </cell>
          <cell r="M72">
            <v>0</v>
          </cell>
        </row>
        <row r="81">
          <cell r="K81">
            <v>37.9</v>
          </cell>
          <cell r="L81">
            <v>758</v>
          </cell>
          <cell r="M81">
            <v>758</v>
          </cell>
        </row>
        <row r="82">
          <cell r="K82">
            <v>3533.57</v>
          </cell>
          <cell r="L82">
            <v>73780.941600000006</v>
          </cell>
          <cell r="M82">
            <v>73780.941600000006</v>
          </cell>
        </row>
        <row r="88">
          <cell r="K88">
            <v>25315.68</v>
          </cell>
          <cell r="L88">
            <v>688586.49600000004</v>
          </cell>
          <cell r="M88">
            <v>688586.49600000004</v>
          </cell>
        </row>
        <row r="89">
          <cell r="K89">
            <v>5187.17</v>
          </cell>
          <cell r="L89">
            <v>185648.8143</v>
          </cell>
          <cell r="M89">
            <v>185648.8143</v>
          </cell>
        </row>
        <row r="93">
          <cell r="K93">
            <v>0</v>
          </cell>
          <cell r="L93">
            <v>0</v>
          </cell>
          <cell r="M93">
            <v>0</v>
          </cell>
        </row>
        <row r="94">
          <cell r="K94">
            <v>61.5</v>
          </cell>
          <cell r="L94">
            <v>1672.8</v>
          </cell>
          <cell r="M94">
            <v>1672.8</v>
          </cell>
        </row>
        <row r="96">
          <cell r="K96">
            <v>0</v>
          </cell>
          <cell r="L96">
            <v>0</v>
          </cell>
          <cell r="M96">
            <v>0</v>
          </cell>
        </row>
        <row r="97">
          <cell r="K97">
            <v>5534.68</v>
          </cell>
          <cell r="L97">
            <v>83020.200000000012</v>
          </cell>
          <cell r="M97">
            <v>83020.200000000012</v>
          </cell>
        </row>
        <row r="98">
          <cell r="K98">
            <v>0</v>
          </cell>
          <cell r="L98">
            <v>0</v>
          </cell>
          <cell r="M98">
            <v>0</v>
          </cell>
        </row>
        <row r="99">
          <cell r="K99">
            <v>8529.4500000000007</v>
          </cell>
          <cell r="L99">
            <v>145000.65000000002</v>
          </cell>
          <cell r="M99">
            <v>145000.65000000002</v>
          </cell>
        </row>
        <row r="100">
          <cell r="K100">
            <v>0</v>
          </cell>
          <cell r="L100">
            <v>0</v>
          </cell>
          <cell r="M100">
            <v>0</v>
          </cell>
        </row>
        <row r="101">
          <cell r="K101">
            <v>8511.82</v>
          </cell>
          <cell r="L101">
            <v>144700.94</v>
          </cell>
          <cell r="M101">
            <v>144700.94</v>
          </cell>
        </row>
        <row r="137">
          <cell r="K137">
            <v>240</v>
          </cell>
          <cell r="L137">
            <v>78029.88</v>
          </cell>
          <cell r="M137">
            <v>78029.88</v>
          </cell>
        </row>
        <row r="139">
          <cell r="K139">
            <v>84</v>
          </cell>
          <cell r="L139">
            <v>8253</v>
          </cell>
          <cell r="M139">
            <v>8253</v>
          </cell>
        </row>
        <row r="143">
          <cell r="K143">
            <v>0</v>
          </cell>
          <cell r="L143">
            <v>0</v>
          </cell>
          <cell r="M143">
            <v>0</v>
          </cell>
        </row>
        <row r="154">
          <cell r="K154">
            <v>0</v>
          </cell>
          <cell r="L154">
            <v>0</v>
          </cell>
          <cell r="M154">
            <v>0</v>
          </cell>
        </row>
        <row r="193">
          <cell r="K193">
            <v>201</v>
          </cell>
          <cell r="L193">
            <v>26476.690000000002</v>
          </cell>
          <cell r="M193">
            <v>26476.690000000002</v>
          </cell>
        </row>
        <row r="237">
          <cell r="K237">
            <v>201</v>
          </cell>
          <cell r="L237">
            <v>17768.009999999998</v>
          </cell>
          <cell r="M237">
            <v>17768.009999999998</v>
          </cell>
        </row>
        <row r="261">
          <cell r="K261">
            <v>155</v>
          </cell>
          <cell r="L261">
            <v>6939.35</v>
          </cell>
          <cell r="M261">
            <v>6939.35</v>
          </cell>
        </row>
        <row r="266">
          <cell r="K266">
            <v>0</v>
          </cell>
          <cell r="L266">
            <v>0</v>
          </cell>
          <cell r="M266">
            <v>0</v>
          </cell>
        </row>
        <row r="282">
          <cell r="K282">
            <v>0</v>
          </cell>
          <cell r="L282">
            <v>0</v>
          </cell>
          <cell r="M282">
            <v>0</v>
          </cell>
        </row>
        <row r="298">
          <cell r="K298">
            <v>70</v>
          </cell>
          <cell r="L298">
            <v>1456</v>
          </cell>
          <cell r="M298">
            <v>1456</v>
          </cell>
        </row>
        <row r="313">
          <cell r="K313">
            <v>2</v>
          </cell>
          <cell r="L313">
            <v>100</v>
          </cell>
          <cell r="M313">
            <v>100</v>
          </cell>
        </row>
        <row r="372">
          <cell r="K372">
            <v>849.9</v>
          </cell>
          <cell r="L372">
            <v>637.19939999999997</v>
          </cell>
          <cell r="M372">
            <v>637.19939999999997</v>
          </cell>
        </row>
        <row r="379">
          <cell r="L379">
            <v>1139.8236801999999</v>
          </cell>
          <cell r="M379">
            <v>1139.8236801999999</v>
          </cell>
        </row>
      </sheetData>
      <sheetData sheetId="39">
        <row r="25">
          <cell r="K25">
            <v>0</v>
          </cell>
          <cell r="L25">
            <v>0</v>
          </cell>
        </row>
        <row r="71">
          <cell r="K71">
            <v>23927.11</v>
          </cell>
          <cell r="L71">
            <v>252891.17390000002</v>
          </cell>
          <cell r="M71">
            <v>252891.17390000002</v>
          </cell>
        </row>
        <row r="75">
          <cell r="K75">
            <v>0</v>
          </cell>
          <cell r="L75">
            <v>0</v>
          </cell>
          <cell r="M75">
            <v>0</v>
          </cell>
        </row>
        <row r="86">
          <cell r="K86">
            <v>0</v>
          </cell>
          <cell r="L86">
            <v>0</v>
          </cell>
          <cell r="M86">
            <v>0</v>
          </cell>
        </row>
        <row r="94">
          <cell r="K94">
            <v>0</v>
          </cell>
          <cell r="L94">
            <v>0</v>
          </cell>
          <cell r="M94">
            <v>0</v>
          </cell>
        </row>
        <row r="101">
          <cell r="K101">
            <v>152.97</v>
          </cell>
          <cell r="L101">
            <v>3600.9137999999998</v>
          </cell>
          <cell r="M101">
            <v>3600.9137999999998</v>
          </cell>
        </row>
        <row r="102">
          <cell r="K102">
            <v>1786.6</v>
          </cell>
          <cell r="L102">
            <v>41717.11</v>
          </cell>
          <cell r="M102">
            <v>41717.11</v>
          </cell>
        </row>
        <row r="104">
          <cell r="K104">
            <v>0</v>
          </cell>
          <cell r="L104">
            <v>0</v>
          </cell>
          <cell r="M104">
            <v>0</v>
          </cell>
        </row>
        <row r="106">
          <cell r="K106">
            <v>2675.93</v>
          </cell>
          <cell r="L106">
            <v>32940.698299999996</v>
          </cell>
          <cell r="M106">
            <v>32940.698299999996</v>
          </cell>
        </row>
        <row r="107">
          <cell r="K107">
            <v>3379.18</v>
          </cell>
          <cell r="L107">
            <v>52917.9588</v>
          </cell>
          <cell r="M107">
            <v>52917.9588</v>
          </cell>
        </row>
        <row r="108">
          <cell r="K108">
            <v>1442.9</v>
          </cell>
          <cell r="L108">
            <v>28324.127</v>
          </cell>
          <cell r="M108">
            <v>28324.127</v>
          </cell>
        </row>
        <row r="109">
          <cell r="K109">
            <v>5147.49</v>
          </cell>
          <cell r="L109">
            <v>206105.49959999998</v>
          </cell>
          <cell r="M109">
            <v>206105.49959999998</v>
          </cell>
        </row>
        <row r="111">
          <cell r="K111">
            <v>9299.0400000000009</v>
          </cell>
          <cell r="L111">
            <v>375309.25440000003</v>
          </cell>
          <cell r="M111">
            <v>375309.25440000003</v>
          </cell>
        </row>
        <row r="137">
          <cell r="K137">
            <v>16379.880000000001</v>
          </cell>
          <cell r="L137">
            <v>11577.184099999999</v>
          </cell>
          <cell r="M137">
            <v>11577.184099999999</v>
          </cell>
        </row>
        <row r="162">
          <cell r="K162">
            <v>0</v>
          </cell>
          <cell r="L162">
            <v>0</v>
          </cell>
          <cell r="M162">
            <v>0</v>
          </cell>
        </row>
        <row r="178">
          <cell r="K178">
            <v>146</v>
          </cell>
          <cell r="L178">
            <v>53825.82</v>
          </cell>
          <cell r="M178">
            <v>53825.82</v>
          </cell>
        </row>
        <row r="194">
          <cell r="K194">
            <v>11339.69</v>
          </cell>
          <cell r="L194">
            <v>21638.829600000005</v>
          </cell>
          <cell r="M194">
            <v>21638.829600000005</v>
          </cell>
        </row>
        <row r="247">
          <cell r="K247">
            <v>429</v>
          </cell>
          <cell r="L247">
            <v>50280.91</v>
          </cell>
          <cell r="M247">
            <v>50280.91</v>
          </cell>
        </row>
        <row r="307">
          <cell r="K307">
            <v>429</v>
          </cell>
          <cell r="L307">
            <v>48924.21</v>
          </cell>
          <cell r="M307">
            <v>48924.21</v>
          </cell>
        </row>
        <row r="339">
          <cell r="K339">
            <v>31</v>
          </cell>
          <cell r="L339">
            <v>3911.27</v>
          </cell>
          <cell r="M339">
            <v>3911.27</v>
          </cell>
        </row>
        <row r="349">
          <cell r="K349">
            <v>0</v>
          </cell>
          <cell r="L349">
            <v>0</v>
          </cell>
          <cell r="M349">
            <v>0</v>
          </cell>
        </row>
        <row r="369">
          <cell r="K369">
            <v>0</v>
          </cell>
          <cell r="L369">
            <v>0</v>
          </cell>
          <cell r="M369">
            <v>0</v>
          </cell>
        </row>
        <row r="378">
          <cell r="K378">
            <v>12781.89</v>
          </cell>
          <cell r="L378">
            <v>16941.4113</v>
          </cell>
          <cell r="M378">
            <v>16941.4113</v>
          </cell>
        </row>
        <row r="435">
          <cell r="K435">
            <v>1</v>
          </cell>
          <cell r="L435">
            <v>20.8</v>
          </cell>
          <cell r="M435">
            <v>20.8</v>
          </cell>
        </row>
        <row r="445">
          <cell r="K445">
            <v>22</v>
          </cell>
          <cell r="L445">
            <v>1100</v>
          </cell>
          <cell r="M445">
            <v>1100</v>
          </cell>
        </row>
        <row r="582">
          <cell r="K582">
            <v>326.06</v>
          </cell>
          <cell r="L582">
            <v>182.59360000000001</v>
          </cell>
          <cell r="M582">
            <v>182.59360000000001</v>
          </cell>
        </row>
        <row r="592">
          <cell r="L592">
            <v>12920.639400000002</v>
          </cell>
        </row>
        <row r="598">
          <cell r="L598">
            <v>468.03198539999983</v>
          </cell>
          <cell r="M598">
            <v>468.03198539999983</v>
          </cell>
        </row>
      </sheetData>
      <sheetData sheetId="40">
        <row r="29">
          <cell r="K29">
            <v>6035.99</v>
          </cell>
          <cell r="L29">
            <v>95368.642000000007</v>
          </cell>
          <cell r="M29">
            <v>95368.642000000007</v>
          </cell>
        </row>
        <row r="35">
          <cell r="K35">
            <v>73.61</v>
          </cell>
          <cell r="L35">
            <v>1306.5775000000001</v>
          </cell>
          <cell r="M35">
            <v>1306.5775000000001</v>
          </cell>
        </row>
        <row r="38">
          <cell r="K38">
            <v>5962.38</v>
          </cell>
          <cell r="L38">
            <v>208385.18100000001</v>
          </cell>
          <cell r="M38">
            <v>208385.18100000001</v>
          </cell>
        </row>
        <row r="49">
          <cell r="K49">
            <v>47</v>
          </cell>
          <cell r="L49">
            <v>16200.43</v>
          </cell>
          <cell r="M49">
            <v>16200.43</v>
          </cell>
        </row>
        <row r="54">
          <cell r="K54">
            <v>6035.99</v>
          </cell>
          <cell r="L54">
            <v>12071.98</v>
          </cell>
          <cell r="M54">
            <v>12071.98</v>
          </cell>
        </row>
        <row r="59">
          <cell r="K59">
            <v>6035.99</v>
          </cell>
          <cell r="L59">
            <v>14788.175500000001</v>
          </cell>
          <cell r="M59">
            <v>14788.175500000001</v>
          </cell>
        </row>
        <row r="77">
          <cell r="K77">
            <v>47</v>
          </cell>
          <cell r="L77">
            <v>6320.09</v>
          </cell>
          <cell r="M77">
            <v>6320.09</v>
          </cell>
        </row>
        <row r="95">
          <cell r="K95">
            <v>47</v>
          </cell>
          <cell r="L95">
            <v>4241.75</v>
          </cell>
          <cell r="M95">
            <v>4241.75</v>
          </cell>
        </row>
        <row r="101">
          <cell r="K101">
            <v>288</v>
          </cell>
          <cell r="L101">
            <v>12893.76</v>
          </cell>
          <cell r="M101">
            <v>12893.76</v>
          </cell>
        </row>
        <row r="107">
          <cell r="K107">
            <v>0</v>
          </cell>
          <cell r="L107">
            <v>0</v>
          </cell>
          <cell r="M107">
            <v>0</v>
          </cell>
        </row>
        <row r="117">
          <cell r="K117">
            <v>6035.99</v>
          </cell>
          <cell r="L117">
            <v>10864.781999999999</v>
          </cell>
          <cell r="M117">
            <v>10864.781999999999</v>
          </cell>
        </row>
        <row r="124">
          <cell r="K124">
            <v>0</v>
          </cell>
          <cell r="L124">
            <v>0</v>
          </cell>
          <cell r="M124">
            <v>0</v>
          </cell>
        </row>
        <row r="129">
          <cell r="K129">
            <v>0</v>
          </cell>
          <cell r="L129">
            <v>0</v>
          </cell>
          <cell r="M129">
            <v>0</v>
          </cell>
        </row>
        <row r="169">
          <cell r="K169">
            <v>0</v>
          </cell>
          <cell r="L169">
            <v>0</v>
          </cell>
          <cell r="M169">
            <v>0</v>
          </cell>
        </row>
        <row r="179">
          <cell r="K179">
            <v>6035.99</v>
          </cell>
          <cell r="L179">
            <v>5311.6711999999998</v>
          </cell>
          <cell r="M179">
            <v>5311.6711999999998</v>
          </cell>
        </row>
        <row r="186">
          <cell r="L186">
            <v>148.40322950000004</v>
          </cell>
          <cell r="M186">
            <v>148.40322950000004</v>
          </cell>
        </row>
      </sheetData>
      <sheetData sheetId="41">
        <row r="14">
          <cell r="K14">
            <v>3246.7200000000003</v>
          </cell>
          <cell r="L14">
            <v>101070.39360000001</v>
          </cell>
          <cell r="M14">
            <v>101070.39360000001</v>
          </cell>
        </row>
        <row r="106">
          <cell r="K106">
            <v>52238.369999999995</v>
          </cell>
          <cell r="L106">
            <v>708334.52530000033</v>
          </cell>
          <cell r="M106">
            <v>708334.52530000033</v>
          </cell>
        </row>
        <row r="119">
          <cell r="K119">
            <v>724.19</v>
          </cell>
          <cell r="L119">
            <v>11608.765700000002</v>
          </cell>
          <cell r="M119">
            <v>11608.765700000002</v>
          </cell>
        </row>
        <row r="122">
          <cell r="K122">
            <v>96.53</v>
          </cell>
          <cell r="L122">
            <v>2015.5463999999999</v>
          </cell>
          <cell r="M122">
            <v>2015.5463999999999</v>
          </cell>
        </row>
        <row r="124">
          <cell r="K124">
            <v>693.45</v>
          </cell>
          <cell r="L124">
            <v>15068.668500000002</v>
          </cell>
          <cell r="M124">
            <v>15068.668500000002</v>
          </cell>
        </row>
        <row r="126">
          <cell r="K126">
            <v>0</v>
          </cell>
          <cell r="L126">
            <v>0</v>
          </cell>
          <cell r="M126">
            <v>0</v>
          </cell>
        </row>
        <row r="128">
          <cell r="K128">
            <v>559.22</v>
          </cell>
          <cell r="L128">
            <v>12727.847200000002</v>
          </cell>
          <cell r="M128">
            <v>12727.847200000002</v>
          </cell>
        </row>
        <row r="131">
          <cell r="K131">
            <v>0</v>
          </cell>
          <cell r="L131">
            <v>0</v>
          </cell>
          <cell r="M131">
            <v>0</v>
          </cell>
        </row>
        <row r="136">
          <cell r="K136">
            <v>0</v>
          </cell>
          <cell r="L136">
            <v>0</v>
          </cell>
          <cell r="M136">
            <v>0</v>
          </cell>
        </row>
        <row r="139">
          <cell r="K139">
            <v>6032.36</v>
          </cell>
          <cell r="L139">
            <v>125955.67679999999</v>
          </cell>
          <cell r="M139">
            <v>125955.67679999999</v>
          </cell>
        </row>
        <row r="141">
          <cell r="K141">
            <v>0</v>
          </cell>
          <cell r="L141">
            <v>0</v>
          </cell>
          <cell r="M141">
            <v>0</v>
          </cell>
        </row>
        <row r="143">
          <cell r="K143">
            <v>0</v>
          </cell>
          <cell r="L143">
            <v>0</v>
          </cell>
          <cell r="M143">
            <v>0</v>
          </cell>
        </row>
        <row r="146">
          <cell r="K146">
            <v>0</v>
          </cell>
          <cell r="L146">
            <v>0</v>
          </cell>
          <cell r="M146">
            <v>0</v>
          </cell>
        </row>
        <row r="152">
          <cell r="K152">
            <v>575.36</v>
          </cell>
          <cell r="L152">
            <v>12168.864</v>
          </cell>
          <cell r="M152">
            <v>12168.864</v>
          </cell>
        </row>
        <row r="154">
          <cell r="K154">
            <v>167</v>
          </cell>
          <cell r="L154">
            <v>3585.49</v>
          </cell>
          <cell r="M154">
            <v>3585.49</v>
          </cell>
        </row>
        <row r="158">
          <cell r="K158">
            <v>27829.18</v>
          </cell>
          <cell r="L158">
            <v>649811.353</v>
          </cell>
          <cell r="M158">
            <v>649811.353</v>
          </cell>
        </row>
        <row r="160">
          <cell r="K160">
            <v>3047.79</v>
          </cell>
          <cell r="L160">
            <v>71744.976599999995</v>
          </cell>
          <cell r="M160">
            <v>71744.976599999995</v>
          </cell>
        </row>
        <row r="163">
          <cell r="K163">
            <v>0</v>
          </cell>
          <cell r="L163">
            <v>0</v>
          </cell>
          <cell r="M163">
            <v>0</v>
          </cell>
        </row>
        <row r="171">
          <cell r="K171">
            <v>0</v>
          </cell>
          <cell r="L171">
            <v>0</v>
          </cell>
          <cell r="M171">
            <v>0</v>
          </cell>
        </row>
        <row r="176">
          <cell r="K176">
            <v>0</v>
          </cell>
          <cell r="L176">
            <v>0</v>
          </cell>
          <cell r="M176">
            <v>0</v>
          </cell>
        </row>
        <row r="182">
          <cell r="K182">
            <v>0</v>
          </cell>
          <cell r="L182">
            <v>0</v>
          </cell>
          <cell r="M182">
            <v>0</v>
          </cell>
        </row>
        <row r="185">
          <cell r="K185">
            <v>7</v>
          </cell>
          <cell r="L185">
            <v>2307.9699999999998</v>
          </cell>
          <cell r="M185">
            <v>2307.9699999999998</v>
          </cell>
        </row>
        <row r="187">
          <cell r="K187">
            <v>0</v>
          </cell>
          <cell r="L187">
            <v>0</v>
          </cell>
          <cell r="M187">
            <v>0</v>
          </cell>
        </row>
        <row r="191">
          <cell r="K191">
            <v>21</v>
          </cell>
          <cell r="L191">
            <v>3278.73</v>
          </cell>
          <cell r="M191">
            <v>3278.73</v>
          </cell>
        </row>
        <row r="194">
          <cell r="K194">
            <v>83</v>
          </cell>
          <cell r="L194">
            <v>27365.929999999997</v>
          </cell>
          <cell r="M194">
            <v>27365.929999999997</v>
          </cell>
        </row>
        <row r="196">
          <cell r="K196">
            <v>0</v>
          </cell>
          <cell r="L196">
            <v>0</v>
          </cell>
          <cell r="M196">
            <v>0</v>
          </cell>
        </row>
        <row r="201">
          <cell r="K201">
            <v>0</v>
          </cell>
          <cell r="L201">
            <v>0</v>
          </cell>
          <cell r="M201">
            <v>0</v>
          </cell>
        </row>
        <row r="231">
          <cell r="K231">
            <v>2247</v>
          </cell>
          <cell r="L231">
            <v>77198</v>
          </cell>
          <cell r="M231">
            <v>77198</v>
          </cell>
        </row>
        <row r="276">
          <cell r="K276">
            <v>2873</v>
          </cell>
          <cell r="L276">
            <v>233932.4</v>
          </cell>
          <cell r="M276">
            <v>233932.4</v>
          </cell>
        </row>
        <row r="296">
          <cell r="K296">
            <v>1847</v>
          </cell>
          <cell r="L296">
            <v>133666.94</v>
          </cell>
          <cell r="M296">
            <v>133666.94</v>
          </cell>
        </row>
        <row r="303">
          <cell r="K303">
            <v>558</v>
          </cell>
          <cell r="L303">
            <v>27699.119999999999</v>
          </cell>
          <cell r="M303">
            <v>27699.119999999999</v>
          </cell>
        </row>
        <row r="315">
          <cell r="K315">
            <v>238.97</v>
          </cell>
          <cell r="L315">
            <v>483.79809999999998</v>
          </cell>
          <cell r="M315">
            <v>483.79809999999998</v>
          </cell>
        </row>
        <row r="323">
          <cell r="K323">
            <v>15</v>
          </cell>
          <cell r="L323">
            <v>312</v>
          </cell>
          <cell r="M323">
            <v>312</v>
          </cell>
        </row>
        <row r="329">
          <cell r="K329">
            <v>19</v>
          </cell>
          <cell r="L329">
            <v>950</v>
          </cell>
          <cell r="M329">
            <v>950</v>
          </cell>
        </row>
        <row r="377">
          <cell r="K377">
            <v>13401.65</v>
          </cell>
          <cell r="L377">
            <v>6779.0356999999995</v>
          </cell>
          <cell r="M377">
            <v>6779.0356999999995</v>
          </cell>
        </row>
        <row r="391">
          <cell r="L391">
            <v>2229.5853442000002</v>
          </cell>
          <cell r="M391">
            <v>2229.5853442000002</v>
          </cell>
        </row>
      </sheetData>
      <sheetData sheetId="42">
        <row r="19">
          <cell r="K19">
            <v>2929.39</v>
          </cell>
          <cell r="L19">
            <v>91191.910699999993</v>
          </cell>
          <cell r="M19">
            <v>91191.910699999993</v>
          </cell>
        </row>
        <row r="48">
          <cell r="K48">
            <v>21717.160000000003</v>
          </cell>
          <cell r="L48">
            <v>398793.31349999993</v>
          </cell>
          <cell r="M48">
            <v>398793.31349999993</v>
          </cell>
        </row>
        <row r="67">
          <cell r="K67">
            <v>0</v>
          </cell>
          <cell r="L67">
            <v>0</v>
          </cell>
          <cell r="M67">
            <v>0</v>
          </cell>
        </row>
        <row r="103">
          <cell r="K103">
            <v>1221.97</v>
          </cell>
          <cell r="L103">
            <v>25343.657799999997</v>
          </cell>
          <cell r="M103">
            <v>25343.657799999997</v>
          </cell>
        </row>
        <row r="107">
          <cell r="K107">
            <v>0</v>
          </cell>
          <cell r="L107">
            <v>0</v>
          </cell>
          <cell r="M107">
            <v>0</v>
          </cell>
        </row>
        <row r="112">
          <cell r="K112">
            <v>0</v>
          </cell>
          <cell r="L112">
            <v>0</v>
          </cell>
          <cell r="M112">
            <v>0</v>
          </cell>
        </row>
        <row r="116">
          <cell r="K116">
            <v>377.55</v>
          </cell>
          <cell r="L116">
            <v>7781.3055000000004</v>
          </cell>
          <cell r="M116">
            <v>7781.3055000000004</v>
          </cell>
        </row>
        <row r="117">
          <cell r="K117">
            <v>566.5</v>
          </cell>
          <cell r="L117">
            <v>12933.195</v>
          </cell>
          <cell r="M117">
            <v>12933.195</v>
          </cell>
        </row>
        <row r="118">
          <cell r="K118">
            <v>639.71</v>
          </cell>
          <cell r="L118">
            <v>13529.8665</v>
          </cell>
          <cell r="M118">
            <v>13529.8665</v>
          </cell>
        </row>
        <row r="123">
          <cell r="K123">
            <v>1103.3399999999999</v>
          </cell>
          <cell r="L123">
            <v>25762.989000000001</v>
          </cell>
          <cell r="M123">
            <v>25762.989000000001</v>
          </cell>
        </row>
        <row r="129">
          <cell r="K129">
            <v>2926.69</v>
          </cell>
          <cell r="L129">
            <v>68894.282600000006</v>
          </cell>
          <cell r="M129">
            <v>68894.282600000006</v>
          </cell>
        </row>
        <row r="131">
          <cell r="K131">
            <v>0</v>
          </cell>
          <cell r="L131">
            <v>0</v>
          </cell>
          <cell r="M131">
            <v>0</v>
          </cell>
        </row>
        <row r="132">
          <cell r="K132">
            <v>388.95</v>
          </cell>
          <cell r="L132">
            <v>15573.557999999999</v>
          </cell>
          <cell r="M132">
            <v>15573.557999999999</v>
          </cell>
        </row>
        <row r="133">
          <cell r="K133">
            <v>0</v>
          </cell>
          <cell r="L133">
            <v>0</v>
          </cell>
          <cell r="M133">
            <v>0</v>
          </cell>
        </row>
        <row r="134">
          <cell r="K134">
            <v>0</v>
          </cell>
          <cell r="L134">
            <v>0</v>
          </cell>
          <cell r="M134">
            <v>0</v>
          </cell>
        </row>
        <row r="135">
          <cell r="K135">
            <v>0</v>
          </cell>
          <cell r="L135">
            <v>0</v>
          </cell>
          <cell r="M135">
            <v>0</v>
          </cell>
        </row>
        <row r="136">
          <cell r="K136">
            <v>0</v>
          </cell>
          <cell r="L136">
            <v>0</v>
          </cell>
          <cell r="M136">
            <v>0</v>
          </cell>
        </row>
        <row r="137">
          <cell r="K137">
            <v>0</v>
          </cell>
          <cell r="L137">
            <v>0</v>
          </cell>
          <cell r="M137">
            <v>0</v>
          </cell>
        </row>
        <row r="138">
          <cell r="K138">
            <v>0</v>
          </cell>
          <cell r="L138">
            <v>0</v>
          </cell>
          <cell r="M138">
            <v>0</v>
          </cell>
        </row>
        <row r="139">
          <cell r="K139">
            <v>0</v>
          </cell>
          <cell r="L139">
            <v>0</v>
          </cell>
          <cell r="M139">
            <v>0</v>
          </cell>
        </row>
        <row r="140">
          <cell r="K140">
            <v>0</v>
          </cell>
          <cell r="L140">
            <v>0</v>
          </cell>
          <cell r="M140">
            <v>0</v>
          </cell>
        </row>
        <row r="141">
          <cell r="K141">
            <v>0</v>
          </cell>
          <cell r="L141">
            <v>0</v>
          </cell>
          <cell r="M141">
            <v>0</v>
          </cell>
        </row>
        <row r="142">
          <cell r="K142">
            <v>0</v>
          </cell>
          <cell r="L142">
            <v>0</v>
          </cell>
          <cell r="M142">
            <v>0</v>
          </cell>
        </row>
        <row r="143">
          <cell r="K143">
            <v>0</v>
          </cell>
          <cell r="L143">
            <v>0</v>
          </cell>
          <cell r="M143">
            <v>0</v>
          </cell>
        </row>
        <row r="144">
          <cell r="K144">
            <v>0</v>
          </cell>
          <cell r="L144">
            <v>0</v>
          </cell>
          <cell r="M144">
            <v>0</v>
          </cell>
        </row>
        <row r="145">
          <cell r="K145">
            <v>0</v>
          </cell>
          <cell r="L145">
            <v>0</v>
          </cell>
          <cell r="M145">
            <v>0</v>
          </cell>
        </row>
        <row r="146">
          <cell r="K146">
            <v>0</v>
          </cell>
          <cell r="L146">
            <v>0</v>
          </cell>
          <cell r="M146">
            <v>0</v>
          </cell>
        </row>
        <row r="147">
          <cell r="K147">
            <v>0</v>
          </cell>
          <cell r="L147">
            <v>0</v>
          </cell>
          <cell r="M147">
            <v>0</v>
          </cell>
        </row>
        <row r="148">
          <cell r="K148">
            <v>0</v>
          </cell>
          <cell r="L148">
            <v>0</v>
          </cell>
          <cell r="M148">
            <v>0</v>
          </cell>
        </row>
        <row r="149">
          <cell r="K149">
            <v>0</v>
          </cell>
          <cell r="L149">
            <v>0</v>
          </cell>
          <cell r="M149">
            <v>0</v>
          </cell>
        </row>
        <row r="155">
          <cell r="K155">
            <v>2521.23</v>
          </cell>
          <cell r="L155">
            <v>40011.920099999996</v>
          </cell>
          <cell r="M155">
            <v>40011.920099999996</v>
          </cell>
        </row>
        <row r="159">
          <cell r="K159">
            <v>4178.4799999999996</v>
          </cell>
          <cell r="L159">
            <v>87246.662399999987</v>
          </cell>
          <cell r="M159">
            <v>87246.662399999987</v>
          </cell>
        </row>
        <row r="163">
          <cell r="K163">
            <v>110.53</v>
          </cell>
          <cell r="L163">
            <v>3006.4160000000002</v>
          </cell>
          <cell r="M163">
            <v>3006.4160000000002</v>
          </cell>
        </row>
        <row r="177">
          <cell r="K177">
            <v>557.16</v>
          </cell>
          <cell r="L177">
            <v>10173.741600000001</v>
          </cell>
          <cell r="M177">
            <v>10173.741600000001</v>
          </cell>
        </row>
        <row r="181">
          <cell r="K181">
            <v>288.44</v>
          </cell>
          <cell r="L181">
            <v>9028.1720000000005</v>
          </cell>
          <cell r="M181">
            <v>9028.1720000000005</v>
          </cell>
        </row>
        <row r="186">
          <cell r="K186">
            <v>363.4</v>
          </cell>
          <cell r="L186">
            <v>6472.1539999999995</v>
          </cell>
          <cell r="M186">
            <v>6472.1539999999995</v>
          </cell>
        </row>
        <row r="189">
          <cell r="K189">
            <v>77.2</v>
          </cell>
          <cell r="L189">
            <v>2356.1440000000002</v>
          </cell>
          <cell r="M189">
            <v>2356.1440000000002</v>
          </cell>
        </row>
        <row r="237">
          <cell r="K237">
            <v>0</v>
          </cell>
          <cell r="L237">
            <v>0</v>
          </cell>
          <cell r="M237">
            <v>0</v>
          </cell>
        </row>
        <row r="245">
          <cell r="K245">
            <v>250</v>
          </cell>
          <cell r="L245">
            <v>53940</v>
          </cell>
          <cell r="M245">
            <v>53940</v>
          </cell>
        </row>
        <row r="252">
          <cell r="K252">
            <v>40</v>
          </cell>
          <cell r="L252">
            <v>12295.77</v>
          </cell>
          <cell r="M252">
            <v>12295.77</v>
          </cell>
        </row>
        <row r="255">
          <cell r="K255">
            <v>30</v>
          </cell>
          <cell r="L255">
            <v>10103.4</v>
          </cell>
          <cell r="M255">
            <v>10103.4</v>
          </cell>
        </row>
        <row r="268">
          <cell r="K268">
            <v>0</v>
          </cell>
          <cell r="L268">
            <v>0</v>
          </cell>
          <cell r="M268">
            <v>0</v>
          </cell>
        </row>
        <row r="297">
          <cell r="K297">
            <v>1167</v>
          </cell>
          <cell r="L297">
            <v>101788.23000000001</v>
          </cell>
          <cell r="M297">
            <v>101788.23000000001</v>
          </cell>
        </row>
        <row r="336">
          <cell r="K336">
            <v>1229</v>
          </cell>
          <cell r="L336">
            <v>108407.79</v>
          </cell>
          <cell r="M336">
            <v>108407.79</v>
          </cell>
        </row>
        <row r="358">
          <cell r="K358">
            <v>734</v>
          </cell>
          <cell r="L358">
            <v>51562.830000000009</v>
          </cell>
          <cell r="M358">
            <v>51562.830000000009</v>
          </cell>
        </row>
        <row r="367">
          <cell r="K367">
            <v>167</v>
          </cell>
          <cell r="L367">
            <v>8036.4400000000005</v>
          </cell>
          <cell r="M367">
            <v>8036.4400000000005</v>
          </cell>
        </row>
        <row r="376">
          <cell r="K376">
            <v>0</v>
          </cell>
          <cell r="L376">
            <v>0</v>
          </cell>
          <cell r="M376">
            <v>0</v>
          </cell>
        </row>
        <row r="382">
          <cell r="K382">
            <v>0</v>
          </cell>
          <cell r="L382">
            <v>0</v>
          </cell>
          <cell r="M382">
            <v>0</v>
          </cell>
        </row>
        <row r="387">
          <cell r="K387">
            <v>0</v>
          </cell>
          <cell r="L387">
            <v>0</v>
          </cell>
          <cell r="M387">
            <v>0</v>
          </cell>
        </row>
        <row r="411">
          <cell r="K411">
            <v>17</v>
          </cell>
          <cell r="L411">
            <v>353.6</v>
          </cell>
          <cell r="M411">
            <v>353.6</v>
          </cell>
        </row>
        <row r="424">
          <cell r="K424">
            <v>7</v>
          </cell>
          <cell r="L424">
            <v>350</v>
          </cell>
          <cell r="M424">
            <v>350</v>
          </cell>
        </row>
        <row r="498">
          <cell r="K498">
            <v>6685.3300000000008</v>
          </cell>
          <cell r="L498">
            <v>3072.3</v>
          </cell>
          <cell r="M498">
            <v>3072.3</v>
          </cell>
        </row>
        <row r="507">
          <cell r="K507">
            <v>0</v>
          </cell>
          <cell r="L507">
            <v>0</v>
          </cell>
          <cell r="M507">
            <v>0</v>
          </cell>
        </row>
        <row r="512">
          <cell r="L512">
            <v>1138.0453587</v>
          </cell>
          <cell r="M512">
            <v>1138.0453587</v>
          </cell>
        </row>
      </sheetData>
      <sheetData sheetId="43">
        <row r="29">
          <cell r="K29">
            <v>51670.55</v>
          </cell>
          <cell r="L29">
            <v>698045.56609999994</v>
          </cell>
          <cell r="M29">
            <v>698045.56609999994</v>
          </cell>
        </row>
        <row r="53">
          <cell r="K53">
            <v>35547.31</v>
          </cell>
          <cell r="L53">
            <v>0</v>
          </cell>
          <cell r="M53">
            <v>0</v>
          </cell>
        </row>
        <row r="57">
          <cell r="K57">
            <v>0</v>
          </cell>
          <cell r="L57">
            <v>0</v>
          </cell>
          <cell r="M57">
            <v>0</v>
          </cell>
        </row>
        <row r="62">
          <cell r="K62">
            <v>16123.24</v>
          </cell>
          <cell r="L62">
            <v>136648.98579999999</v>
          </cell>
          <cell r="M62">
            <v>136648.98579999999</v>
          </cell>
        </row>
        <row r="74">
          <cell r="K74">
            <v>22</v>
          </cell>
          <cell r="L74">
            <v>7940.46</v>
          </cell>
          <cell r="M74">
            <v>7940.46</v>
          </cell>
        </row>
        <row r="85">
          <cell r="K85">
            <v>51670.55</v>
          </cell>
          <cell r="L85">
            <v>101999.46750000001</v>
          </cell>
          <cell r="M85">
            <v>101999.46750000001</v>
          </cell>
        </row>
        <row r="103">
          <cell r="K103">
            <v>17</v>
          </cell>
          <cell r="L103">
            <v>2285.9899999999998</v>
          </cell>
          <cell r="M103">
            <v>2285.9899999999998</v>
          </cell>
        </row>
        <row r="121">
          <cell r="K121">
            <v>17</v>
          </cell>
          <cell r="L121">
            <v>1534.25</v>
          </cell>
          <cell r="M121">
            <v>1534.25</v>
          </cell>
        </row>
        <row r="127">
          <cell r="K127">
            <v>0</v>
          </cell>
          <cell r="L127">
            <v>0</v>
          </cell>
        </row>
        <row r="142">
          <cell r="K142">
            <v>51670.549999999996</v>
          </cell>
          <cell r="L142">
            <v>92026.476599999995</v>
          </cell>
          <cell r="M142">
            <v>92026.476599999995</v>
          </cell>
        </row>
        <row r="150">
          <cell r="K150">
            <v>0</v>
          </cell>
          <cell r="L150">
            <v>0</v>
          </cell>
          <cell r="M150">
            <v>0</v>
          </cell>
        </row>
        <row r="155">
          <cell r="K155">
            <v>0</v>
          </cell>
          <cell r="L155">
            <v>0</v>
          </cell>
          <cell r="M155">
            <v>0</v>
          </cell>
        </row>
        <row r="195">
          <cell r="K195">
            <v>6085.06</v>
          </cell>
          <cell r="L195">
            <v>1764.6674</v>
          </cell>
          <cell r="M195">
            <v>1764.6674</v>
          </cell>
        </row>
        <row r="205">
          <cell r="K205">
            <v>51670.549999999996</v>
          </cell>
          <cell r="L205">
            <v>25791.898000000001</v>
          </cell>
          <cell r="M205">
            <v>25791.898000000001</v>
          </cell>
        </row>
        <row r="209">
          <cell r="L209">
            <v>711.57093350000002</v>
          </cell>
          <cell r="M209">
            <v>711.57093350000002</v>
          </cell>
        </row>
      </sheetData>
      <sheetData sheetId="44">
        <row r="29">
          <cell r="K29">
            <v>7483.87</v>
          </cell>
          <cell r="L29">
            <v>112258.05</v>
          </cell>
          <cell r="M29">
            <v>112258.05</v>
          </cell>
        </row>
        <row r="35">
          <cell r="K35">
            <v>0</v>
          </cell>
          <cell r="L35">
            <v>0</v>
          </cell>
          <cell r="M35">
            <v>0</v>
          </cell>
        </row>
        <row r="41">
          <cell r="K41">
            <v>0</v>
          </cell>
          <cell r="L41">
            <v>0</v>
          </cell>
          <cell r="M41">
            <v>0</v>
          </cell>
        </row>
        <row r="44">
          <cell r="K44">
            <v>0</v>
          </cell>
          <cell r="L44">
            <v>0</v>
          </cell>
          <cell r="M44">
            <v>0</v>
          </cell>
        </row>
        <row r="52">
          <cell r="K52">
            <v>7483.87</v>
          </cell>
          <cell r="L52">
            <v>0</v>
          </cell>
          <cell r="M52">
            <v>0</v>
          </cell>
        </row>
        <row r="64">
          <cell r="K64">
            <v>13</v>
          </cell>
          <cell r="L64">
            <v>1320.1499999999999</v>
          </cell>
          <cell r="M64">
            <v>1320.1499999999999</v>
          </cell>
        </row>
        <row r="69">
          <cell r="K69">
            <v>0</v>
          </cell>
          <cell r="L69">
            <v>0</v>
          </cell>
          <cell r="M69">
            <v>0</v>
          </cell>
        </row>
        <row r="87">
          <cell r="K87">
            <v>13</v>
          </cell>
          <cell r="L87">
            <v>1748.11</v>
          </cell>
          <cell r="M87">
            <v>1748.11</v>
          </cell>
        </row>
        <row r="105">
          <cell r="K105">
            <v>13</v>
          </cell>
          <cell r="L105">
            <v>1173.25</v>
          </cell>
          <cell r="M105">
            <v>1173.25</v>
          </cell>
        </row>
        <row r="111">
          <cell r="K111">
            <v>0</v>
          </cell>
          <cell r="L111">
            <v>0</v>
          </cell>
        </row>
        <row r="127">
          <cell r="K127">
            <v>7483.87</v>
          </cell>
          <cell r="L127">
            <v>13470.966</v>
          </cell>
          <cell r="M127">
            <v>13470.966</v>
          </cell>
        </row>
        <row r="135">
          <cell r="K135">
            <v>0</v>
          </cell>
          <cell r="L135">
            <v>0</v>
          </cell>
          <cell r="M135">
            <v>0</v>
          </cell>
        </row>
        <row r="140">
          <cell r="K140">
            <v>0</v>
          </cell>
          <cell r="L140">
            <v>0</v>
          </cell>
          <cell r="M140">
            <v>0</v>
          </cell>
        </row>
        <row r="180">
          <cell r="K180">
            <v>0</v>
          </cell>
          <cell r="L180">
            <v>0</v>
          </cell>
          <cell r="M180">
            <v>0</v>
          </cell>
        </row>
        <row r="190">
          <cell r="K190">
            <v>7483.87</v>
          </cell>
          <cell r="L190">
            <v>8681.2891999999993</v>
          </cell>
          <cell r="M190">
            <v>8681.2891999999993</v>
          </cell>
        </row>
        <row r="194">
          <cell r="L194">
            <v>116.49956</v>
          </cell>
          <cell r="M194">
            <v>116.49956</v>
          </cell>
        </row>
      </sheetData>
      <sheetData sheetId="45">
        <row r="66">
          <cell r="K66">
            <v>9454.02</v>
          </cell>
          <cell r="L66">
            <v>132522.59820000001</v>
          </cell>
          <cell r="M66">
            <v>132522.59820000001</v>
          </cell>
        </row>
        <row r="70">
          <cell r="K70">
            <v>0</v>
          </cell>
          <cell r="L70">
            <v>0</v>
          </cell>
          <cell r="M70">
            <v>0</v>
          </cell>
        </row>
        <row r="72">
          <cell r="K72">
            <v>0</v>
          </cell>
          <cell r="L72">
            <v>0</v>
          </cell>
          <cell r="M72">
            <v>0</v>
          </cell>
        </row>
        <row r="74">
          <cell r="K74">
            <v>0</v>
          </cell>
          <cell r="L74">
            <v>0</v>
          </cell>
          <cell r="M74">
            <v>0</v>
          </cell>
        </row>
        <row r="76">
          <cell r="K76">
            <v>0</v>
          </cell>
          <cell r="L76">
            <v>0</v>
          </cell>
          <cell r="M76">
            <v>0</v>
          </cell>
        </row>
        <row r="135">
          <cell r="K135">
            <v>0</v>
          </cell>
          <cell r="L135">
            <v>0</v>
          </cell>
          <cell r="M135">
            <v>0</v>
          </cell>
        </row>
        <row r="212">
          <cell r="K212">
            <v>9454.02</v>
          </cell>
          <cell r="L212">
            <v>197399.9376</v>
          </cell>
          <cell r="M212">
            <v>197399.9376</v>
          </cell>
        </row>
        <row r="218">
          <cell r="K218">
            <v>0</v>
          </cell>
          <cell r="L218">
            <v>0</v>
          </cell>
          <cell r="M218">
            <v>0</v>
          </cell>
        </row>
        <row r="260">
          <cell r="K260">
            <v>165</v>
          </cell>
          <cell r="L260">
            <v>55963.149999999994</v>
          </cell>
          <cell r="M260">
            <v>55963.149999999994</v>
          </cell>
        </row>
        <row r="282">
          <cell r="K282">
            <v>3878.08</v>
          </cell>
          <cell r="L282">
            <v>8686.8991999999998</v>
          </cell>
          <cell r="M282">
            <v>8686.8991999999998</v>
          </cell>
        </row>
        <row r="283">
          <cell r="K283">
            <v>0</v>
          </cell>
          <cell r="L283">
            <v>0</v>
          </cell>
          <cell r="M283">
            <v>0</v>
          </cell>
        </row>
        <row r="284">
          <cell r="K284">
            <v>0</v>
          </cell>
          <cell r="L284">
            <v>0</v>
          </cell>
          <cell r="M284">
            <v>0</v>
          </cell>
        </row>
        <row r="285">
          <cell r="K285">
            <v>0</v>
          </cell>
          <cell r="L285">
            <v>0</v>
          </cell>
          <cell r="M285">
            <v>0</v>
          </cell>
        </row>
        <row r="287">
          <cell r="K287">
            <v>0</v>
          </cell>
          <cell r="L287">
            <v>0</v>
          </cell>
          <cell r="M287">
            <v>0</v>
          </cell>
        </row>
        <row r="335">
          <cell r="K335">
            <v>164</v>
          </cell>
          <cell r="L335">
            <v>20714.72</v>
          </cell>
          <cell r="M335">
            <v>20714.72</v>
          </cell>
        </row>
        <row r="373">
          <cell r="K373">
            <v>164</v>
          </cell>
          <cell r="L373">
            <v>13898.119999999999</v>
          </cell>
          <cell r="M373">
            <v>13898.119999999999</v>
          </cell>
        </row>
        <row r="394">
          <cell r="K394">
            <v>356</v>
          </cell>
          <cell r="L394">
            <v>15938.12</v>
          </cell>
          <cell r="M394">
            <v>15938.12</v>
          </cell>
        </row>
        <row r="413">
          <cell r="K413">
            <v>9454.02</v>
          </cell>
          <cell r="L413">
            <v>17962.637999999999</v>
          </cell>
          <cell r="M413">
            <v>17962.637999999999</v>
          </cell>
        </row>
        <row r="446">
          <cell r="K446">
            <v>81</v>
          </cell>
          <cell r="L446">
            <v>1684.8</v>
          </cell>
          <cell r="M446">
            <v>1684.8</v>
          </cell>
        </row>
        <row r="459">
          <cell r="K459">
            <v>5</v>
          </cell>
          <cell r="L459">
            <v>250</v>
          </cell>
          <cell r="M459">
            <v>250</v>
          </cell>
        </row>
        <row r="536">
          <cell r="K536">
            <v>679.07</v>
          </cell>
          <cell r="L536">
            <v>624.74440000000004</v>
          </cell>
          <cell r="M536">
            <v>624.74440000000004</v>
          </cell>
        </row>
        <row r="546">
          <cell r="K546">
            <v>9454.02</v>
          </cell>
          <cell r="L546">
            <v>5194.6953999999996</v>
          </cell>
          <cell r="M546">
            <v>5194.6953999999996</v>
          </cell>
        </row>
        <row r="551">
          <cell r="L551">
            <v>438.99619019999994</v>
          </cell>
          <cell r="M551">
            <v>438.99619019999994</v>
          </cell>
        </row>
      </sheetData>
      <sheetData sheetId="46">
        <row r="19">
          <cell r="K19">
            <v>0</v>
          </cell>
          <cell r="L19">
            <v>0</v>
          </cell>
          <cell r="M19">
            <v>0</v>
          </cell>
        </row>
        <row r="65">
          <cell r="K65">
            <v>2918.83</v>
          </cell>
          <cell r="L65">
            <v>36485.375</v>
          </cell>
          <cell r="M65">
            <v>36485.375</v>
          </cell>
        </row>
        <row r="292">
          <cell r="K292">
            <v>0</v>
          </cell>
          <cell r="L292">
            <v>0</v>
          </cell>
          <cell r="M292">
            <v>0</v>
          </cell>
        </row>
        <row r="353">
          <cell r="K353">
            <v>0</v>
          </cell>
          <cell r="L353">
            <v>0</v>
          </cell>
          <cell r="M353">
            <v>0</v>
          </cell>
        </row>
        <row r="391">
          <cell r="K391">
            <v>0</v>
          </cell>
          <cell r="L391">
            <v>0</v>
          </cell>
          <cell r="M391">
            <v>0</v>
          </cell>
        </row>
        <row r="411">
          <cell r="K411">
            <v>0</v>
          </cell>
          <cell r="L411">
            <v>0</v>
          </cell>
          <cell r="M411">
            <v>0</v>
          </cell>
        </row>
        <row r="436">
          <cell r="K436">
            <v>2918.83</v>
          </cell>
          <cell r="L436">
            <v>5253.8940000000002</v>
          </cell>
          <cell r="M436">
            <v>5253.8940000000002</v>
          </cell>
        </row>
        <row r="479">
          <cell r="K479">
            <v>0</v>
          </cell>
          <cell r="L479">
            <v>0</v>
          </cell>
          <cell r="M479">
            <v>0</v>
          </cell>
        </row>
        <row r="556">
          <cell r="K556">
            <v>0</v>
          </cell>
          <cell r="L556">
            <v>0</v>
          </cell>
          <cell r="M556">
            <v>0</v>
          </cell>
        </row>
        <row r="571">
          <cell r="L571">
            <v>36.485374999999998</v>
          </cell>
          <cell r="M571">
            <v>36.485374999999998</v>
          </cell>
        </row>
      </sheetData>
      <sheetData sheetId="47">
        <row r="43">
          <cell r="K43">
            <v>1703.3</v>
          </cell>
          <cell r="L43">
            <v>15108.270999999999</v>
          </cell>
          <cell r="M43">
            <v>15108.270999999999</v>
          </cell>
        </row>
        <row r="141">
          <cell r="K141">
            <v>20</v>
          </cell>
          <cell r="L141">
            <v>2167.8000000000002</v>
          </cell>
          <cell r="M141">
            <v>2167.8000000000002</v>
          </cell>
        </row>
        <row r="159">
          <cell r="K159">
            <v>15</v>
          </cell>
          <cell r="L159">
            <v>1892.85</v>
          </cell>
          <cell r="M159">
            <v>1892.85</v>
          </cell>
        </row>
        <row r="339">
          <cell r="L339">
            <v>19.168920999999997</v>
          </cell>
          <cell r="M339">
            <v>19.168920999999997</v>
          </cell>
        </row>
      </sheetData>
      <sheetData sheetId="48">
        <row r="12">
          <cell r="K12">
            <v>89.94</v>
          </cell>
          <cell r="L12">
            <v>2799.8321999999998</v>
          </cell>
          <cell r="M12">
            <v>2799.8321999999998</v>
          </cell>
        </row>
        <row r="44">
          <cell r="K44">
            <v>26115.449999999997</v>
          </cell>
          <cell r="L44">
            <v>224905.33199999999</v>
          </cell>
          <cell r="M44">
            <v>224905.33199999999</v>
          </cell>
        </row>
        <row r="56">
          <cell r="K56">
            <v>242.42</v>
          </cell>
          <cell r="L56">
            <v>3847.2053999999998</v>
          </cell>
          <cell r="M56">
            <v>3847.2053999999998</v>
          </cell>
        </row>
        <row r="58">
          <cell r="K58">
            <v>1632.56</v>
          </cell>
          <cell r="L58">
            <v>30937.011999999999</v>
          </cell>
          <cell r="M58">
            <v>30937.011999999999</v>
          </cell>
        </row>
        <row r="61">
          <cell r="K61">
            <v>5862.44</v>
          </cell>
          <cell r="L61">
            <v>209816.72759999998</v>
          </cell>
          <cell r="M61">
            <v>209816.72759999998</v>
          </cell>
        </row>
        <row r="63">
          <cell r="K63">
            <v>0</v>
          </cell>
          <cell r="L63">
            <v>0</v>
          </cell>
          <cell r="M63">
            <v>0</v>
          </cell>
        </row>
        <row r="68">
          <cell r="K68">
            <v>116.4</v>
          </cell>
          <cell r="L68">
            <v>2372.232</v>
          </cell>
          <cell r="M68">
            <v>2372.232</v>
          </cell>
        </row>
        <row r="71">
          <cell r="K71">
            <v>123.7</v>
          </cell>
          <cell r="L71">
            <v>4322.0779999999995</v>
          </cell>
          <cell r="M71">
            <v>4322.0779999999995</v>
          </cell>
        </row>
        <row r="76">
          <cell r="K76">
            <v>383</v>
          </cell>
          <cell r="L76">
            <v>8100.45</v>
          </cell>
          <cell r="M76">
            <v>8100.45</v>
          </cell>
        </row>
        <row r="78">
          <cell r="K78">
            <v>42.24</v>
          </cell>
          <cell r="L78">
            <v>906.89279999999997</v>
          </cell>
          <cell r="M78">
            <v>906.89279999999997</v>
          </cell>
        </row>
        <row r="80">
          <cell r="K80">
            <v>230.62</v>
          </cell>
          <cell r="L80">
            <v>5265.0545999999995</v>
          </cell>
          <cell r="M80">
            <v>5265.0545999999995</v>
          </cell>
        </row>
        <row r="84">
          <cell r="K84">
            <v>2605.59</v>
          </cell>
          <cell r="L84">
            <v>61335.588600000003</v>
          </cell>
          <cell r="M84">
            <v>61335.588600000003</v>
          </cell>
        </row>
        <row r="87">
          <cell r="K87">
            <v>41.5</v>
          </cell>
          <cell r="L87">
            <v>1624.31</v>
          </cell>
          <cell r="M87">
            <v>1624.31</v>
          </cell>
        </row>
        <row r="90">
          <cell r="K90">
            <v>201.63</v>
          </cell>
          <cell r="L90">
            <v>8137.7867999999999</v>
          </cell>
          <cell r="M90">
            <v>8137.7867999999999</v>
          </cell>
        </row>
        <row r="102">
          <cell r="K102">
            <v>5</v>
          </cell>
          <cell r="L102">
            <v>561.75</v>
          </cell>
          <cell r="M102">
            <v>561.75</v>
          </cell>
        </row>
        <row r="106">
          <cell r="K106">
            <v>18</v>
          </cell>
          <cell r="L106">
            <v>7646.94</v>
          </cell>
          <cell r="M106">
            <v>7646.94</v>
          </cell>
        </row>
        <row r="137">
          <cell r="K137">
            <v>99</v>
          </cell>
          <cell r="L137">
            <v>8275.9700000000012</v>
          </cell>
          <cell r="M137">
            <v>8275.9700000000012</v>
          </cell>
        </row>
        <row r="163">
          <cell r="K163">
            <v>174</v>
          </cell>
          <cell r="L163">
            <v>11065.77</v>
          </cell>
          <cell r="M163">
            <v>11065.77</v>
          </cell>
        </row>
        <row r="176">
          <cell r="K176">
            <v>55</v>
          </cell>
          <cell r="L176">
            <v>3439.15</v>
          </cell>
          <cell r="M176">
            <v>3439.15</v>
          </cell>
        </row>
        <row r="186">
          <cell r="K186">
            <v>150</v>
          </cell>
          <cell r="L186">
            <v>6106.1600000000008</v>
          </cell>
          <cell r="M186">
            <v>6106.1600000000008</v>
          </cell>
        </row>
        <row r="256">
          <cell r="K256">
            <v>9260.3499999999985</v>
          </cell>
          <cell r="L256">
            <v>3001.5459000000001</v>
          </cell>
          <cell r="M256">
            <v>3001.5459000000001</v>
          </cell>
        </row>
        <row r="270">
          <cell r="L270">
            <v>380.56688550000001</v>
          </cell>
          <cell r="M270">
            <v>380.56688550000001</v>
          </cell>
        </row>
      </sheetData>
      <sheetData sheetId="49">
        <row r="28">
          <cell r="K28">
            <v>0</v>
          </cell>
          <cell r="L28">
            <v>0</v>
          </cell>
          <cell r="M28">
            <v>0</v>
          </cell>
        </row>
        <row r="33">
          <cell r="K33">
            <v>3160.91</v>
          </cell>
          <cell r="L33">
            <v>15804.55</v>
          </cell>
          <cell r="M33">
            <v>15804.55</v>
          </cell>
        </row>
        <row r="145">
          <cell r="K145">
            <v>0</v>
          </cell>
          <cell r="L145">
            <v>0</v>
          </cell>
          <cell r="M145">
            <v>0</v>
          </cell>
        </row>
        <row r="163">
          <cell r="K163">
            <v>0</v>
          </cell>
          <cell r="L163">
            <v>0</v>
          </cell>
          <cell r="M163">
            <v>0</v>
          </cell>
        </row>
        <row r="175">
          <cell r="K175">
            <v>0</v>
          </cell>
          <cell r="L175">
            <v>0</v>
          </cell>
          <cell r="M175">
            <v>0</v>
          </cell>
        </row>
        <row r="208">
          <cell r="K208">
            <v>0</v>
          </cell>
          <cell r="L208">
            <v>0</v>
          </cell>
          <cell r="M208">
            <v>0</v>
          </cell>
        </row>
        <row r="248">
          <cell r="K248">
            <v>0</v>
          </cell>
          <cell r="L248">
            <v>0</v>
          </cell>
          <cell r="M248">
            <v>0</v>
          </cell>
        </row>
        <row r="263">
          <cell r="L263">
            <v>15.804549999999999</v>
          </cell>
          <cell r="M263">
            <v>15.804549999999999</v>
          </cell>
        </row>
      </sheetData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дамент СК ООО"/>
      <sheetName val="СУК"/>
      <sheetName val="Вымпел"/>
      <sheetName val="Ульяновский _2 ТСЖ"/>
      <sheetName val="ООО РЭС"/>
      <sheetName val="ГК РЭС"/>
      <sheetName val="Жилстройсервис"/>
      <sheetName val="УК Ж_С"/>
      <sheetName val="Новый Город"/>
      <sheetName val="Союз ТСЖ"/>
      <sheetName val="ДоМ ТСЖ"/>
      <sheetName val="ЖСК Электромаш"/>
      <sheetName val="ЗАО Авиастар-СП"/>
      <sheetName val="МегаЛинк"/>
      <sheetName val="Евро-Строй-Сервис"/>
      <sheetName val="СМУ"/>
      <sheetName val="Заволжский"/>
      <sheetName val="ДУК Заволжский"/>
      <sheetName val="Южное"/>
      <sheetName val="ДК Жел-го"/>
      <sheetName val="Засвияжье_1"/>
      <sheetName val="ДУК Засвияжье_1"/>
      <sheetName val="Засвияжье_2"/>
      <sheetName val="ДУК Засвияжье_2"/>
      <sheetName val="Ленинский"/>
      <sheetName val="ДУК Лен"/>
      <sheetName val="Аметист УК"/>
      <sheetName val="ООО УК ЖКХ Аметист"/>
      <sheetName val="ООО УК ЖКХ Аметист - 1"/>
      <sheetName val="ООО УК Аметист+"/>
      <sheetName val="ООО УК ЖКХ Аметист+"/>
      <sheetName val="народ. контр."/>
      <sheetName val="стасова"/>
      <sheetName val="мостотряд"/>
      <sheetName val="пр.т гая"/>
      <sheetName val="север-1"/>
      <sheetName val="мегаполис ТСЖ"/>
      <sheetName val="микрорайон"/>
      <sheetName val="наш дом"/>
      <sheetName val="промышленная тсж"/>
      <sheetName val="уют тсж"/>
      <sheetName val="зап. бульвар"/>
      <sheetName val="рябикова"/>
      <sheetName val="семья"/>
      <sheetName val="альфаком-У"/>
      <sheetName val="ТСЖ Дачный"/>
      <sheetName val="альфаком-У-ТСЖ З-2"/>
      <sheetName val="ООО ЦЭТ"/>
      <sheetName val="ТСЖ Форт"/>
      <sheetName val="ТСЖ Северный венец"/>
      <sheetName val="УК ЖКХ Симбирск"/>
      <sheetName val="Сводна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134">
          <cell r="K134">
            <v>0</v>
          </cell>
          <cell r="L134">
            <v>0</v>
          </cell>
          <cell r="M134">
            <v>0</v>
          </cell>
        </row>
      </sheetData>
      <sheetData sheetId="47" refreshError="1"/>
      <sheetData sheetId="48" refreshError="1"/>
      <sheetData sheetId="49">
        <row r="84">
          <cell r="K84">
            <v>0</v>
          </cell>
          <cell r="L84">
            <v>0</v>
          </cell>
          <cell r="M84">
            <v>0</v>
          </cell>
        </row>
        <row r="420">
          <cell r="K420">
            <v>0</v>
          </cell>
          <cell r="L420">
            <v>0</v>
          </cell>
          <cell r="M420">
            <v>0</v>
          </cell>
        </row>
        <row r="566">
          <cell r="K566">
            <v>0</v>
          </cell>
          <cell r="L566">
            <v>0</v>
          </cell>
          <cell r="M566">
            <v>0</v>
          </cell>
        </row>
      </sheetData>
      <sheetData sheetId="50">
        <row r="441">
          <cell r="K441">
            <v>0</v>
          </cell>
          <cell r="L441">
            <v>0</v>
          </cell>
          <cell r="M441">
            <v>0</v>
          </cell>
        </row>
      </sheetData>
      <sheetData sheetId="5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ундамент СК ООО"/>
      <sheetName val="СУК"/>
      <sheetName val="Вымпел"/>
      <sheetName val="Ульяновский _2 ТСЖ"/>
      <sheetName val="ООО РЭС"/>
      <sheetName val="ГК РЭС"/>
      <sheetName val="Жилстройсервис"/>
      <sheetName val="УК Ж_С"/>
      <sheetName val="Новый Город"/>
      <sheetName val="Союз ТСЖ"/>
      <sheetName val="ДоМ ТСЖ"/>
      <sheetName val="МегаЛинк"/>
      <sheetName val="Евро-Строй-Сервис"/>
      <sheetName val="СМУ"/>
      <sheetName val="Заволжский"/>
      <sheetName val="ДУК Заволжский"/>
      <sheetName val="Южное"/>
      <sheetName val="ДК Жел-го"/>
      <sheetName val="Засвияжье_1"/>
      <sheetName val="ДУК Засвияжье_1"/>
      <sheetName val="Засвияжье_2"/>
      <sheetName val="ДУК Засвияжье_2"/>
      <sheetName val="Ленинский"/>
      <sheetName val="ДУК Лен"/>
      <sheetName val="Аметист УК"/>
      <sheetName val="ООО УК ЖКХ Аметист"/>
      <sheetName val="ООО УК ЖКХ Аметист - 1"/>
      <sheetName val="ООО УК Аметист+"/>
      <sheetName val="ООО УК ЖКХ Аметист+"/>
      <sheetName val="народ. контр."/>
      <sheetName val="стасова"/>
      <sheetName val="мостотряд"/>
      <sheetName val="пр.т гая"/>
      <sheetName val="север-1"/>
      <sheetName val="мегаполис ТСЖ"/>
      <sheetName val="микрорайон"/>
      <sheetName val="наш дом"/>
      <sheetName val="промышленная тсж"/>
      <sheetName val="уют тсж"/>
      <sheetName val="зап. бульвар"/>
      <sheetName val="семья"/>
      <sheetName val="рябикова"/>
      <sheetName val="Сводна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41"/>
  <sheetViews>
    <sheetView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11" sqref="G11"/>
    </sheetView>
  </sheetViews>
  <sheetFormatPr defaultRowHeight="14.25"/>
  <cols>
    <col min="1" max="1" width="3.42578125" style="9" customWidth="1"/>
    <col min="2" max="2" width="27.85546875" style="10" customWidth="1"/>
    <col min="3" max="3" width="11.85546875" style="11" customWidth="1"/>
    <col min="4" max="4" width="15.140625" style="11" customWidth="1"/>
    <col min="5" max="5" width="10.28515625" style="9" customWidth="1"/>
    <col min="6" max="7" width="9.7109375" style="9" customWidth="1"/>
    <col min="8" max="8" width="10.85546875" style="9" customWidth="1"/>
    <col min="9" max="11" width="10.42578125" style="9" customWidth="1"/>
    <col min="12" max="12" width="10.42578125" style="9" bestFit="1" customWidth="1"/>
    <col min="13" max="13" width="16.28515625" style="9" customWidth="1"/>
    <col min="14" max="14" width="15.140625" style="9" customWidth="1"/>
    <col min="15" max="15" width="13.5703125" style="9" customWidth="1"/>
    <col min="16" max="16" width="10.5703125" style="9" customWidth="1"/>
    <col min="17" max="17" width="10.85546875" style="9" customWidth="1"/>
    <col min="18" max="18" width="18" style="9" customWidth="1"/>
    <col min="19" max="19" width="15.42578125" style="9" customWidth="1"/>
    <col min="20" max="20" width="12.140625" style="9" customWidth="1"/>
    <col min="21" max="21" width="13.42578125" style="9" customWidth="1"/>
    <col min="22" max="24" width="8.85546875" style="9" customWidth="1"/>
    <col min="25" max="25" width="9.28515625" style="9" customWidth="1"/>
    <col min="26" max="26" width="14" style="9" customWidth="1"/>
    <col min="27" max="28" width="8.85546875" style="9" customWidth="1"/>
    <col min="29" max="29" width="10.140625" style="9" customWidth="1"/>
    <col min="30" max="31" width="9.5703125" style="9" customWidth="1"/>
    <col min="32" max="32" width="10.85546875" style="9" customWidth="1"/>
    <col min="33" max="33" width="9.85546875" style="1" customWidth="1"/>
    <col min="34" max="35" width="10.140625" style="1" customWidth="1"/>
    <col min="36" max="38" width="9.28515625" style="1" customWidth="1"/>
    <col min="39" max="39" width="9.85546875" style="1" customWidth="1"/>
    <col min="40" max="41" width="8.5703125" style="1" customWidth="1"/>
    <col min="42" max="44" width="8.85546875" style="1" customWidth="1"/>
    <col min="45" max="45" width="9.28515625" style="1" customWidth="1"/>
    <col min="46" max="47" width="8.85546875" style="1" customWidth="1"/>
    <col min="48" max="48" width="10" style="1" customWidth="1"/>
    <col min="49" max="50" width="8.85546875" style="1" customWidth="1"/>
    <col min="51" max="51" width="11" style="1" customWidth="1"/>
    <col min="52" max="53" width="9.5703125" style="1" customWidth="1"/>
    <col min="54" max="56" width="8.85546875" style="1" customWidth="1"/>
    <col min="57" max="57" width="10.42578125" style="1" customWidth="1"/>
    <col min="58" max="59" width="8.85546875" style="1" customWidth="1"/>
    <col min="60" max="60" width="9.7109375" style="1" customWidth="1"/>
    <col min="61" max="62" width="8.85546875" style="1" customWidth="1"/>
    <col min="63" max="63" width="9.28515625" style="1" customWidth="1"/>
    <col min="64" max="84" width="8.85546875" style="1" customWidth="1"/>
    <col min="85" max="85" width="9.85546875" style="1" customWidth="1"/>
    <col min="86" max="86" width="8.85546875" style="1" customWidth="1"/>
    <col min="87" max="87" width="10" style="1" customWidth="1"/>
    <col min="88" max="104" width="8.85546875" style="1" customWidth="1"/>
    <col min="105" max="105" width="9.42578125" style="1" customWidth="1"/>
    <col min="106" max="106" width="8.85546875" style="1" customWidth="1"/>
    <col min="107" max="107" width="12" style="1" customWidth="1"/>
    <col min="108" max="108" width="11.140625" style="1" customWidth="1"/>
    <col min="109" max="109" width="28.7109375" style="1" customWidth="1"/>
    <col min="110" max="110" width="5.85546875" style="1" customWidth="1"/>
    <col min="111" max="260" width="9.140625" style="1"/>
    <col min="261" max="261" width="3.42578125" style="1" customWidth="1"/>
    <col min="262" max="262" width="27.85546875" style="1" customWidth="1"/>
    <col min="263" max="263" width="11.85546875" style="1" customWidth="1"/>
    <col min="264" max="264" width="15.140625" style="1" customWidth="1"/>
    <col min="265" max="265" width="10.28515625" style="1" customWidth="1"/>
    <col min="266" max="267" width="9.7109375" style="1" customWidth="1"/>
    <col min="268" max="268" width="10.42578125" style="1" customWidth="1"/>
    <col min="269" max="269" width="10.42578125" style="1" bestFit="1" customWidth="1"/>
    <col min="270" max="270" width="16.28515625" style="1" customWidth="1"/>
    <col min="271" max="271" width="15.140625" style="1" customWidth="1"/>
    <col min="272" max="272" width="13.5703125" style="1" customWidth="1"/>
    <col min="273" max="273" width="10.5703125" style="1" customWidth="1"/>
    <col min="274" max="274" width="10.85546875" style="1" customWidth="1"/>
    <col min="275" max="275" width="18" style="1" customWidth="1"/>
    <col min="276" max="276" width="20.85546875" style="1" customWidth="1"/>
    <col min="277" max="277" width="13.5703125" style="1" customWidth="1"/>
    <col min="278" max="278" width="14.140625" style="1" customWidth="1"/>
    <col min="279" max="281" width="8.85546875" style="1" customWidth="1"/>
    <col min="282" max="282" width="9.28515625" style="1" customWidth="1"/>
    <col min="283" max="283" width="14" style="1" customWidth="1"/>
    <col min="284" max="285" width="8.85546875" style="1" customWidth="1"/>
    <col min="286" max="286" width="10.140625" style="1" customWidth="1"/>
    <col min="287" max="288" width="9.5703125" style="1" customWidth="1"/>
    <col min="289" max="289" width="9.85546875" style="1" customWidth="1"/>
    <col min="290" max="291" width="10.140625" style="1" customWidth="1"/>
    <col min="292" max="294" width="9.28515625" style="1" customWidth="1"/>
    <col min="295" max="295" width="9.85546875" style="1" customWidth="1"/>
    <col min="296" max="297" width="8.5703125" style="1" customWidth="1"/>
    <col min="298" max="300" width="8.85546875" style="1" customWidth="1"/>
    <col min="301" max="301" width="9.28515625" style="1" customWidth="1"/>
    <col min="302" max="303" width="8.85546875" style="1" customWidth="1"/>
    <col min="304" max="304" width="10" style="1" customWidth="1"/>
    <col min="305" max="306" width="8.85546875" style="1" customWidth="1"/>
    <col min="307" max="307" width="11" style="1" customWidth="1"/>
    <col min="308" max="309" width="9.5703125" style="1" customWidth="1"/>
    <col min="310" max="312" width="8.85546875" style="1" customWidth="1"/>
    <col min="313" max="313" width="10.42578125" style="1" customWidth="1"/>
    <col min="314" max="315" width="8.85546875" style="1" customWidth="1"/>
    <col min="316" max="316" width="9.7109375" style="1" customWidth="1"/>
    <col min="317" max="318" width="8.85546875" style="1" customWidth="1"/>
    <col min="319" max="319" width="9.28515625" style="1" customWidth="1"/>
    <col min="320" max="340" width="8.85546875" style="1" customWidth="1"/>
    <col min="341" max="341" width="9.85546875" style="1" customWidth="1"/>
    <col min="342" max="342" width="8.85546875" style="1" customWidth="1"/>
    <col min="343" max="343" width="10" style="1" customWidth="1"/>
    <col min="344" max="360" width="8.85546875" style="1" customWidth="1"/>
    <col min="361" max="361" width="9.42578125" style="1" customWidth="1"/>
    <col min="362" max="362" width="8.85546875" style="1" customWidth="1"/>
    <col min="363" max="363" width="12" style="1" customWidth="1"/>
    <col min="364" max="364" width="11.140625" style="1" customWidth="1"/>
    <col min="365" max="365" width="28.7109375" style="1" customWidth="1"/>
    <col min="366" max="366" width="5.85546875" style="1" customWidth="1"/>
    <col min="367" max="516" width="9.140625" style="1"/>
    <col min="517" max="517" width="3.42578125" style="1" customWidth="1"/>
    <col min="518" max="518" width="27.85546875" style="1" customWidth="1"/>
    <col min="519" max="519" width="11.85546875" style="1" customWidth="1"/>
    <col min="520" max="520" width="15.140625" style="1" customWidth="1"/>
    <col min="521" max="521" width="10.28515625" style="1" customWidth="1"/>
    <col min="522" max="523" width="9.7109375" style="1" customWidth="1"/>
    <col min="524" max="524" width="10.42578125" style="1" customWidth="1"/>
    <col min="525" max="525" width="10.42578125" style="1" bestFit="1" customWidth="1"/>
    <col min="526" max="526" width="16.28515625" style="1" customWidth="1"/>
    <col min="527" max="527" width="15.140625" style="1" customWidth="1"/>
    <col min="528" max="528" width="13.5703125" style="1" customWidth="1"/>
    <col min="529" max="529" width="10.5703125" style="1" customWidth="1"/>
    <col min="530" max="530" width="10.85546875" style="1" customWidth="1"/>
    <col min="531" max="531" width="18" style="1" customWidth="1"/>
    <col min="532" max="532" width="20.85546875" style="1" customWidth="1"/>
    <col min="533" max="533" width="13.5703125" style="1" customWidth="1"/>
    <col min="534" max="534" width="14.140625" style="1" customWidth="1"/>
    <col min="535" max="537" width="8.85546875" style="1" customWidth="1"/>
    <col min="538" max="538" width="9.28515625" style="1" customWidth="1"/>
    <col min="539" max="539" width="14" style="1" customWidth="1"/>
    <col min="540" max="541" width="8.85546875" style="1" customWidth="1"/>
    <col min="542" max="542" width="10.140625" style="1" customWidth="1"/>
    <col min="543" max="544" width="9.5703125" style="1" customWidth="1"/>
    <col min="545" max="545" width="9.85546875" style="1" customWidth="1"/>
    <col min="546" max="547" width="10.140625" style="1" customWidth="1"/>
    <col min="548" max="550" width="9.28515625" style="1" customWidth="1"/>
    <col min="551" max="551" width="9.85546875" style="1" customWidth="1"/>
    <col min="552" max="553" width="8.5703125" style="1" customWidth="1"/>
    <col min="554" max="556" width="8.85546875" style="1" customWidth="1"/>
    <col min="557" max="557" width="9.28515625" style="1" customWidth="1"/>
    <col min="558" max="559" width="8.85546875" style="1" customWidth="1"/>
    <col min="560" max="560" width="10" style="1" customWidth="1"/>
    <col min="561" max="562" width="8.85546875" style="1" customWidth="1"/>
    <col min="563" max="563" width="11" style="1" customWidth="1"/>
    <col min="564" max="565" width="9.5703125" style="1" customWidth="1"/>
    <col min="566" max="568" width="8.85546875" style="1" customWidth="1"/>
    <col min="569" max="569" width="10.42578125" style="1" customWidth="1"/>
    <col min="570" max="571" width="8.85546875" style="1" customWidth="1"/>
    <col min="572" max="572" width="9.7109375" style="1" customWidth="1"/>
    <col min="573" max="574" width="8.85546875" style="1" customWidth="1"/>
    <col min="575" max="575" width="9.28515625" style="1" customWidth="1"/>
    <col min="576" max="596" width="8.85546875" style="1" customWidth="1"/>
    <col min="597" max="597" width="9.85546875" style="1" customWidth="1"/>
    <col min="598" max="598" width="8.85546875" style="1" customWidth="1"/>
    <col min="599" max="599" width="10" style="1" customWidth="1"/>
    <col min="600" max="616" width="8.85546875" style="1" customWidth="1"/>
    <col min="617" max="617" width="9.42578125" style="1" customWidth="1"/>
    <col min="618" max="618" width="8.85546875" style="1" customWidth="1"/>
    <col min="619" max="619" width="12" style="1" customWidth="1"/>
    <col min="620" max="620" width="11.140625" style="1" customWidth="1"/>
    <col min="621" max="621" width="28.7109375" style="1" customWidth="1"/>
    <col min="622" max="622" width="5.85546875" style="1" customWidth="1"/>
    <col min="623" max="772" width="9.140625" style="1"/>
    <col min="773" max="773" width="3.42578125" style="1" customWidth="1"/>
    <col min="774" max="774" width="27.85546875" style="1" customWidth="1"/>
    <col min="775" max="775" width="11.85546875" style="1" customWidth="1"/>
    <col min="776" max="776" width="15.140625" style="1" customWidth="1"/>
    <col min="777" max="777" width="10.28515625" style="1" customWidth="1"/>
    <col min="778" max="779" width="9.7109375" style="1" customWidth="1"/>
    <col min="780" max="780" width="10.42578125" style="1" customWidth="1"/>
    <col min="781" max="781" width="10.42578125" style="1" bestFit="1" customWidth="1"/>
    <col min="782" max="782" width="16.28515625" style="1" customWidth="1"/>
    <col min="783" max="783" width="15.140625" style="1" customWidth="1"/>
    <col min="784" max="784" width="13.5703125" style="1" customWidth="1"/>
    <col min="785" max="785" width="10.5703125" style="1" customWidth="1"/>
    <col min="786" max="786" width="10.85546875" style="1" customWidth="1"/>
    <col min="787" max="787" width="18" style="1" customWidth="1"/>
    <col min="788" max="788" width="20.85546875" style="1" customWidth="1"/>
    <col min="789" max="789" width="13.5703125" style="1" customWidth="1"/>
    <col min="790" max="790" width="14.140625" style="1" customWidth="1"/>
    <col min="791" max="793" width="8.85546875" style="1" customWidth="1"/>
    <col min="794" max="794" width="9.28515625" style="1" customWidth="1"/>
    <col min="795" max="795" width="14" style="1" customWidth="1"/>
    <col min="796" max="797" width="8.85546875" style="1" customWidth="1"/>
    <col min="798" max="798" width="10.140625" style="1" customWidth="1"/>
    <col min="799" max="800" width="9.5703125" style="1" customWidth="1"/>
    <col min="801" max="801" width="9.85546875" style="1" customWidth="1"/>
    <col min="802" max="803" width="10.140625" style="1" customWidth="1"/>
    <col min="804" max="806" width="9.28515625" style="1" customWidth="1"/>
    <col min="807" max="807" width="9.85546875" style="1" customWidth="1"/>
    <col min="808" max="809" width="8.5703125" style="1" customWidth="1"/>
    <col min="810" max="812" width="8.85546875" style="1" customWidth="1"/>
    <col min="813" max="813" width="9.28515625" style="1" customWidth="1"/>
    <col min="814" max="815" width="8.85546875" style="1" customWidth="1"/>
    <col min="816" max="816" width="10" style="1" customWidth="1"/>
    <col min="817" max="818" width="8.85546875" style="1" customWidth="1"/>
    <col min="819" max="819" width="11" style="1" customWidth="1"/>
    <col min="820" max="821" width="9.5703125" style="1" customWidth="1"/>
    <col min="822" max="824" width="8.85546875" style="1" customWidth="1"/>
    <col min="825" max="825" width="10.42578125" style="1" customWidth="1"/>
    <col min="826" max="827" width="8.85546875" style="1" customWidth="1"/>
    <col min="828" max="828" width="9.7109375" style="1" customWidth="1"/>
    <col min="829" max="830" width="8.85546875" style="1" customWidth="1"/>
    <col min="831" max="831" width="9.28515625" style="1" customWidth="1"/>
    <col min="832" max="852" width="8.85546875" style="1" customWidth="1"/>
    <col min="853" max="853" width="9.85546875" style="1" customWidth="1"/>
    <col min="854" max="854" width="8.85546875" style="1" customWidth="1"/>
    <col min="855" max="855" width="10" style="1" customWidth="1"/>
    <col min="856" max="872" width="8.85546875" style="1" customWidth="1"/>
    <col min="873" max="873" width="9.42578125" style="1" customWidth="1"/>
    <col min="874" max="874" width="8.85546875" style="1" customWidth="1"/>
    <col min="875" max="875" width="12" style="1" customWidth="1"/>
    <col min="876" max="876" width="11.140625" style="1" customWidth="1"/>
    <col min="877" max="877" width="28.7109375" style="1" customWidth="1"/>
    <col min="878" max="878" width="5.85546875" style="1" customWidth="1"/>
    <col min="879" max="1028" width="9.140625" style="1"/>
    <col min="1029" max="1029" width="3.42578125" style="1" customWidth="1"/>
    <col min="1030" max="1030" width="27.85546875" style="1" customWidth="1"/>
    <col min="1031" max="1031" width="11.85546875" style="1" customWidth="1"/>
    <col min="1032" max="1032" width="15.140625" style="1" customWidth="1"/>
    <col min="1033" max="1033" width="10.28515625" style="1" customWidth="1"/>
    <col min="1034" max="1035" width="9.7109375" style="1" customWidth="1"/>
    <col min="1036" max="1036" width="10.42578125" style="1" customWidth="1"/>
    <col min="1037" max="1037" width="10.42578125" style="1" bestFit="1" customWidth="1"/>
    <col min="1038" max="1038" width="16.28515625" style="1" customWidth="1"/>
    <col min="1039" max="1039" width="15.140625" style="1" customWidth="1"/>
    <col min="1040" max="1040" width="13.5703125" style="1" customWidth="1"/>
    <col min="1041" max="1041" width="10.5703125" style="1" customWidth="1"/>
    <col min="1042" max="1042" width="10.85546875" style="1" customWidth="1"/>
    <col min="1043" max="1043" width="18" style="1" customWidth="1"/>
    <col min="1044" max="1044" width="20.85546875" style="1" customWidth="1"/>
    <col min="1045" max="1045" width="13.5703125" style="1" customWidth="1"/>
    <col min="1046" max="1046" width="14.140625" style="1" customWidth="1"/>
    <col min="1047" max="1049" width="8.85546875" style="1" customWidth="1"/>
    <col min="1050" max="1050" width="9.28515625" style="1" customWidth="1"/>
    <col min="1051" max="1051" width="14" style="1" customWidth="1"/>
    <col min="1052" max="1053" width="8.85546875" style="1" customWidth="1"/>
    <col min="1054" max="1054" width="10.140625" style="1" customWidth="1"/>
    <col min="1055" max="1056" width="9.5703125" style="1" customWidth="1"/>
    <col min="1057" max="1057" width="9.85546875" style="1" customWidth="1"/>
    <col min="1058" max="1059" width="10.140625" style="1" customWidth="1"/>
    <col min="1060" max="1062" width="9.28515625" style="1" customWidth="1"/>
    <col min="1063" max="1063" width="9.85546875" style="1" customWidth="1"/>
    <col min="1064" max="1065" width="8.5703125" style="1" customWidth="1"/>
    <col min="1066" max="1068" width="8.85546875" style="1" customWidth="1"/>
    <col min="1069" max="1069" width="9.28515625" style="1" customWidth="1"/>
    <col min="1070" max="1071" width="8.85546875" style="1" customWidth="1"/>
    <col min="1072" max="1072" width="10" style="1" customWidth="1"/>
    <col min="1073" max="1074" width="8.85546875" style="1" customWidth="1"/>
    <col min="1075" max="1075" width="11" style="1" customWidth="1"/>
    <col min="1076" max="1077" width="9.5703125" style="1" customWidth="1"/>
    <col min="1078" max="1080" width="8.85546875" style="1" customWidth="1"/>
    <col min="1081" max="1081" width="10.42578125" style="1" customWidth="1"/>
    <col min="1082" max="1083" width="8.85546875" style="1" customWidth="1"/>
    <col min="1084" max="1084" width="9.7109375" style="1" customWidth="1"/>
    <col min="1085" max="1086" width="8.85546875" style="1" customWidth="1"/>
    <col min="1087" max="1087" width="9.28515625" style="1" customWidth="1"/>
    <col min="1088" max="1108" width="8.85546875" style="1" customWidth="1"/>
    <col min="1109" max="1109" width="9.85546875" style="1" customWidth="1"/>
    <col min="1110" max="1110" width="8.85546875" style="1" customWidth="1"/>
    <col min="1111" max="1111" width="10" style="1" customWidth="1"/>
    <col min="1112" max="1128" width="8.85546875" style="1" customWidth="1"/>
    <col min="1129" max="1129" width="9.42578125" style="1" customWidth="1"/>
    <col min="1130" max="1130" width="8.85546875" style="1" customWidth="1"/>
    <col min="1131" max="1131" width="12" style="1" customWidth="1"/>
    <col min="1132" max="1132" width="11.140625" style="1" customWidth="1"/>
    <col min="1133" max="1133" width="28.7109375" style="1" customWidth="1"/>
    <col min="1134" max="1134" width="5.85546875" style="1" customWidth="1"/>
    <col min="1135" max="1284" width="9.140625" style="1"/>
    <col min="1285" max="1285" width="3.42578125" style="1" customWidth="1"/>
    <col min="1286" max="1286" width="27.85546875" style="1" customWidth="1"/>
    <col min="1287" max="1287" width="11.85546875" style="1" customWidth="1"/>
    <col min="1288" max="1288" width="15.140625" style="1" customWidth="1"/>
    <col min="1289" max="1289" width="10.28515625" style="1" customWidth="1"/>
    <col min="1290" max="1291" width="9.7109375" style="1" customWidth="1"/>
    <col min="1292" max="1292" width="10.42578125" style="1" customWidth="1"/>
    <col min="1293" max="1293" width="10.42578125" style="1" bestFit="1" customWidth="1"/>
    <col min="1294" max="1294" width="16.28515625" style="1" customWidth="1"/>
    <col min="1295" max="1295" width="15.140625" style="1" customWidth="1"/>
    <col min="1296" max="1296" width="13.5703125" style="1" customWidth="1"/>
    <col min="1297" max="1297" width="10.5703125" style="1" customWidth="1"/>
    <col min="1298" max="1298" width="10.85546875" style="1" customWidth="1"/>
    <col min="1299" max="1299" width="18" style="1" customWidth="1"/>
    <col min="1300" max="1300" width="20.85546875" style="1" customWidth="1"/>
    <col min="1301" max="1301" width="13.5703125" style="1" customWidth="1"/>
    <col min="1302" max="1302" width="14.140625" style="1" customWidth="1"/>
    <col min="1303" max="1305" width="8.85546875" style="1" customWidth="1"/>
    <col min="1306" max="1306" width="9.28515625" style="1" customWidth="1"/>
    <col min="1307" max="1307" width="14" style="1" customWidth="1"/>
    <col min="1308" max="1309" width="8.85546875" style="1" customWidth="1"/>
    <col min="1310" max="1310" width="10.140625" style="1" customWidth="1"/>
    <col min="1311" max="1312" width="9.5703125" style="1" customWidth="1"/>
    <col min="1313" max="1313" width="9.85546875" style="1" customWidth="1"/>
    <col min="1314" max="1315" width="10.140625" style="1" customWidth="1"/>
    <col min="1316" max="1318" width="9.28515625" style="1" customWidth="1"/>
    <col min="1319" max="1319" width="9.85546875" style="1" customWidth="1"/>
    <col min="1320" max="1321" width="8.5703125" style="1" customWidth="1"/>
    <col min="1322" max="1324" width="8.85546875" style="1" customWidth="1"/>
    <col min="1325" max="1325" width="9.28515625" style="1" customWidth="1"/>
    <col min="1326" max="1327" width="8.85546875" style="1" customWidth="1"/>
    <col min="1328" max="1328" width="10" style="1" customWidth="1"/>
    <col min="1329" max="1330" width="8.85546875" style="1" customWidth="1"/>
    <col min="1331" max="1331" width="11" style="1" customWidth="1"/>
    <col min="1332" max="1333" width="9.5703125" style="1" customWidth="1"/>
    <col min="1334" max="1336" width="8.85546875" style="1" customWidth="1"/>
    <col min="1337" max="1337" width="10.42578125" style="1" customWidth="1"/>
    <col min="1338" max="1339" width="8.85546875" style="1" customWidth="1"/>
    <col min="1340" max="1340" width="9.7109375" style="1" customWidth="1"/>
    <col min="1341" max="1342" width="8.85546875" style="1" customWidth="1"/>
    <col min="1343" max="1343" width="9.28515625" style="1" customWidth="1"/>
    <col min="1344" max="1364" width="8.85546875" style="1" customWidth="1"/>
    <col min="1365" max="1365" width="9.85546875" style="1" customWidth="1"/>
    <col min="1366" max="1366" width="8.85546875" style="1" customWidth="1"/>
    <col min="1367" max="1367" width="10" style="1" customWidth="1"/>
    <col min="1368" max="1384" width="8.85546875" style="1" customWidth="1"/>
    <col min="1385" max="1385" width="9.42578125" style="1" customWidth="1"/>
    <col min="1386" max="1386" width="8.85546875" style="1" customWidth="1"/>
    <col min="1387" max="1387" width="12" style="1" customWidth="1"/>
    <col min="1388" max="1388" width="11.140625" style="1" customWidth="1"/>
    <col min="1389" max="1389" width="28.7109375" style="1" customWidth="1"/>
    <col min="1390" max="1390" width="5.85546875" style="1" customWidth="1"/>
    <col min="1391" max="1540" width="9.140625" style="1"/>
    <col min="1541" max="1541" width="3.42578125" style="1" customWidth="1"/>
    <col min="1542" max="1542" width="27.85546875" style="1" customWidth="1"/>
    <col min="1543" max="1543" width="11.85546875" style="1" customWidth="1"/>
    <col min="1544" max="1544" width="15.140625" style="1" customWidth="1"/>
    <col min="1545" max="1545" width="10.28515625" style="1" customWidth="1"/>
    <col min="1546" max="1547" width="9.7109375" style="1" customWidth="1"/>
    <col min="1548" max="1548" width="10.42578125" style="1" customWidth="1"/>
    <col min="1549" max="1549" width="10.42578125" style="1" bestFit="1" customWidth="1"/>
    <col min="1550" max="1550" width="16.28515625" style="1" customWidth="1"/>
    <col min="1551" max="1551" width="15.140625" style="1" customWidth="1"/>
    <col min="1552" max="1552" width="13.5703125" style="1" customWidth="1"/>
    <col min="1553" max="1553" width="10.5703125" style="1" customWidth="1"/>
    <col min="1554" max="1554" width="10.85546875" style="1" customWidth="1"/>
    <col min="1555" max="1555" width="18" style="1" customWidth="1"/>
    <col min="1556" max="1556" width="20.85546875" style="1" customWidth="1"/>
    <col min="1557" max="1557" width="13.5703125" style="1" customWidth="1"/>
    <col min="1558" max="1558" width="14.140625" style="1" customWidth="1"/>
    <col min="1559" max="1561" width="8.85546875" style="1" customWidth="1"/>
    <col min="1562" max="1562" width="9.28515625" style="1" customWidth="1"/>
    <col min="1563" max="1563" width="14" style="1" customWidth="1"/>
    <col min="1564" max="1565" width="8.85546875" style="1" customWidth="1"/>
    <col min="1566" max="1566" width="10.140625" style="1" customWidth="1"/>
    <col min="1567" max="1568" width="9.5703125" style="1" customWidth="1"/>
    <col min="1569" max="1569" width="9.85546875" style="1" customWidth="1"/>
    <col min="1570" max="1571" width="10.140625" style="1" customWidth="1"/>
    <col min="1572" max="1574" width="9.28515625" style="1" customWidth="1"/>
    <col min="1575" max="1575" width="9.85546875" style="1" customWidth="1"/>
    <col min="1576" max="1577" width="8.5703125" style="1" customWidth="1"/>
    <col min="1578" max="1580" width="8.85546875" style="1" customWidth="1"/>
    <col min="1581" max="1581" width="9.28515625" style="1" customWidth="1"/>
    <col min="1582" max="1583" width="8.85546875" style="1" customWidth="1"/>
    <col min="1584" max="1584" width="10" style="1" customWidth="1"/>
    <col min="1585" max="1586" width="8.85546875" style="1" customWidth="1"/>
    <col min="1587" max="1587" width="11" style="1" customWidth="1"/>
    <col min="1588" max="1589" width="9.5703125" style="1" customWidth="1"/>
    <col min="1590" max="1592" width="8.85546875" style="1" customWidth="1"/>
    <col min="1593" max="1593" width="10.42578125" style="1" customWidth="1"/>
    <col min="1594" max="1595" width="8.85546875" style="1" customWidth="1"/>
    <col min="1596" max="1596" width="9.7109375" style="1" customWidth="1"/>
    <col min="1597" max="1598" width="8.85546875" style="1" customWidth="1"/>
    <col min="1599" max="1599" width="9.28515625" style="1" customWidth="1"/>
    <col min="1600" max="1620" width="8.85546875" style="1" customWidth="1"/>
    <col min="1621" max="1621" width="9.85546875" style="1" customWidth="1"/>
    <col min="1622" max="1622" width="8.85546875" style="1" customWidth="1"/>
    <col min="1623" max="1623" width="10" style="1" customWidth="1"/>
    <col min="1624" max="1640" width="8.85546875" style="1" customWidth="1"/>
    <col min="1641" max="1641" width="9.42578125" style="1" customWidth="1"/>
    <col min="1642" max="1642" width="8.85546875" style="1" customWidth="1"/>
    <col min="1643" max="1643" width="12" style="1" customWidth="1"/>
    <col min="1644" max="1644" width="11.140625" style="1" customWidth="1"/>
    <col min="1645" max="1645" width="28.7109375" style="1" customWidth="1"/>
    <col min="1646" max="1646" width="5.85546875" style="1" customWidth="1"/>
    <col min="1647" max="1796" width="9.140625" style="1"/>
    <col min="1797" max="1797" width="3.42578125" style="1" customWidth="1"/>
    <col min="1798" max="1798" width="27.85546875" style="1" customWidth="1"/>
    <col min="1799" max="1799" width="11.85546875" style="1" customWidth="1"/>
    <col min="1800" max="1800" width="15.140625" style="1" customWidth="1"/>
    <col min="1801" max="1801" width="10.28515625" style="1" customWidth="1"/>
    <col min="1802" max="1803" width="9.7109375" style="1" customWidth="1"/>
    <col min="1804" max="1804" width="10.42578125" style="1" customWidth="1"/>
    <col min="1805" max="1805" width="10.42578125" style="1" bestFit="1" customWidth="1"/>
    <col min="1806" max="1806" width="16.28515625" style="1" customWidth="1"/>
    <col min="1807" max="1807" width="15.140625" style="1" customWidth="1"/>
    <col min="1808" max="1808" width="13.5703125" style="1" customWidth="1"/>
    <col min="1809" max="1809" width="10.5703125" style="1" customWidth="1"/>
    <col min="1810" max="1810" width="10.85546875" style="1" customWidth="1"/>
    <col min="1811" max="1811" width="18" style="1" customWidth="1"/>
    <col min="1812" max="1812" width="20.85546875" style="1" customWidth="1"/>
    <col min="1813" max="1813" width="13.5703125" style="1" customWidth="1"/>
    <col min="1814" max="1814" width="14.140625" style="1" customWidth="1"/>
    <col min="1815" max="1817" width="8.85546875" style="1" customWidth="1"/>
    <col min="1818" max="1818" width="9.28515625" style="1" customWidth="1"/>
    <col min="1819" max="1819" width="14" style="1" customWidth="1"/>
    <col min="1820" max="1821" width="8.85546875" style="1" customWidth="1"/>
    <col min="1822" max="1822" width="10.140625" style="1" customWidth="1"/>
    <col min="1823" max="1824" width="9.5703125" style="1" customWidth="1"/>
    <col min="1825" max="1825" width="9.85546875" style="1" customWidth="1"/>
    <col min="1826" max="1827" width="10.140625" style="1" customWidth="1"/>
    <col min="1828" max="1830" width="9.28515625" style="1" customWidth="1"/>
    <col min="1831" max="1831" width="9.85546875" style="1" customWidth="1"/>
    <col min="1832" max="1833" width="8.5703125" style="1" customWidth="1"/>
    <col min="1834" max="1836" width="8.85546875" style="1" customWidth="1"/>
    <col min="1837" max="1837" width="9.28515625" style="1" customWidth="1"/>
    <col min="1838" max="1839" width="8.85546875" style="1" customWidth="1"/>
    <col min="1840" max="1840" width="10" style="1" customWidth="1"/>
    <col min="1841" max="1842" width="8.85546875" style="1" customWidth="1"/>
    <col min="1843" max="1843" width="11" style="1" customWidth="1"/>
    <col min="1844" max="1845" width="9.5703125" style="1" customWidth="1"/>
    <col min="1846" max="1848" width="8.85546875" style="1" customWidth="1"/>
    <col min="1849" max="1849" width="10.42578125" style="1" customWidth="1"/>
    <col min="1850" max="1851" width="8.85546875" style="1" customWidth="1"/>
    <col min="1852" max="1852" width="9.7109375" style="1" customWidth="1"/>
    <col min="1853" max="1854" width="8.85546875" style="1" customWidth="1"/>
    <col min="1855" max="1855" width="9.28515625" style="1" customWidth="1"/>
    <col min="1856" max="1876" width="8.85546875" style="1" customWidth="1"/>
    <col min="1877" max="1877" width="9.85546875" style="1" customWidth="1"/>
    <col min="1878" max="1878" width="8.85546875" style="1" customWidth="1"/>
    <col min="1879" max="1879" width="10" style="1" customWidth="1"/>
    <col min="1880" max="1896" width="8.85546875" style="1" customWidth="1"/>
    <col min="1897" max="1897" width="9.42578125" style="1" customWidth="1"/>
    <col min="1898" max="1898" width="8.85546875" style="1" customWidth="1"/>
    <col min="1899" max="1899" width="12" style="1" customWidth="1"/>
    <col min="1900" max="1900" width="11.140625" style="1" customWidth="1"/>
    <col min="1901" max="1901" width="28.7109375" style="1" customWidth="1"/>
    <col min="1902" max="1902" width="5.85546875" style="1" customWidth="1"/>
    <col min="1903" max="2052" width="9.140625" style="1"/>
    <col min="2053" max="2053" width="3.42578125" style="1" customWidth="1"/>
    <col min="2054" max="2054" width="27.85546875" style="1" customWidth="1"/>
    <col min="2055" max="2055" width="11.85546875" style="1" customWidth="1"/>
    <col min="2056" max="2056" width="15.140625" style="1" customWidth="1"/>
    <col min="2057" max="2057" width="10.28515625" style="1" customWidth="1"/>
    <col min="2058" max="2059" width="9.7109375" style="1" customWidth="1"/>
    <col min="2060" max="2060" width="10.42578125" style="1" customWidth="1"/>
    <col min="2061" max="2061" width="10.42578125" style="1" bestFit="1" customWidth="1"/>
    <col min="2062" max="2062" width="16.28515625" style="1" customWidth="1"/>
    <col min="2063" max="2063" width="15.140625" style="1" customWidth="1"/>
    <col min="2064" max="2064" width="13.5703125" style="1" customWidth="1"/>
    <col min="2065" max="2065" width="10.5703125" style="1" customWidth="1"/>
    <col min="2066" max="2066" width="10.85546875" style="1" customWidth="1"/>
    <col min="2067" max="2067" width="18" style="1" customWidth="1"/>
    <col min="2068" max="2068" width="20.85546875" style="1" customWidth="1"/>
    <col min="2069" max="2069" width="13.5703125" style="1" customWidth="1"/>
    <col min="2070" max="2070" width="14.140625" style="1" customWidth="1"/>
    <col min="2071" max="2073" width="8.85546875" style="1" customWidth="1"/>
    <col min="2074" max="2074" width="9.28515625" style="1" customWidth="1"/>
    <col min="2075" max="2075" width="14" style="1" customWidth="1"/>
    <col min="2076" max="2077" width="8.85546875" style="1" customWidth="1"/>
    <col min="2078" max="2078" width="10.140625" style="1" customWidth="1"/>
    <col min="2079" max="2080" width="9.5703125" style="1" customWidth="1"/>
    <col min="2081" max="2081" width="9.85546875" style="1" customWidth="1"/>
    <col min="2082" max="2083" width="10.140625" style="1" customWidth="1"/>
    <col min="2084" max="2086" width="9.28515625" style="1" customWidth="1"/>
    <col min="2087" max="2087" width="9.85546875" style="1" customWidth="1"/>
    <col min="2088" max="2089" width="8.5703125" style="1" customWidth="1"/>
    <col min="2090" max="2092" width="8.85546875" style="1" customWidth="1"/>
    <col min="2093" max="2093" width="9.28515625" style="1" customWidth="1"/>
    <col min="2094" max="2095" width="8.85546875" style="1" customWidth="1"/>
    <col min="2096" max="2096" width="10" style="1" customWidth="1"/>
    <col min="2097" max="2098" width="8.85546875" style="1" customWidth="1"/>
    <col min="2099" max="2099" width="11" style="1" customWidth="1"/>
    <col min="2100" max="2101" width="9.5703125" style="1" customWidth="1"/>
    <col min="2102" max="2104" width="8.85546875" style="1" customWidth="1"/>
    <col min="2105" max="2105" width="10.42578125" style="1" customWidth="1"/>
    <col min="2106" max="2107" width="8.85546875" style="1" customWidth="1"/>
    <col min="2108" max="2108" width="9.7109375" style="1" customWidth="1"/>
    <col min="2109" max="2110" width="8.85546875" style="1" customWidth="1"/>
    <col min="2111" max="2111" width="9.28515625" style="1" customWidth="1"/>
    <col min="2112" max="2132" width="8.85546875" style="1" customWidth="1"/>
    <col min="2133" max="2133" width="9.85546875" style="1" customWidth="1"/>
    <col min="2134" max="2134" width="8.85546875" style="1" customWidth="1"/>
    <col min="2135" max="2135" width="10" style="1" customWidth="1"/>
    <col min="2136" max="2152" width="8.85546875" style="1" customWidth="1"/>
    <col min="2153" max="2153" width="9.42578125" style="1" customWidth="1"/>
    <col min="2154" max="2154" width="8.85546875" style="1" customWidth="1"/>
    <col min="2155" max="2155" width="12" style="1" customWidth="1"/>
    <col min="2156" max="2156" width="11.140625" style="1" customWidth="1"/>
    <col min="2157" max="2157" width="28.7109375" style="1" customWidth="1"/>
    <col min="2158" max="2158" width="5.85546875" style="1" customWidth="1"/>
    <col min="2159" max="2308" width="9.140625" style="1"/>
    <col min="2309" max="2309" width="3.42578125" style="1" customWidth="1"/>
    <col min="2310" max="2310" width="27.85546875" style="1" customWidth="1"/>
    <col min="2311" max="2311" width="11.85546875" style="1" customWidth="1"/>
    <col min="2312" max="2312" width="15.140625" style="1" customWidth="1"/>
    <col min="2313" max="2313" width="10.28515625" style="1" customWidth="1"/>
    <col min="2314" max="2315" width="9.7109375" style="1" customWidth="1"/>
    <col min="2316" max="2316" width="10.42578125" style="1" customWidth="1"/>
    <col min="2317" max="2317" width="10.42578125" style="1" bestFit="1" customWidth="1"/>
    <col min="2318" max="2318" width="16.28515625" style="1" customWidth="1"/>
    <col min="2319" max="2319" width="15.140625" style="1" customWidth="1"/>
    <col min="2320" max="2320" width="13.5703125" style="1" customWidth="1"/>
    <col min="2321" max="2321" width="10.5703125" style="1" customWidth="1"/>
    <col min="2322" max="2322" width="10.85546875" style="1" customWidth="1"/>
    <col min="2323" max="2323" width="18" style="1" customWidth="1"/>
    <col min="2324" max="2324" width="20.85546875" style="1" customWidth="1"/>
    <col min="2325" max="2325" width="13.5703125" style="1" customWidth="1"/>
    <col min="2326" max="2326" width="14.140625" style="1" customWidth="1"/>
    <col min="2327" max="2329" width="8.85546875" style="1" customWidth="1"/>
    <col min="2330" max="2330" width="9.28515625" style="1" customWidth="1"/>
    <col min="2331" max="2331" width="14" style="1" customWidth="1"/>
    <col min="2332" max="2333" width="8.85546875" style="1" customWidth="1"/>
    <col min="2334" max="2334" width="10.140625" style="1" customWidth="1"/>
    <col min="2335" max="2336" width="9.5703125" style="1" customWidth="1"/>
    <col min="2337" max="2337" width="9.85546875" style="1" customWidth="1"/>
    <col min="2338" max="2339" width="10.140625" style="1" customWidth="1"/>
    <col min="2340" max="2342" width="9.28515625" style="1" customWidth="1"/>
    <col min="2343" max="2343" width="9.85546875" style="1" customWidth="1"/>
    <col min="2344" max="2345" width="8.5703125" style="1" customWidth="1"/>
    <col min="2346" max="2348" width="8.85546875" style="1" customWidth="1"/>
    <col min="2349" max="2349" width="9.28515625" style="1" customWidth="1"/>
    <col min="2350" max="2351" width="8.85546875" style="1" customWidth="1"/>
    <col min="2352" max="2352" width="10" style="1" customWidth="1"/>
    <col min="2353" max="2354" width="8.85546875" style="1" customWidth="1"/>
    <col min="2355" max="2355" width="11" style="1" customWidth="1"/>
    <col min="2356" max="2357" width="9.5703125" style="1" customWidth="1"/>
    <col min="2358" max="2360" width="8.85546875" style="1" customWidth="1"/>
    <col min="2361" max="2361" width="10.42578125" style="1" customWidth="1"/>
    <col min="2362" max="2363" width="8.85546875" style="1" customWidth="1"/>
    <col min="2364" max="2364" width="9.7109375" style="1" customWidth="1"/>
    <col min="2365" max="2366" width="8.85546875" style="1" customWidth="1"/>
    <col min="2367" max="2367" width="9.28515625" style="1" customWidth="1"/>
    <col min="2368" max="2388" width="8.85546875" style="1" customWidth="1"/>
    <col min="2389" max="2389" width="9.85546875" style="1" customWidth="1"/>
    <col min="2390" max="2390" width="8.85546875" style="1" customWidth="1"/>
    <col min="2391" max="2391" width="10" style="1" customWidth="1"/>
    <col min="2392" max="2408" width="8.85546875" style="1" customWidth="1"/>
    <col min="2409" max="2409" width="9.42578125" style="1" customWidth="1"/>
    <col min="2410" max="2410" width="8.85546875" style="1" customWidth="1"/>
    <col min="2411" max="2411" width="12" style="1" customWidth="1"/>
    <col min="2412" max="2412" width="11.140625" style="1" customWidth="1"/>
    <col min="2413" max="2413" width="28.7109375" style="1" customWidth="1"/>
    <col min="2414" max="2414" width="5.85546875" style="1" customWidth="1"/>
    <col min="2415" max="2564" width="9.140625" style="1"/>
    <col min="2565" max="2565" width="3.42578125" style="1" customWidth="1"/>
    <col min="2566" max="2566" width="27.85546875" style="1" customWidth="1"/>
    <col min="2567" max="2567" width="11.85546875" style="1" customWidth="1"/>
    <col min="2568" max="2568" width="15.140625" style="1" customWidth="1"/>
    <col min="2569" max="2569" width="10.28515625" style="1" customWidth="1"/>
    <col min="2570" max="2571" width="9.7109375" style="1" customWidth="1"/>
    <col min="2572" max="2572" width="10.42578125" style="1" customWidth="1"/>
    <col min="2573" max="2573" width="10.42578125" style="1" bestFit="1" customWidth="1"/>
    <col min="2574" max="2574" width="16.28515625" style="1" customWidth="1"/>
    <col min="2575" max="2575" width="15.140625" style="1" customWidth="1"/>
    <col min="2576" max="2576" width="13.5703125" style="1" customWidth="1"/>
    <col min="2577" max="2577" width="10.5703125" style="1" customWidth="1"/>
    <col min="2578" max="2578" width="10.85546875" style="1" customWidth="1"/>
    <col min="2579" max="2579" width="18" style="1" customWidth="1"/>
    <col min="2580" max="2580" width="20.85546875" style="1" customWidth="1"/>
    <col min="2581" max="2581" width="13.5703125" style="1" customWidth="1"/>
    <col min="2582" max="2582" width="14.140625" style="1" customWidth="1"/>
    <col min="2583" max="2585" width="8.85546875" style="1" customWidth="1"/>
    <col min="2586" max="2586" width="9.28515625" style="1" customWidth="1"/>
    <col min="2587" max="2587" width="14" style="1" customWidth="1"/>
    <col min="2588" max="2589" width="8.85546875" style="1" customWidth="1"/>
    <col min="2590" max="2590" width="10.140625" style="1" customWidth="1"/>
    <col min="2591" max="2592" width="9.5703125" style="1" customWidth="1"/>
    <col min="2593" max="2593" width="9.85546875" style="1" customWidth="1"/>
    <col min="2594" max="2595" width="10.140625" style="1" customWidth="1"/>
    <col min="2596" max="2598" width="9.28515625" style="1" customWidth="1"/>
    <col min="2599" max="2599" width="9.85546875" style="1" customWidth="1"/>
    <col min="2600" max="2601" width="8.5703125" style="1" customWidth="1"/>
    <col min="2602" max="2604" width="8.85546875" style="1" customWidth="1"/>
    <col min="2605" max="2605" width="9.28515625" style="1" customWidth="1"/>
    <col min="2606" max="2607" width="8.85546875" style="1" customWidth="1"/>
    <col min="2608" max="2608" width="10" style="1" customWidth="1"/>
    <col min="2609" max="2610" width="8.85546875" style="1" customWidth="1"/>
    <col min="2611" max="2611" width="11" style="1" customWidth="1"/>
    <col min="2612" max="2613" width="9.5703125" style="1" customWidth="1"/>
    <col min="2614" max="2616" width="8.85546875" style="1" customWidth="1"/>
    <col min="2617" max="2617" width="10.42578125" style="1" customWidth="1"/>
    <col min="2618" max="2619" width="8.85546875" style="1" customWidth="1"/>
    <col min="2620" max="2620" width="9.7109375" style="1" customWidth="1"/>
    <col min="2621" max="2622" width="8.85546875" style="1" customWidth="1"/>
    <col min="2623" max="2623" width="9.28515625" style="1" customWidth="1"/>
    <col min="2624" max="2644" width="8.85546875" style="1" customWidth="1"/>
    <col min="2645" max="2645" width="9.85546875" style="1" customWidth="1"/>
    <col min="2646" max="2646" width="8.85546875" style="1" customWidth="1"/>
    <col min="2647" max="2647" width="10" style="1" customWidth="1"/>
    <col min="2648" max="2664" width="8.85546875" style="1" customWidth="1"/>
    <col min="2665" max="2665" width="9.42578125" style="1" customWidth="1"/>
    <col min="2666" max="2666" width="8.85546875" style="1" customWidth="1"/>
    <col min="2667" max="2667" width="12" style="1" customWidth="1"/>
    <col min="2668" max="2668" width="11.140625" style="1" customWidth="1"/>
    <col min="2669" max="2669" width="28.7109375" style="1" customWidth="1"/>
    <col min="2670" max="2670" width="5.85546875" style="1" customWidth="1"/>
    <col min="2671" max="2820" width="9.140625" style="1"/>
    <col min="2821" max="2821" width="3.42578125" style="1" customWidth="1"/>
    <col min="2822" max="2822" width="27.85546875" style="1" customWidth="1"/>
    <col min="2823" max="2823" width="11.85546875" style="1" customWidth="1"/>
    <col min="2824" max="2824" width="15.140625" style="1" customWidth="1"/>
    <col min="2825" max="2825" width="10.28515625" style="1" customWidth="1"/>
    <col min="2826" max="2827" width="9.7109375" style="1" customWidth="1"/>
    <col min="2828" max="2828" width="10.42578125" style="1" customWidth="1"/>
    <col min="2829" max="2829" width="10.42578125" style="1" bestFit="1" customWidth="1"/>
    <col min="2830" max="2830" width="16.28515625" style="1" customWidth="1"/>
    <col min="2831" max="2831" width="15.140625" style="1" customWidth="1"/>
    <col min="2832" max="2832" width="13.5703125" style="1" customWidth="1"/>
    <col min="2833" max="2833" width="10.5703125" style="1" customWidth="1"/>
    <col min="2834" max="2834" width="10.85546875" style="1" customWidth="1"/>
    <col min="2835" max="2835" width="18" style="1" customWidth="1"/>
    <col min="2836" max="2836" width="20.85546875" style="1" customWidth="1"/>
    <col min="2837" max="2837" width="13.5703125" style="1" customWidth="1"/>
    <col min="2838" max="2838" width="14.140625" style="1" customWidth="1"/>
    <col min="2839" max="2841" width="8.85546875" style="1" customWidth="1"/>
    <col min="2842" max="2842" width="9.28515625" style="1" customWidth="1"/>
    <col min="2843" max="2843" width="14" style="1" customWidth="1"/>
    <col min="2844" max="2845" width="8.85546875" style="1" customWidth="1"/>
    <col min="2846" max="2846" width="10.140625" style="1" customWidth="1"/>
    <col min="2847" max="2848" width="9.5703125" style="1" customWidth="1"/>
    <col min="2849" max="2849" width="9.85546875" style="1" customWidth="1"/>
    <col min="2850" max="2851" width="10.140625" style="1" customWidth="1"/>
    <col min="2852" max="2854" width="9.28515625" style="1" customWidth="1"/>
    <col min="2855" max="2855" width="9.85546875" style="1" customWidth="1"/>
    <col min="2856" max="2857" width="8.5703125" style="1" customWidth="1"/>
    <col min="2858" max="2860" width="8.85546875" style="1" customWidth="1"/>
    <col min="2861" max="2861" width="9.28515625" style="1" customWidth="1"/>
    <col min="2862" max="2863" width="8.85546875" style="1" customWidth="1"/>
    <col min="2864" max="2864" width="10" style="1" customWidth="1"/>
    <col min="2865" max="2866" width="8.85546875" style="1" customWidth="1"/>
    <col min="2867" max="2867" width="11" style="1" customWidth="1"/>
    <col min="2868" max="2869" width="9.5703125" style="1" customWidth="1"/>
    <col min="2870" max="2872" width="8.85546875" style="1" customWidth="1"/>
    <col min="2873" max="2873" width="10.42578125" style="1" customWidth="1"/>
    <col min="2874" max="2875" width="8.85546875" style="1" customWidth="1"/>
    <col min="2876" max="2876" width="9.7109375" style="1" customWidth="1"/>
    <col min="2877" max="2878" width="8.85546875" style="1" customWidth="1"/>
    <col min="2879" max="2879" width="9.28515625" style="1" customWidth="1"/>
    <col min="2880" max="2900" width="8.85546875" style="1" customWidth="1"/>
    <col min="2901" max="2901" width="9.85546875" style="1" customWidth="1"/>
    <col min="2902" max="2902" width="8.85546875" style="1" customWidth="1"/>
    <col min="2903" max="2903" width="10" style="1" customWidth="1"/>
    <col min="2904" max="2920" width="8.85546875" style="1" customWidth="1"/>
    <col min="2921" max="2921" width="9.42578125" style="1" customWidth="1"/>
    <col min="2922" max="2922" width="8.85546875" style="1" customWidth="1"/>
    <col min="2923" max="2923" width="12" style="1" customWidth="1"/>
    <col min="2924" max="2924" width="11.140625" style="1" customWidth="1"/>
    <col min="2925" max="2925" width="28.7109375" style="1" customWidth="1"/>
    <col min="2926" max="2926" width="5.85546875" style="1" customWidth="1"/>
    <col min="2927" max="3076" width="9.140625" style="1"/>
    <col min="3077" max="3077" width="3.42578125" style="1" customWidth="1"/>
    <col min="3078" max="3078" width="27.85546875" style="1" customWidth="1"/>
    <col min="3079" max="3079" width="11.85546875" style="1" customWidth="1"/>
    <col min="3080" max="3080" width="15.140625" style="1" customWidth="1"/>
    <col min="3081" max="3081" width="10.28515625" style="1" customWidth="1"/>
    <col min="3082" max="3083" width="9.7109375" style="1" customWidth="1"/>
    <col min="3084" max="3084" width="10.42578125" style="1" customWidth="1"/>
    <col min="3085" max="3085" width="10.42578125" style="1" bestFit="1" customWidth="1"/>
    <col min="3086" max="3086" width="16.28515625" style="1" customWidth="1"/>
    <col min="3087" max="3087" width="15.140625" style="1" customWidth="1"/>
    <col min="3088" max="3088" width="13.5703125" style="1" customWidth="1"/>
    <col min="3089" max="3089" width="10.5703125" style="1" customWidth="1"/>
    <col min="3090" max="3090" width="10.85546875" style="1" customWidth="1"/>
    <col min="3091" max="3091" width="18" style="1" customWidth="1"/>
    <col min="3092" max="3092" width="20.85546875" style="1" customWidth="1"/>
    <col min="3093" max="3093" width="13.5703125" style="1" customWidth="1"/>
    <col min="3094" max="3094" width="14.140625" style="1" customWidth="1"/>
    <col min="3095" max="3097" width="8.85546875" style="1" customWidth="1"/>
    <col min="3098" max="3098" width="9.28515625" style="1" customWidth="1"/>
    <col min="3099" max="3099" width="14" style="1" customWidth="1"/>
    <col min="3100" max="3101" width="8.85546875" style="1" customWidth="1"/>
    <col min="3102" max="3102" width="10.140625" style="1" customWidth="1"/>
    <col min="3103" max="3104" width="9.5703125" style="1" customWidth="1"/>
    <col min="3105" max="3105" width="9.85546875" style="1" customWidth="1"/>
    <col min="3106" max="3107" width="10.140625" style="1" customWidth="1"/>
    <col min="3108" max="3110" width="9.28515625" style="1" customWidth="1"/>
    <col min="3111" max="3111" width="9.85546875" style="1" customWidth="1"/>
    <col min="3112" max="3113" width="8.5703125" style="1" customWidth="1"/>
    <col min="3114" max="3116" width="8.85546875" style="1" customWidth="1"/>
    <col min="3117" max="3117" width="9.28515625" style="1" customWidth="1"/>
    <col min="3118" max="3119" width="8.85546875" style="1" customWidth="1"/>
    <col min="3120" max="3120" width="10" style="1" customWidth="1"/>
    <col min="3121" max="3122" width="8.85546875" style="1" customWidth="1"/>
    <col min="3123" max="3123" width="11" style="1" customWidth="1"/>
    <col min="3124" max="3125" width="9.5703125" style="1" customWidth="1"/>
    <col min="3126" max="3128" width="8.85546875" style="1" customWidth="1"/>
    <col min="3129" max="3129" width="10.42578125" style="1" customWidth="1"/>
    <col min="3130" max="3131" width="8.85546875" style="1" customWidth="1"/>
    <col min="3132" max="3132" width="9.7109375" style="1" customWidth="1"/>
    <col min="3133" max="3134" width="8.85546875" style="1" customWidth="1"/>
    <col min="3135" max="3135" width="9.28515625" style="1" customWidth="1"/>
    <col min="3136" max="3156" width="8.85546875" style="1" customWidth="1"/>
    <col min="3157" max="3157" width="9.85546875" style="1" customWidth="1"/>
    <col min="3158" max="3158" width="8.85546875" style="1" customWidth="1"/>
    <col min="3159" max="3159" width="10" style="1" customWidth="1"/>
    <col min="3160" max="3176" width="8.85546875" style="1" customWidth="1"/>
    <col min="3177" max="3177" width="9.42578125" style="1" customWidth="1"/>
    <col min="3178" max="3178" width="8.85546875" style="1" customWidth="1"/>
    <col min="3179" max="3179" width="12" style="1" customWidth="1"/>
    <col min="3180" max="3180" width="11.140625" style="1" customWidth="1"/>
    <col min="3181" max="3181" width="28.7109375" style="1" customWidth="1"/>
    <col min="3182" max="3182" width="5.85546875" style="1" customWidth="1"/>
    <col min="3183" max="3332" width="9.140625" style="1"/>
    <col min="3333" max="3333" width="3.42578125" style="1" customWidth="1"/>
    <col min="3334" max="3334" width="27.85546875" style="1" customWidth="1"/>
    <col min="3335" max="3335" width="11.85546875" style="1" customWidth="1"/>
    <col min="3336" max="3336" width="15.140625" style="1" customWidth="1"/>
    <col min="3337" max="3337" width="10.28515625" style="1" customWidth="1"/>
    <col min="3338" max="3339" width="9.7109375" style="1" customWidth="1"/>
    <col min="3340" max="3340" width="10.42578125" style="1" customWidth="1"/>
    <col min="3341" max="3341" width="10.42578125" style="1" bestFit="1" customWidth="1"/>
    <col min="3342" max="3342" width="16.28515625" style="1" customWidth="1"/>
    <col min="3343" max="3343" width="15.140625" style="1" customWidth="1"/>
    <col min="3344" max="3344" width="13.5703125" style="1" customWidth="1"/>
    <col min="3345" max="3345" width="10.5703125" style="1" customWidth="1"/>
    <col min="3346" max="3346" width="10.85546875" style="1" customWidth="1"/>
    <col min="3347" max="3347" width="18" style="1" customWidth="1"/>
    <col min="3348" max="3348" width="20.85546875" style="1" customWidth="1"/>
    <col min="3349" max="3349" width="13.5703125" style="1" customWidth="1"/>
    <col min="3350" max="3350" width="14.140625" style="1" customWidth="1"/>
    <col min="3351" max="3353" width="8.85546875" style="1" customWidth="1"/>
    <col min="3354" max="3354" width="9.28515625" style="1" customWidth="1"/>
    <col min="3355" max="3355" width="14" style="1" customWidth="1"/>
    <col min="3356" max="3357" width="8.85546875" style="1" customWidth="1"/>
    <col min="3358" max="3358" width="10.140625" style="1" customWidth="1"/>
    <col min="3359" max="3360" width="9.5703125" style="1" customWidth="1"/>
    <col min="3361" max="3361" width="9.85546875" style="1" customWidth="1"/>
    <col min="3362" max="3363" width="10.140625" style="1" customWidth="1"/>
    <col min="3364" max="3366" width="9.28515625" style="1" customWidth="1"/>
    <col min="3367" max="3367" width="9.85546875" style="1" customWidth="1"/>
    <col min="3368" max="3369" width="8.5703125" style="1" customWidth="1"/>
    <col min="3370" max="3372" width="8.85546875" style="1" customWidth="1"/>
    <col min="3373" max="3373" width="9.28515625" style="1" customWidth="1"/>
    <col min="3374" max="3375" width="8.85546875" style="1" customWidth="1"/>
    <col min="3376" max="3376" width="10" style="1" customWidth="1"/>
    <col min="3377" max="3378" width="8.85546875" style="1" customWidth="1"/>
    <col min="3379" max="3379" width="11" style="1" customWidth="1"/>
    <col min="3380" max="3381" width="9.5703125" style="1" customWidth="1"/>
    <col min="3382" max="3384" width="8.85546875" style="1" customWidth="1"/>
    <col min="3385" max="3385" width="10.42578125" style="1" customWidth="1"/>
    <col min="3386" max="3387" width="8.85546875" style="1" customWidth="1"/>
    <col min="3388" max="3388" width="9.7109375" style="1" customWidth="1"/>
    <col min="3389" max="3390" width="8.85546875" style="1" customWidth="1"/>
    <col min="3391" max="3391" width="9.28515625" style="1" customWidth="1"/>
    <col min="3392" max="3412" width="8.85546875" style="1" customWidth="1"/>
    <col min="3413" max="3413" width="9.85546875" style="1" customWidth="1"/>
    <col min="3414" max="3414" width="8.85546875" style="1" customWidth="1"/>
    <col min="3415" max="3415" width="10" style="1" customWidth="1"/>
    <col min="3416" max="3432" width="8.85546875" style="1" customWidth="1"/>
    <col min="3433" max="3433" width="9.42578125" style="1" customWidth="1"/>
    <col min="3434" max="3434" width="8.85546875" style="1" customWidth="1"/>
    <col min="3435" max="3435" width="12" style="1" customWidth="1"/>
    <col min="3436" max="3436" width="11.140625" style="1" customWidth="1"/>
    <col min="3437" max="3437" width="28.7109375" style="1" customWidth="1"/>
    <col min="3438" max="3438" width="5.85546875" style="1" customWidth="1"/>
    <col min="3439" max="3588" width="9.140625" style="1"/>
    <col min="3589" max="3589" width="3.42578125" style="1" customWidth="1"/>
    <col min="3590" max="3590" width="27.85546875" style="1" customWidth="1"/>
    <col min="3591" max="3591" width="11.85546875" style="1" customWidth="1"/>
    <col min="3592" max="3592" width="15.140625" style="1" customWidth="1"/>
    <col min="3593" max="3593" width="10.28515625" style="1" customWidth="1"/>
    <col min="3594" max="3595" width="9.7109375" style="1" customWidth="1"/>
    <col min="3596" max="3596" width="10.42578125" style="1" customWidth="1"/>
    <col min="3597" max="3597" width="10.42578125" style="1" bestFit="1" customWidth="1"/>
    <col min="3598" max="3598" width="16.28515625" style="1" customWidth="1"/>
    <col min="3599" max="3599" width="15.140625" style="1" customWidth="1"/>
    <col min="3600" max="3600" width="13.5703125" style="1" customWidth="1"/>
    <col min="3601" max="3601" width="10.5703125" style="1" customWidth="1"/>
    <col min="3602" max="3602" width="10.85546875" style="1" customWidth="1"/>
    <col min="3603" max="3603" width="18" style="1" customWidth="1"/>
    <col min="3604" max="3604" width="20.85546875" style="1" customWidth="1"/>
    <col min="3605" max="3605" width="13.5703125" style="1" customWidth="1"/>
    <col min="3606" max="3606" width="14.140625" style="1" customWidth="1"/>
    <col min="3607" max="3609" width="8.85546875" style="1" customWidth="1"/>
    <col min="3610" max="3610" width="9.28515625" style="1" customWidth="1"/>
    <col min="3611" max="3611" width="14" style="1" customWidth="1"/>
    <col min="3612" max="3613" width="8.85546875" style="1" customWidth="1"/>
    <col min="3614" max="3614" width="10.140625" style="1" customWidth="1"/>
    <col min="3615" max="3616" width="9.5703125" style="1" customWidth="1"/>
    <col min="3617" max="3617" width="9.85546875" style="1" customWidth="1"/>
    <col min="3618" max="3619" width="10.140625" style="1" customWidth="1"/>
    <col min="3620" max="3622" width="9.28515625" style="1" customWidth="1"/>
    <col min="3623" max="3623" width="9.85546875" style="1" customWidth="1"/>
    <col min="3624" max="3625" width="8.5703125" style="1" customWidth="1"/>
    <col min="3626" max="3628" width="8.85546875" style="1" customWidth="1"/>
    <col min="3629" max="3629" width="9.28515625" style="1" customWidth="1"/>
    <col min="3630" max="3631" width="8.85546875" style="1" customWidth="1"/>
    <col min="3632" max="3632" width="10" style="1" customWidth="1"/>
    <col min="3633" max="3634" width="8.85546875" style="1" customWidth="1"/>
    <col min="3635" max="3635" width="11" style="1" customWidth="1"/>
    <col min="3636" max="3637" width="9.5703125" style="1" customWidth="1"/>
    <col min="3638" max="3640" width="8.85546875" style="1" customWidth="1"/>
    <col min="3641" max="3641" width="10.42578125" style="1" customWidth="1"/>
    <col min="3642" max="3643" width="8.85546875" style="1" customWidth="1"/>
    <col min="3644" max="3644" width="9.7109375" style="1" customWidth="1"/>
    <col min="3645" max="3646" width="8.85546875" style="1" customWidth="1"/>
    <col min="3647" max="3647" width="9.28515625" style="1" customWidth="1"/>
    <col min="3648" max="3668" width="8.85546875" style="1" customWidth="1"/>
    <col min="3669" max="3669" width="9.85546875" style="1" customWidth="1"/>
    <col min="3670" max="3670" width="8.85546875" style="1" customWidth="1"/>
    <col min="3671" max="3671" width="10" style="1" customWidth="1"/>
    <col min="3672" max="3688" width="8.85546875" style="1" customWidth="1"/>
    <col min="3689" max="3689" width="9.42578125" style="1" customWidth="1"/>
    <col min="3690" max="3690" width="8.85546875" style="1" customWidth="1"/>
    <col min="3691" max="3691" width="12" style="1" customWidth="1"/>
    <col min="3692" max="3692" width="11.140625" style="1" customWidth="1"/>
    <col min="3693" max="3693" width="28.7109375" style="1" customWidth="1"/>
    <col min="3694" max="3694" width="5.85546875" style="1" customWidth="1"/>
    <col min="3695" max="3844" width="9.140625" style="1"/>
    <col min="3845" max="3845" width="3.42578125" style="1" customWidth="1"/>
    <col min="3846" max="3846" width="27.85546875" style="1" customWidth="1"/>
    <col min="3847" max="3847" width="11.85546875" style="1" customWidth="1"/>
    <col min="3848" max="3848" width="15.140625" style="1" customWidth="1"/>
    <col min="3849" max="3849" width="10.28515625" style="1" customWidth="1"/>
    <col min="3850" max="3851" width="9.7109375" style="1" customWidth="1"/>
    <col min="3852" max="3852" width="10.42578125" style="1" customWidth="1"/>
    <col min="3853" max="3853" width="10.42578125" style="1" bestFit="1" customWidth="1"/>
    <col min="3854" max="3854" width="16.28515625" style="1" customWidth="1"/>
    <col min="3855" max="3855" width="15.140625" style="1" customWidth="1"/>
    <col min="3856" max="3856" width="13.5703125" style="1" customWidth="1"/>
    <col min="3857" max="3857" width="10.5703125" style="1" customWidth="1"/>
    <col min="3858" max="3858" width="10.85546875" style="1" customWidth="1"/>
    <col min="3859" max="3859" width="18" style="1" customWidth="1"/>
    <col min="3860" max="3860" width="20.85546875" style="1" customWidth="1"/>
    <col min="3861" max="3861" width="13.5703125" style="1" customWidth="1"/>
    <col min="3862" max="3862" width="14.140625" style="1" customWidth="1"/>
    <col min="3863" max="3865" width="8.85546875" style="1" customWidth="1"/>
    <col min="3866" max="3866" width="9.28515625" style="1" customWidth="1"/>
    <col min="3867" max="3867" width="14" style="1" customWidth="1"/>
    <col min="3868" max="3869" width="8.85546875" style="1" customWidth="1"/>
    <col min="3870" max="3870" width="10.140625" style="1" customWidth="1"/>
    <col min="3871" max="3872" width="9.5703125" style="1" customWidth="1"/>
    <col min="3873" max="3873" width="9.85546875" style="1" customWidth="1"/>
    <col min="3874" max="3875" width="10.140625" style="1" customWidth="1"/>
    <col min="3876" max="3878" width="9.28515625" style="1" customWidth="1"/>
    <col min="3879" max="3879" width="9.85546875" style="1" customWidth="1"/>
    <col min="3880" max="3881" width="8.5703125" style="1" customWidth="1"/>
    <col min="3882" max="3884" width="8.85546875" style="1" customWidth="1"/>
    <col min="3885" max="3885" width="9.28515625" style="1" customWidth="1"/>
    <col min="3886" max="3887" width="8.85546875" style="1" customWidth="1"/>
    <col min="3888" max="3888" width="10" style="1" customWidth="1"/>
    <col min="3889" max="3890" width="8.85546875" style="1" customWidth="1"/>
    <col min="3891" max="3891" width="11" style="1" customWidth="1"/>
    <col min="3892" max="3893" width="9.5703125" style="1" customWidth="1"/>
    <col min="3894" max="3896" width="8.85546875" style="1" customWidth="1"/>
    <col min="3897" max="3897" width="10.42578125" style="1" customWidth="1"/>
    <col min="3898" max="3899" width="8.85546875" style="1" customWidth="1"/>
    <col min="3900" max="3900" width="9.7109375" style="1" customWidth="1"/>
    <col min="3901" max="3902" width="8.85546875" style="1" customWidth="1"/>
    <col min="3903" max="3903" width="9.28515625" style="1" customWidth="1"/>
    <col min="3904" max="3924" width="8.85546875" style="1" customWidth="1"/>
    <col min="3925" max="3925" width="9.85546875" style="1" customWidth="1"/>
    <col min="3926" max="3926" width="8.85546875" style="1" customWidth="1"/>
    <col min="3927" max="3927" width="10" style="1" customWidth="1"/>
    <col min="3928" max="3944" width="8.85546875" style="1" customWidth="1"/>
    <col min="3945" max="3945" width="9.42578125" style="1" customWidth="1"/>
    <col min="3946" max="3946" width="8.85546875" style="1" customWidth="1"/>
    <col min="3947" max="3947" width="12" style="1" customWidth="1"/>
    <col min="3948" max="3948" width="11.140625" style="1" customWidth="1"/>
    <col min="3949" max="3949" width="28.7109375" style="1" customWidth="1"/>
    <col min="3950" max="3950" width="5.85546875" style="1" customWidth="1"/>
    <col min="3951" max="4100" width="9.140625" style="1"/>
    <col min="4101" max="4101" width="3.42578125" style="1" customWidth="1"/>
    <col min="4102" max="4102" width="27.85546875" style="1" customWidth="1"/>
    <col min="4103" max="4103" width="11.85546875" style="1" customWidth="1"/>
    <col min="4104" max="4104" width="15.140625" style="1" customWidth="1"/>
    <col min="4105" max="4105" width="10.28515625" style="1" customWidth="1"/>
    <col min="4106" max="4107" width="9.7109375" style="1" customWidth="1"/>
    <col min="4108" max="4108" width="10.42578125" style="1" customWidth="1"/>
    <col min="4109" max="4109" width="10.42578125" style="1" bestFit="1" customWidth="1"/>
    <col min="4110" max="4110" width="16.28515625" style="1" customWidth="1"/>
    <col min="4111" max="4111" width="15.140625" style="1" customWidth="1"/>
    <col min="4112" max="4112" width="13.5703125" style="1" customWidth="1"/>
    <col min="4113" max="4113" width="10.5703125" style="1" customWidth="1"/>
    <col min="4114" max="4114" width="10.85546875" style="1" customWidth="1"/>
    <col min="4115" max="4115" width="18" style="1" customWidth="1"/>
    <col min="4116" max="4116" width="20.85546875" style="1" customWidth="1"/>
    <col min="4117" max="4117" width="13.5703125" style="1" customWidth="1"/>
    <col min="4118" max="4118" width="14.140625" style="1" customWidth="1"/>
    <col min="4119" max="4121" width="8.85546875" style="1" customWidth="1"/>
    <col min="4122" max="4122" width="9.28515625" style="1" customWidth="1"/>
    <col min="4123" max="4123" width="14" style="1" customWidth="1"/>
    <col min="4124" max="4125" width="8.85546875" style="1" customWidth="1"/>
    <col min="4126" max="4126" width="10.140625" style="1" customWidth="1"/>
    <col min="4127" max="4128" width="9.5703125" style="1" customWidth="1"/>
    <col min="4129" max="4129" width="9.85546875" style="1" customWidth="1"/>
    <col min="4130" max="4131" width="10.140625" style="1" customWidth="1"/>
    <col min="4132" max="4134" width="9.28515625" style="1" customWidth="1"/>
    <col min="4135" max="4135" width="9.85546875" style="1" customWidth="1"/>
    <col min="4136" max="4137" width="8.5703125" style="1" customWidth="1"/>
    <col min="4138" max="4140" width="8.85546875" style="1" customWidth="1"/>
    <col min="4141" max="4141" width="9.28515625" style="1" customWidth="1"/>
    <col min="4142" max="4143" width="8.85546875" style="1" customWidth="1"/>
    <col min="4144" max="4144" width="10" style="1" customWidth="1"/>
    <col min="4145" max="4146" width="8.85546875" style="1" customWidth="1"/>
    <col min="4147" max="4147" width="11" style="1" customWidth="1"/>
    <col min="4148" max="4149" width="9.5703125" style="1" customWidth="1"/>
    <col min="4150" max="4152" width="8.85546875" style="1" customWidth="1"/>
    <col min="4153" max="4153" width="10.42578125" style="1" customWidth="1"/>
    <col min="4154" max="4155" width="8.85546875" style="1" customWidth="1"/>
    <col min="4156" max="4156" width="9.7109375" style="1" customWidth="1"/>
    <col min="4157" max="4158" width="8.85546875" style="1" customWidth="1"/>
    <col min="4159" max="4159" width="9.28515625" style="1" customWidth="1"/>
    <col min="4160" max="4180" width="8.85546875" style="1" customWidth="1"/>
    <col min="4181" max="4181" width="9.85546875" style="1" customWidth="1"/>
    <col min="4182" max="4182" width="8.85546875" style="1" customWidth="1"/>
    <col min="4183" max="4183" width="10" style="1" customWidth="1"/>
    <col min="4184" max="4200" width="8.85546875" style="1" customWidth="1"/>
    <col min="4201" max="4201" width="9.42578125" style="1" customWidth="1"/>
    <col min="4202" max="4202" width="8.85546875" style="1" customWidth="1"/>
    <col min="4203" max="4203" width="12" style="1" customWidth="1"/>
    <col min="4204" max="4204" width="11.140625" style="1" customWidth="1"/>
    <col min="4205" max="4205" width="28.7109375" style="1" customWidth="1"/>
    <col min="4206" max="4206" width="5.85546875" style="1" customWidth="1"/>
    <col min="4207" max="4356" width="9.140625" style="1"/>
    <col min="4357" max="4357" width="3.42578125" style="1" customWidth="1"/>
    <col min="4358" max="4358" width="27.85546875" style="1" customWidth="1"/>
    <col min="4359" max="4359" width="11.85546875" style="1" customWidth="1"/>
    <col min="4360" max="4360" width="15.140625" style="1" customWidth="1"/>
    <col min="4361" max="4361" width="10.28515625" style="1" customWidth="1"/>
    <col min="4362" max="4363" width="9.7109375" style="1" customWidth="1"/>
    <col min="4364" max="4364" width="10.42578125" style="1" customWidth="1"/>
    <col min="4365" max="4365" width="10.42578125" style="1" bestFit="1" customWidth="1"/>
    <col min="4366" max="4366" width="16.28515625" style="1" customWidth="1"/>
    <col min="4367" max="4367" width="15.140625" style="1" customWidth="1"/>
    <col min="4368" max="4368" width="13.5703125" style="1" customWidth="1"/>
    <col min="4369" max="4369" width="10.5703125" style="1" customWidth="1"/>
    <col min="4370" max="4370" width="10.85546875" style="1" customWidth="1"/>
    <col min="4371" max="4371" width="18" style="1" customWidth="1"/>
    <col min="4372" max="4372" width="20.85546875" style="1" customWidth="1"/>
    <col min="4373" max="4373" width="13.5703125" style="1" customWidth="1"/>
    <col min="4374" max="4374" width="14.140625" style="1" customWidth="1"/>
    <col min="4375" max="4377" width="8.85546875" style="1" customWidth="1"/>
    <col min="4378" max="4378" width="9.28515625" style="1" customWidth="1"/>
    <col min="4379" max="4379" width="14" style="1" customWidth="1"/>
    <col min="4380" max="4381" width="8.85546875" style="1" customWidth="1"/>
    <col min="4382" max="4382" width="10.140625" style="1" customWidth="1"/>
    <col min="4383" max="4384" width="9.5703125" style="1" customWidth="1"/>
    <col min="4385" max="4385" width="9.85546875" style="1" customWidth="1"/>
    <col min="4386" max="4387" width="10.140625" style="1" customWidth="1"/>
    <col min="4388" max="4390" width="9.28515625" style="1" customWidth="1"/>
    <col min="4391" max="4391" width="9.85546875" style="1" customWidth="1"/>
    <col min="4392" max="4393" width="8.5703125" style="1" customWidth="1"/>
    <col min="4394" max="4396" width="8.85546875" style="1" customWidth="1"/>
    <col min="4397" max="4397" width="9.28515625" style="1" customWidth="1"/>
    <col min="4398" max="4399" width="8.85546875" style="1" customWidth="1"/>
    <col min="4400" max="4400" width="10" style="1" customWidth="1"/>
    <col min="4401" max="4402" width="8.85546875" style="1" customWidth="1"/>
    <col min="4403" max="4403" width="11" style="1" customWidth="1"/>
    <col min="4404" max="4405" width="9.5703125" style="1" customWidth="1"/>
    <col min="4406" max="4408" width="8.85546875" style="1" customWidth="1"/>
    <col min="4409" max="4409" width="10.42578125" style="1" customWidth="1"/>
    <col min="4410" max="4411" width="8.85546875" style="1" customWidth="1"/>
    <col min="4412" max="4412" width="9.7109375" style="1" customWidth="1"/>
    <col min="4413" max="4414" width="8.85546875" style="1" customWidth="1"/>
    <col min="4415" max="4415" width="9.28515625" style="1" customWidth="1"/>
    <col min="4416" max="4436" width="8.85546875" style="1" customWidth="1"/>
    <col min="4437" max="4437" width="9.85546875" style="1" customWidth="1"/>
    <col min="4438" max="4438" width="8.85546875" style="1" customWidth="1"/>
    <col min="4439" max="4439" width="10" style="1" customWidth="1"/>
    <col min="4440" max="4456" width="8.85546875" style="1" customWidth="1"/>
    <col min="4457" max="4457" width="9.42578125" style="1" customWidth="1"/>
    <col min="4458" max="4458" width="8.85546875" style="1" customWidth="1"/>
    <col min="4459" max="4459" width="12" style="1" customWidth="1"/>
    <col min="4460" max="4460" width="11.140625" style="1" customWidth="1"/>
    <col min="4461" max="4461" width="28.7109375" style="1" customWidth="1"/>
    <col min="4462" max="4462" width="5.85546875" style="1" customWidth="1"/>
    <col min="4463" max="4612" width="9.140625" style="1"/>
    <col min="4613" max="4613" width="3.42578125" style="1" customWidth="1"/>
    <col min="4614" max="4614" width="27.85546875" style="1" customWidth="1"/>
    <col min="4615" max="4615" width="11.85546875" style="1" customWidth="1"/>
    <col min="4616" max="4616" width="15.140625" style="1" customWidth="1"/>
    <col min="4617" max="4617" width="10.28515625" style="1" customWidth="1"/>
    <col min="4618" max="4619" width="9.7109375" style="1" customWidth="1"/>
    <col min="4620" max="4620" width="10.42578125" style="1" customWidth="1"/>
    <col min="4621" max="4621" width="10.42578125" style="1" bestFit="1" customWidth="1"/>
    <col min="4622" max="4622" width="16.28515625" style="1" customWidth="1"/>
    <col min="4623" max="4623" width="15.140625" style="1" customWidth="1"/>
    <col min="4624" max="4624" width="13.5703125" style="1" customWidth="1"/>
    <col min="4625" max="4625" width="10.5703125" style="1" customWidth="1"/>
    <col min="4626" max="4626" width="10.85546875" style="1" customWidth="1"/>
    <col min="4627" max="4627" width="18" style="1" customWidth="1"/>
    <col min="4628" max="4628" width="20.85546875" style="1" customWidth="1"/>
    <col min="4629" max="4629" width="13.5703125" style="1" customWidth="1"/>
    <col min="4630" max="4630" width="14.140625" style="1" customWidth="1"/>
    <col min="4631" max="4633" width="8.85546875" style="1" customWidth="1"/>
    <col min="4634" max="4634" width="9.28515625" style="1" customWidth="1"/>
    <col min="4635" max="4635" width="14" style="1" customWidth="1"/>
    <col min="4636" max="4637" width="8.85546875" style="1" customWidth="1"/>
    <col min="4638" max="4638" width="10.140625" style="1" customWidth="1"/>
    <col min="4639" max="4640" width="9.5703125" style="1" customWidth="1"/>
    <col min="4641" max="4641" width="9.85546875" style="1" customWidth="1"/>
    <col min="4642" max="4643" width="10.140625" style="1" customWidth="1"/>
    <col min="4644" max="4646" width="9.28515625" style="1" customWidth="1"/>
    <col min="4647" max="4647" width="9.85546875" style="1" customWidth="1"/>
    <col min="4648" max="4649" width="8.5703125" style="1" customWidth="1"/>
    <col min="4650" max="4652" width="8.85546875" style="1" customWidth="1"/>
    <col min="4653" max="4653" width="9.28515625" style="1" customWidth="1"/>
    <col min="4654" max="4655" width="8.85546875" style="1" customWidth="1"/>
    <col min="4656" max="4656" width="10" style="1" customWidth="1"/>
    <col min="4657" max="4658" width="8.85546875" style="1" customWidth="1"/>
    <col min="4659" max="4659" width="11" style="1" customWidth="1"/>
    <col min="4660" max="4661" width="9.5703125" style="1" customWidth="1"/>
    <col min="4662" max="4664" width="8.85546875" style="1" customWidth="1"/>
    <col min="4665" max="4665" width="10.42578125" style="1" customWidth="1"/>
    <col min="4666" max="4667" width="8.85546875" style="1" customWidth="1"/>
    <col min="4668" max="4668" width="9.7109375" style="1" customWidth="1"/>
    <col min="4669" max="4670" width="8.85546875" style="1" customWidth="1"/>
    <col min="4671" max="4671" width="9.28515625" style="1" customWidth="1"/>
    <col min="4672" max="4692" width="8.85546875" style="1" customWidth="1"/>
    <col min="4693" max="4693" width="9.85546875" style="1" customWidth="1"/>
    <col min="4694" max="4694" width="8.85546875" style="1" customWidth="1"/>
    <col min="4695" max="4695" width="10" style="1" customWidth="1"/>
    <col min="4696" max="4712" width="8.85546875" style="1" customWidth="1"/>
    <col min="4713" max="4713" width="9.42578125" style="1" customWidth="1"/>
    <col min="4714" max="4714" width="8.85546875" style="1" customWidth="1"/>
    <col min="4715" max="4715" width="12" style="1" customWidth="1"/>
    <col min="4716" max="4716" width="11.140625" style="1" customWidth="1"/>
    <col min="4717" max="4717" width="28.7109375" style="1" customWidth="1"/>
    <col min="4718" max="4718" width="5.85546875" style="1" customWidth="1"/>
    <col min="4719" max="4868" width="9.140625" style="1"/>
    <col min="4869" max="4869" width="3.42578125" style="1" customWidth="1"/>
    <col min="4870" max="4870" width="27.85546875" style="1" customWidth="1"/>
    <col min="4871" max="4871" width="11.85546875" style="1" customWidth="1"/>
    <col min="4872" max="4872" width="15.140625" style="1" customWidth="1"/>
    <col min="4873" max="4873" width="10.28515625" style="1" customWidth="1"/>
    <col min="4874" max="4875" width="9.7109375" style="1" customWidth="1"/>
    <col min="4876" max="4876" width="10.42578125" style="1" customWidth="1"/>
    <col min="4877" max="4877" width="10.42578125" style="1" bestFit="1" customWidth="1"/>
    <col min="4878" max="4878" width="16.28515625" style="1" customWidth="1"/>
    <col min="4879" max="4879" width="15.140625" style="1" customWidth="1"/>
    <col min="4880" max="4880" width="13.5703125" style="1" customWidth="1"/>
    <col min="4881" max="4881" width="10.5703125" style="1" customWidth="1"/>
    <col min="4882" max="4882" width="10.85546875" style="1" customWidth="1"/>
    <col min="4883" max="4883" width="18" style="1" customWidth="1"/>
    <col min="4884" max="4884" width="20.85546875" style="1" customWidth="1"/>
    <col min="4885" max="4885" width="13.5703125" style="1" customWidth="1"/>
    <col min="4886" max="4886" width="14.140625" style="1" customWidth="1"/>
    <col min="4887" max="4889" width="8.85546875" style="1" customWidth="1"/>
    <col min="4890" max="4890" width="9.28515625" style="1" customWidth="1"/>
    <col min="4891" max="4891" width="14" style="1" customWidth="1"/>
    <col min="4892" max="4893" width="8.85546875" style="1" customWidth="1"/>
    <col min="4894" max="4894" width="10.140625" style="1" customWidth="1"/>
    <col min="4895" max="4896" width="9.5703125" style="1" customWidth="1"/>
    <col min="4897" max="4897" width="9.85546875" style="1" customWidth="1"/>
    <col min="4898" max="4899" width="10.140625" style="1" customWidth="1"/>
    <col min="4900" max="4902" width="9.28515625" style="1" customWidth="1"/>
    <col min="4903" max="4903" width="9.85546875" style="1" customWidth="1"/>
    <col min="4904" max="4905" width="8.5703125" style="1" customWidth="1"/>
    <col min="4906" max="4908" width="8.85546875" style="1" customWidth="1"/>
    <col min="4909" max="4909" width="9.28515625" style="1" customWidth="1"/>
    <col min="4910" max="4911" width="8.85546875" style="1" customWidth="1"/>
    <col min="4912" max="4912" width="10" style="1" customWidth="1"/>
    <col min="4913" max="4914" width="8.85546875" style="1" customWidth="1"/>
    <col min="4915" max="4915" width="11" style="1" customWidth="1"/>
    <col min="4916" max="4917" width="9.5703125" style="1" customWidth="1"/>
    <col min="4918" max="4920" width="8.85546875" style="1" customWidth="1"/>
    <col min="4921" max="4921" width="10.42578125" style="1" customWidth="1"/>
    <col min="4922" max="4923" width="8.85546875" style="1" customWidth="1"/>
    <col min="4924" max="4924" width="9.7109375" style="1" customWidth="1"/>
    <col min="4925" max="4926" width="8.85546875" style="1" customWidth="1"/>
    <col min="4927" max="4927" width="9.28515625" style="1" customWidth="1"/>
    <col min="4928" max="4948" width="8.85546875" style="1" customWidth="1"/>
    <col min="4949" max="4949" width="9.85546875" style="1" customWidth="1"/>
    <col min="4950" max="4950" width="8.85546875" style="1" customWidth="1"/>
    <col min="4951" max="4951" width="10" style="1" customWidth="1"/>
    <col min="4952" max="4968" width="8.85546875" style="1" customWidth="1"/>
    <col min="4969" max="4969" width="9.42578125" style="1" customWidth="1"/>
    <col min="4970" max="4970" width="8.85546875" style="1" customWidth="1"/>
    <col min="4971" max="4971" width="12" style="1" customWidth="1"/>
    <col min="4972" max="4972" width="11.140625" style="1" customWidth="1"/>
    <col min="4973" max="4973" width="28.7109375" style="1" customWidth="1"/>
    <col min="4974" max="4974" width="5.85546875" style="1" customWidth="1"/>
    <col min="4975" max="5124" width="9.140625" style="1"/>
    <col min="5125" max="5125" width="3.42578125" style="1" customWidth="1"/>
    <col min="5126" max="5126" width="27.85546875" style="1" customWidth="1"/>
    <col min="5127" max="5127" width="11.85546875" style="1" customWidth="1"/>
    <col min="5128" max="5128" width="15.140625" style="1" customWidth="1"/>
    <col min="5129" max="5129" width="10.28515625" style="1" customWidth="1"/>
    <col min="5130" max="5131" width="9.7109375" style="1" customWidth="1"/>
    <col min="5132" max="5132" width="10.42578125" style="1" customWidth="1"/>
    <col min="5133" max="5133" width="10.42578125" style="1" bestFit="1" customWidth="1"/>
    <col min="5134" max="5134" width="16.28515625" style="1" customWidth="1"/>
    <col min="5135" max="5135" width="15.140625" style="1" customWidth="1"/>
    <col min="5136" max="5136" width="13.5703125" style="1" customWidth="1"/>
    <col min="5137" max="5137" width="10.5703125" style="1" customWidth="1"/>
    <col min="5138" max="5138" width="10.85546875" style="1" customWidth="1"/>
    <col min="5139" max="5139" width="18" style="1" customWidth="1"/>
    <col min="5140" max="5140" width="20.85546875" style="1" customWidth="1"/>
    <col min="5141" max="5141" width="13.5703125" style="1" customWidth="1"/>
    <col min="5142" max="5142" width="14.140625" style="1" customWidth="1"/>
    <col min="5143" max="5145" width="8.85546875" style="1" customWidth="1"/>
    <col min="5146" max="5146" width="9.28515625" style="1" customWidth="1"/>
    <col min="5147" max="5147" width="14" style="1" customWidth="1"/>
    <col min="5148" max="5149" width="8.85546875" style="1" customWidth="1"/>
    <col min="5150" max="5150" width="10.140625" style="1" customWidth="1"/>
    <col min="5151" max="5152" width="9.5703125" style="1" customWidth="1"/>
    <col min="5153" max="5153" width="9.85546875" style="1" customWidth="1"/>
    <col min="5154" max="5155" width="10.140625" style="1" customWidth="1"/>
    <col min="5156" max="5158" width="9.28515625" style="1" customWidth="1"/>
    <col min="5159" max="5159" width="9.85546875" style="1" customWidth="1"/>
    <col min="5160" max="5161" width="8.5703125" style="1" customWidth="1"/>
    <col min="5162" max="5164" width="8.85546875" style="1" customWidth="1"/>
    <col min="5165" max="5165" width="9.28515625" style="1" customWidth="1"/>
    <col min="5166" max="5167" width="8.85546875" style="1" customWidth="1"/>
    <col min="5168" max="5168" width="10" style="1" customWidth="1"/>
    <col min="5169" max="5170" width="8.85546875" style="1" customWidth="1"/>
    <col min="5171" max="5171" width="11" style="1" customWidth="1"/>
    <col min="5172" max="5173" width="9.5703125" style="1" customWidth="1"/>
    <col min="5174" max="5176" width="8.85546875" style="1" customWidth="1"/>
    <col min="5177" max="5177" width="10.42578125" style="1" customWidth="1"/>
    <col min="5178" max="5179" width="8.85546875" style="1" customWidth="1"/>
    <col min="5180" max="5180" width="9.7109375" style="1" customWidth="1"/>
    <col min="5181" max="5182" width="8.85546875" style="1" customWidth="1"/>
    <col min="5183" max="5183" width="9.28515625" style="1" customWidth="1"/>
    <col min="5184" max="5204" width="8.85546875" style="1" customWidth="1"/>
    <col min="5205" max="5205" width="9.85546875" style="1" customWidth="1"/>
    <col min="5206" max="5206" width="8.85546875" style="1" customWidth="1"/>
    <col min="5207" max="5207" width="10" style="1" customWidth="1"/>
    <col min="5208" max="5224" width="8.85546875" style="1" customWidth="1"/>
    <col min="5225" max="5225" width="9.42578125" style="1" customWidth="1"/>
    <col min="5226" max="5226" width="8.85546875" style="1" customWidth="1"/>
    <col min="5227" max="5227" width="12" style="1" customWidth="1"/>
    <col min="5228" max="5228" width="11.140625" style="1" customWidth="1"/>
    <col min="5229" max="5229" width="28.7109375" style="1" customWidth="1"/>
    <col min="5230" max="5230" width="5.85546875" style="1" customWidth="1"/>
    <col min="5231" max="5380" width="9.140625" style="1"/>
    <col min="5381" max="5381" width="3.42578125" style="1" customWidth="1"/>
    <col min="5382" max="5382" width="27.85546875" style="1" customWidth="1"/>
    <col min="5383" max="5383" width="11.85546875" style="1" customWidth="1"/>
    <col min="5384" max="5384" width="15.140625" style="1" customWidth="1"/>
    <col min="5385" max="5385" width="10.28515625" style="1" customWidth="1"/>
    <col min="5386" max="5387" width="9.7109375" style="1" customWidth="1"/>
    <col min="5388" max="5388" width="10.42578125" style="1" customWidth="1"/>
    <col min="5389" max="5389" width="10.42578125" style="1" bestFit="1" customWidth="1"/>
    <col min="5390" max="5390" width="16.28515625" style="1" customWidth="1"/>
    <col min="5391" max="5391" width="15.140625" style="1" customWidth="1"/>
    <col min="5392" max="5392" width="13.5703125" style="1" customWidth="1"/>
    <col min="5393" max="5393" width="10.5703125" style="1" customWidth="1"/>
    <col min="5394" max="5394" width="10.85546875" style="1" customWidth="1"/>
    <col min="5395" max="5395" width="18" style="1" customWidth="1"/>
    <col min="5396" max="5396" width="20.85546875" style="1" customWidth="1"/>
    <col min="5397" max="5397" width="13.5703125" style="1" customWidth="1"/>
    <col min="5398" max="5398" width="14.140625" style="1" customWidth="1"/>
    <col min="5399" max="5401" width="8.85546875" style="1" customWidth="1"/>
    <col min="5402" max="5402" width="9.28515625" style="1" customWidth="1"/>
    <col min="5403" max="5403" width="14" style="1" customWidth="1"/>
    <col min="5404" max="5405" width="8.85546875" style="1" customWidth="1"/>
    <col min="5406" max="5406" width="10.140625" style="1" customWidth="1"/>
    <col min="5407" max="5408" width="9.5703125" style="1" customWidth="1"/>
    <col min="5409" max="5409" width="9.85546875" style="1" customWidth="1"/>
    <col min="5410" max="5411" width="10.140625" style="1" customWidth="1"/>
    <col min="5412" max="5414" width="9.28515625" style="1" customWidth="1"/>
    <col min="5415" max="5415" width="9.85546875" style="1" customWidth="1"/>
    <col min="5416" max="5417" width="8.5703125" style="1" customWidth="1"/>
    <col min="5418" max="5420" width="8.85546875" style="1" customWidth="1"/>
    <col min="5421" max="5421" width="9.28515625" style="1" customWidth="1"/>
    <col min="5422" max="5423" width="8.85546875" style="1" customWidth="1"/>
    <col min="5424" max="5424" width="10" style="1" customWidth="1"/>
    <col min="5425" max="5426" width="8.85546875" style="1" customWidth="1"/>
    <col min="5427" max="5427" width="11" style="1" customWidth="1"/>
    <col min="5428" max="5429" width="9.5703125" style="1" customWidth="1"/>
    <col min="5430" max="5432" width="8.85546875" style="1" customWidth="1"/>
    <col min="5433" max="5433" width="10.42578125" style="1" customWidth="1"/>
    <col min="5434" max="5435" width="8.85546875" style="1" customWidth="1"/>
    <col min="5436" max="5436" width="9.7109375" style="1" customWidth="1"/>
    <col min="5437" max="5438" width="8.85546875" style="1" customWidth="1"/>
    <col min="5439" max="5439" width="9.28515625" style="1" customWidth="1"/>
    <col min="5440" max="5460" width="8.85546875" style="1" customWidth="1"/>
    <col min="5461" max="5461" width="9.85546875" style="1" customWidth="1"/>
    <col min="5462" max="5462" width="8.85546875" style="1" customWidth="1"/>
    <col min="5463" max="5463" width="10" style="1" customWidth="1"/>
    <col min="5464" max="5480" width="8.85546875" style="1" customWidth="1"/>
    <col min="5481" max="5481" width="9.42578125" style="1" customWidth="1"/>
    <col min="5482" max="5482" width="8.85546875" style="1" customWidth="1"/>
    <col min="5483" max="5483" width="12" style="1" customWidth="1"/>
    <col min="5484" max="5484" width="11.140625" style="1" customWidth="1"/>
    <col min="5485" max="5485" width="28.7109375" style="1" customWidth="1"/>
    <col min="5486" max="5486" width="5.85546875" style="1" customWidth="1"/>
    <col min="5487" max="5636" width="9.140625" style="1"/>
    <col min="5637" max="5637" width="3.42578125" style="1" customWidth="1"/>
    <col min="5638" max="5638" width="27.85546875" style="1" customWidth="1"/>
    <col min="5639" max="5639" width="11.85546875" style="1" customWidth="1"/>
    <col min="5640" max="5640" width="15.140625" style="1" customWidth="1"/>
    <col min="5641" max="5641" width="10.28515625" style="1" customWidth="1"/>
    <col min="5642" max="5643" width="9.7109375" style="1" customWidth="1"/>
    <col min="5644" max="5644" width="10.42578125" style="1" customWidth="1"/>
    <col min="5645" max="5645" width="10.42578125" style="1" bestFit="1" customWidth="1"/>
    <col min="5646" max="5646" width="16.28515625" style="1" customWidth="1"/>
    <col min="5647" max="5647" width="15.140625" style="1" customWidth="1"/>
    <col min="5648" max="5648" width="13.5703125" style="1" customWidth="1"/>
    <col min="5649" max="5649" width="10.5703125" style="1" customWidth="1"/>
    <col min="5650" max="5650" width="10.85546875" style="1" customWidth="1"/>
    <col min="5651" max="5651" width="18" style="1" customWidth="1"/>
    <col min="5652" max="5652" width="20.85546875" style="1" customWidth="1"/>
    <col min="5653" max="5653" width="13.5703125" style="1" customWidth="1"/>
    <col min="5654" max="5654" width="14.140625" style="1" customWidth="1"/>
    <col min="5655" max="5657" width="8.85546875" style="1" customWidth="1"/>
    <col min="5658" max="5658" width="9.28515625" style="1" customWidth="1"/>
    <col min="5659" max="5659" width="14" style="1" customWidth="1"/>
    <col min="5660" max="5661" width="8.85546875" style="1" customWidth="1"/>
    <col min="5662" max="5662" width="10.140625" style="1" customWidth="1"/>
    <col min="5663" max="5664" width="9.5703125" style="1" customWidth="1"/>
    <col min="5665" max="5665" width="9.85546875" style="1" customWidth="1"/>
    <col min="5666" max="5667" width="10.140625" style="1" customWidth="1"/>
    <col min="5668" max="5670" width="9.28515625" style="1" customWidth="1"/>
    <col min="5671" max="5671" width="9.85546875" style="1" customWidth="1"/>
    <col min="5672" max="5673" width="8.5703125" style="1" customWidth="1"/>
    <col min="5674" max="5676" width="8.85546875" style="1" customWidth="1"/>
    <col min="5677" max="5677" width="9.28515625" style="1" customWidth="1"/>
    <col min="5678" max="5679" width="8.85546875" style="1" customWidth="1"/>
    <col min="5680" max="5680" width="10" style="1" customWidth="1"/>
    <col min="5681" max="5682" width="8.85546875" style="1" customWidth="1"/>
    <col min="5683" max="5683" width="11" style="1" customWidth="1"/>
    <col min="5684" max="5685" width="9.5703125" style="1" customWidth="1"/>
    <col min="5686" max="5688" width="8.85546875" style="1" customWidth="1"/>
    <col min="5689" max="5689" width="10.42578125" style="1" customWidth="1"/>
    <col min="5690" max="5691" width="8.85546875" style="1" customWidth="1"/>
    <col min="5692" max="5692" width="9.7109375" style="1" customWidth="1"/>
    <col min="5693" max="5694" width="8.85546875" style="1" customWidth="1"/>
    <col min="5695" max="5695" width="9.28515625" style="1" customWidth="1"/>
    <col min="5696" max="5716" width="8.85546875" style="1" customWidth="1"/>
    <col min="5717" max="5717" width="9.85546875" style="1" customWidth="1"/>
    <col min="5718" max="5718" width="8.85546875" style="1" customWidth="1"/>
    <col min="5719" max="5719" width="10" style="1" customWidth="1"/>
    <col min="5720" max="5736" width="8.85546875" style="1" customWidth="1"/>
    <col min="5737" max="5737" width="9.42578125" style="1" customWidth="1"/>
    <col min="5738" max="5738" width="8.85546875" style="1" customWidth="1"/>
    <col min="5739" max="5739" width="12" style="1" customWidth="1"/>
    <col min="5740" max="5740" width="11.140625" style="1" customWidth="1"/>
    <col min="5741" max="5741" width="28.7109375" style="1" customWidth="1"/>
    <col min="5742" max="5742" width="5.85546875" style="1" customWidth="1"/>
    <col min="5743" max="5892" width="9.140625" style="1"/>
    <col min="5893" max="5893" width="3.42578125" style="1" customWidth="1"/>
    <col min="5894" max="5894" width="27.85546875" style="1" customWidth="1"/>
    <col min="5895" max="5895" width="11.85546875" style="1" customWidth="1"/>
    <col min="5896" max="5896" width="15.140625" style="1" customWidth="1"/>
    <col min="5897" max="5897" width="10.28515625" style="1" customWidth="1"/>
    <col min="5898" max="5899" width="9.7109375" style="1" customWidth="1"/>
    <col min="5900" max="5900" width="10.42578125" style="1" customWidth="1"/>
    <col min="5901" max="5901" width="10.42578125" style="1" bestFit="1" customWidth="1"/>
    <col min="5902" max="5902" width="16.28515625" style="1" customWidth="1"/>
    <col min="5903" max="5903" width="15.140625" style="1" customWidth="1"/>
    <col min="5904" max="5904" width="13.5703125" style="1" customWidth="1"/>
    <col min="5905" max="5905" width="10.5703125" style="1" customWidth="1"/>
    <col min="5906" max="5906" width="10.85546875" style="1" customWidth="1"/>
    <col min="5907" max="5907" width="18" style="1" customWidth="1"/>
    <col min="5908" max="5908" width="20.85546875" style="1" customWidth="1"/>
    <col min="5909" max="5909" width="13.5703125" style="1" customWidth="1"/>
    <col min="5910" max="5910" width="14.140625" style="1" customWidth="1"/>
    <col min="5911" max="5913" width="8.85546875" style="1" customWidth="1"/>
    <col min="5914" max="5914" width="9.28515625" style="1" customWidth="1"/>
    <col min="5915" max="5915" width="14" style="1" customWidth="1"/>
    <col min="5916" max="5917" width="8.85546875" style="1" customWidth="1"/>
    <col min="5918" max="5918" width="10.140625" style="1" customWidth="1"/>
    <col min="5919" max="5920" width="9.5703125" style="1" customWidth="1"/>
    <col min="5921" max="5921" width="9.85546875" style="1" customWidth="1"/>
    <col min="5922" max="5923" width="10.140625" style="1" customWidth="1"/>
    <col min="5924" max="5926" width="9.28515625" style="1" customWidth="1"/>
    <col min="5927" max="5927" width="9.85546875" style="1" customWidth="1"/>
    <col min="5928" max="5929" width="8.5703125" style="1" customWidth="1"/>
    <col min="5930" max="5932" width="8.85546875" style="1" customWidth="1"/>
    <col min="5933" max="5933" width="9.28515625" style="1" customWidth="1"/>
    <col min="5934" max="5935" width="8.85546875" style="1" customWidth="1"/>
    <col min="5936" max="5936" width="10" style="1" customWidth="1"/>
    <col min="5937" max="5938" width="8.85546875" style="1" customWidth="1"/>
    <col min="5939" max="5939" width="11" style="1" customWidth="1"/>
    <col min="5940" max="5941" width="9.5703125" style="1" customWidth="1"/>
    <col min="5942" max="5944" width="8.85546875" style="1" customWidth="1"/>
    <col min="5945" max="5945" width="10.42578125" style="1" customWidth="1"/>
    <col min="5946" max="5947" width="8.85546875" style="1" customWidth="1"/>
    <col min="5948" max="5948" width="9.7109375" style="1" customWidth="1"/>
    <col min="5949" max="5950" width="8.85546875" style="1" customWidth="1"/>
    <col min="5951" max="5951" width="9.28515625" style="1" customWidth="1"/>
    <col min="5952" max="5972" width="8.85546875" style="1" customWidth="1"/>
    <col min="5973" max="5973" width="9.85546875" style="1" customWidth="1"/>
    <col min="5974" max="5974" width="8.85546875" style="1" customWidth="1"/>
    <col min="5975" max="5975" width="10" style="1" customWidth="1"/>
    <col min="5976" max="5992" width="8.85546875" style="1" customWidth="1"/>
    <col min="5993" max="5993" width="9.42578125" style="1" customWidth="1"/>
    <col min="5994" max="5994" width="8.85546875" style="1" customWidth="1"/>
    <col min="5995" max="5995" width="12" style="1" customWidth="1"/>
    <col min="5996" max="5996" width="11.140625" style="1" customWidth="1"/>
    <col min="5997" max="5997" width="28.7109375" style="1" customWidth="1"/>
    <col min="5998" max="5998" width="5.85546875" style="1" customWidth="1"/>
    <col min="5999" max="6148" width="9.140625" style="1"/>
    <col min="6149" max="6149" width="3.42578125" style="1" customWidth="1"/>
    <col min="6150" max="6150" width="27.85546875" style="1" customWidth="1"/>
    <col min="6151" max="6151" width="11.85546875" style="1" customWidth="1"/>
    <col min="6152" max="6152" width="15.140625" style="1" customWidth="1"/>
    <col min="6153" max="6153" width="10.28515625" style="1" customWidth="1"/>
    <col min="6154" max="6155" width="9.7109375" style="1" customWidth="1"/>
    <col min="6156" max="6156" width="10.42578125" style="1" customWidth="1"/>
    <col min="6157" max="6157" width="10.42578125" style="1" bestFit="1" customWidth="1"/>
    <col min="6158" max="6158" width="16.28515625" style="1" customWidth="1"/>
    <col min="6159" max="6159" width="15.140625" style="1" customWidth="1"/>
    <col min="6160" max="6160" width="13.5703125" style="1" customWidth="1"/>
    <col min="6161" max="6161" width="10.5703125" style="1" customWidth="1"/>
    <col min="6162" max="6162" width="10.85546875" style="1" customWidth="1"/>
    <col min="6163" max="6163" width="18" style="1" customWidth="1"/>
    <col min="6164" max="6164" width="20.85546875" style="1" customWidth="1"/>
    <col min="6165" max="6165" width="13.5703125" style="1" customWidth="1"/>
    <col min="6166" max="6166" width="14.140625" style="1" customWidth="1"/>
    <col min="6167" max="6169" width="8.85546875" style="1" customWidth="1"/>
    <col min="6170" max="6170" width="9.28515625" style="1" customWidth="1"/>
    <col min="6171" max="6171" width="14" style="1" customWidth="1"/>
    <col min="6172" max="6173" width="8.85546875" style="1" customWidth="1"/>
    <col min="6174" max="6174" width="10.140625" style="1" customWidth="1"/>
    <col min="6175" max="6176" width="9.5703125" style="1" customWidth="1"/>
    <col min="6177" max="6177" width="9.85546875" style="1" customWidth="1"/>
    <col min="6178" max="6179" width="10.140625" style="1" customWidth="1"/>
    <col min="6180" max="6182" width="9.28515625" style="1" customWidth="1"/>
    <col min="6183" max="6183" width="9.85546875" style="1" customWidth="1"/>
    <col min="6184" max="6185" width="8.5703125" style="1" customWidth="1"/>
    <col min="6186" max="6188" width="8.85546875" style="1" customWidth="1"/>
    <col min="6189" max="6189" width="9.28515625" style="1" customWidth="1"/>
    <col min="6190" max="6191" width="8.85546875" style="1" customWidth="1"/>
    <col min="6192" max="6192" width="10" style="1" customWidth="1"/>
    <col min="6193" max="6194" width="8.85546875" style="1" customWidth="1"/>
    <col min="6195" max="6195" width="11" style="1" customWidth="1"/>
    <col min="6196" max="6197" width="9.5703125" style="1" customWidth="1"/>
    <col min="6198" max="6200" width="8.85546875" style="1" customWidth="1"/>
    <col min="6201" max="6201" width="10.42578125" style="1" customWidth="1"/>
    <col min="6202" max="6203" width="8.85546875" style="1" customWidth="1"/>
    <col min="6204" max="6204" width="9.7109375" style="1" customWidth="1"/>
    <col min="6205" max="6206" width="8.85546875" style="1" customWidth="1"/>
    <col min="6207" max="6207" width="9.28515625" style="1" customWidth="1"/>
    <col min="6208" max="6228" width="8.85546875" style="1" customWidth="1"/>
    <col min="6229" max="6229" width="9.85546875" style="1" customWidth="1"/>
    <col min="6230" max="6230" width="8.85546875" style="1" customWidth="1"/>
    <col min="6231" max="6231" width="10" style="1" customWidth="1"/>
    <col min="6232" max="6248" width="8.85546875" style="1" customWidth="1"/>
    <col min="6249" max="6249" width="9.42578125" style="1" customWidth="1"/>
    <col min="6250" max="6250" width="8.85546875" style="1" customWidth="1"/>
    <col min="6251" max="6251" width="12" style="1" customWidth="1"/>
    <col min="6252" max="6252" width="11.140625" style="1" customWidth="1"/>
    <col min="6253" max="6253" width="28.7109375" style="1" customWidth="1"/>
    <col min="6254" max="6254" width="5.85546875" style="1" customWidth="1"/>
    <col min="6255" max="6404" width="9.140625" style="1"/>
    <col min="6405" max="6405" width="3.42578125" style="1" customWidth="1"/>
    <col min="6406" max="6406" width="27.85546875" style="1" customWidth="1"/>
    <col min="6407" max="6407" width="11.85546875" style="1" customWidth="1"/>
    <col min="6408" max="6408" width="15.140625" style="1" customWidth="1"/>
    <col min="6409" max="6409" width="10.28515625" style="1" customWidth="1"/>
    <col min="6410" max="6411" width="9.7109375" style="1" customWidth="1"/>
    <col min="6412" max="6412" width="10.42578125" style="1" customWidth="1"/>
    <col min="6413" max="6413" width="10.42578125" style="1" bestFit="1" customWidth="1"/>
    <col min="6414" max="6414" width="16.28515625" style="1" customWidth="1"/>
    <col min="6415" max="6415" width="15.140625" style="1" customWidth="1"/>
    <col min="6416" max="6416" width="13.5703125" style="1" customWidth="1"/>
    <col min="6417" max="6417" width="10.5703125" style="1" customWidth="1"/>
    <col min="6418" max="6418" width="10.85546875" style="1" customWidth="1"/>
    <col min="6419" max="6419" width="18" style="1" customWidth="1"/>
    <col min="6420" max="6420" width="20.85546875" style="1" customWidth="1"/>
    <col min="6421" max="6421" width="13.5703125" style="1" customWidth="1"/>
    <col min="6422" max="6422" width="14.140625" style="1" customWidth="1"/>
    <col min="6423" max="6425" width="8.85546875" style="1" customWidth="1"/>
    <col min="6426" max="6426" width="9.28515625" style="1" customWidth="1"/>
    <col min="6427" max="6427" width="14" style="1" customWidth="1"/>
    <col min="6428" max="6429" width="8.85546875" style="1" customWidth="1"/>
    <col min="6430" max="6430" width="10.140625" style="1" customWidth="1"/>
    <col min="6431" max="6432" width="9.5703125" style="1" customWidth="1"/>
    <col min="6433" max="6433" width="9.85546875" style="1" customWidth="1"/>
    <col min="6434" max="6435" width="10.140625" style="1" customWidth="1"/>
    <col min="6436" max="6438" width="9.28515625" style="1" customWidth="1"/>
    <col min="6439" max="6439" width="9.85546875" style="1" customWidth="1"/>
    <col min="6440" max="6441" width="8.5703125" style="1" customWidth="1"/>
    <col min="6442" max="6444" width="8.85546875" style="1" customWidth="1"/>
    <col min="6445" max="6445" width="9.28515625" style="1" customWidth="1"/>
    <col min="6446" max="6447" width="8.85546875" style="1" customWidth="1"/>
    <col min="6448" max="6448" width="10" style="1" customWidth="1"/>
    <col min="6449" max="6450" width="8.85546875" style="1" customWidth="1"/>
    <col min="6451" max="6451" width="11" style="1" customWidth="1"/>
    <col min="6452" max="6453" width="9.5703125" style="1" customWidth="1"/>
    <col min="6454" max="6456" width="8.85546875" style="1" customWidth="1"/>
    <col min="6457" max="6457" width="10.42578125" style="1" customWidth="1"/>
    <col min="6458" max="6459" width="8.85546875" style="1" customWidth="1"/>
    <col min="6460" max="6460" width="9.7109375" style="1" customWidth="1"/>
    <col min="6461" max="6462" width="8.85546875" style="1" customWidth="1"/>
    <col min="6463" max="6463" width="9.28515625" style="1" customWidth="1"/>
    <col min="6464" max="6484" width="8.85546875" style="1" customWidth="1"/>
    <col min="6485" max="6485" width="9.85546875" style="1" customWidth="1"/>
    <col min="6486" max="6486" width="8.85546875" style="1" customWidth="1"/>
    <col min="6487" max="6487" width="10" style="1" customWidth="1"/>
    <col min="6488" max="6504" width="8.85546875" style="1" customWidth="1"/>
    <col min="6505" max="6505" width="9.42578125" style="1" customWidth="1"/>
    <col min="6506" max="6506" width="8.85546875" style="1" customWidth="1"/>
    <col min="6507" max="6507" width="12" style="1" customWidth="1"/>
    <col min="6508" max="6508" width="11.140625" style="1" customWidth="1"/>
    <col min="6509" max="6509" width="28.7109375" style="1" customWidth="1"/>
    <col min="6510" max="6510" width="5.85546875" style="1" customWidth="1"/>
    <col min="6511" max="6660" width="9.140625" style="1"/>
    <col min="6661" max="6661" width="3.42578125" style="1" customWidth="1"/>
    <col min="6662" max="6662" width="27.85546875" style="1" customWidth="1"/>
    <col min="6663" max="6663" width="11.85546875" style="1" customWidth="1"/>
    <col min="6664" max="6664" width="15.140625" style="1" customWidth="1"/>
    <col min="6665" max="6665" width="10.28515625" style="1" customWidth="1"/>
    <col min="6666" max="6667" width="9.7109375" style="1" customWidth="1"/>
    <col min="6668" max="6668" width="10.42578125" style="1" customWidth="1"/>
    <col min="6669" max="6669" width="10.42578125" style="1" bestFit="1" customWidth="1"/>
    <col min="6670" max="6670" width="16.28515625" style="1" customWidth="1"/>
    <col min="6671" max="6671" width="15.140625" style="1" customWidth="1"/>
    <col min="6672" max="6672" width="13.5703125" style="1" customWidth="1"/>
    <col min="6673" max="6673" width="10.5703125" style="1" customWidth="1"/>
    <col min="6674" max="6674" width="10.85546875" style="1" customWidth="1"/>
    <col min="6675" max="6675" width="18" style="1" customWidth="1"/>
    <col min="6676" max="6676" width="20.85546875" style="1" customWidth="1"/>
    <col min="6677" max="6677" width="13.5703125" style="1" customWidth="1"/>
    <col min="6678" max="6678" width="14.140625" style="1" customWidth="1"/>
    <col min="6679" max="6681" width="8.85546875" style="1" customWidth="1"/>
    <col min="6682" max="6682" width="9.28515625" style="1" customWidth="1"/>
    <col min="6683" max="6683" width="14" style="1" customWidth="1"/>
    <col min="6684" max="6685" width="8.85546875" style="1" customWidth="1"/>
    <col min="6686" max="6686" width="10.140625" style="1" customWidth="1"/>
    <col min="6687" max="6688" width="9.5703125" style="1" customWidth="1"/>
    <col min="6689" max="6689" width="9.85546875" style="1" customWidth="1"/>
    <col min="6690" max="6691" width="10.140625" style="1" customWidth="1"/>
    <col min="6692" max="6694" width="9.28515625" style="1" customWidth="1"/>
    <col min="6695" max="6695" width="9.85546875" style="1" customWidth="1"/>
    <col min="6696" max="6697" width="8.5703125" style="1" customWidth="1"/>
    <col min="6698" max="6700" width="8.85546875" style="1" customWidth="1"/>
    <col min="6701" max="6701" width="9.28515625" style="1" customWidth="1"/>
    <col min="6702" max="6703" width="8.85546875" style="1" customWidth="1"/>
    <col min="6704" max="6704" width="10" style="1" customWidth="1"/>
    <col min="6705" max="6706" width="8.85546875" style="1" customWidth="1"/>
    <col min="6707" max="6707" width="11" style="1" customWidth="1"/>
    <col min="6708" max="6709" width="9.5703125" style="1" customWidth="1"/>
    <col min="6710" max="6712" width="8.85546875" style="1" customWidth="1"/>
    <col min="6713" max="6713" width="10.42578125" style="1" customWidth="1"/>
    <col min="6714" max="6715" width="8.85546875" style="1" customWidth="1"/>
    <col min="6716" max="6716" width="9.7109375" style="1" customWidth="1"/>
    <col min="6717" max="6718" width="8.85546875" style="1" customWidth="1"/>
    <col min="6719" max="6719" width="9.28515625" style="1" customWidth="1"/>
    <col min="6720" max="6740" width="8.85546875" style="1" customWidth="1"/>
    <col min="6741" max="6741" width="9.85546875" style="1" customWidth="1"/>
    <col min="6742" max="6742" width="8.85546875" style="1" customWidth="1"/>
    <col min="6743" max="6743" width="10" style="1" customWidth="1"/>
    <col min="6744" max="6760" width="8.85546875" style="1" customWidth="1"/>
    <col min="6761" max="6761" width="9.42578125" style="1" customWidth="1"/>
    <col min="6762" max="6762" width="8.85546875" style="1" customWidth="1"/>
    <col min="6763" max="6763" width="12" style="1" customWidth="1"/>
    <col min="6764" max="6764" width="11.140625" style="1" customWidth="1"/>
    <col min="6765" max="6765" width="28.7109375" style="1" customWidth="1"/>
    <col min="6766" max="6766" width="5.85546875" style="1" customWidth="1"/>
    <col min="6767" max="6916" width="9.140625" style="1"/>
    <col min="6917" max="6917" width="3.42578125" style="1" customWidth="1"/>
    <col min="6918" max="6918" width="27.85546875" style="1" customWidth="1"/>
    <col min="6919" max="6919" width="11.85546875" style="1" customWidth="1"/>
    <col min="6920" max="6920" width="15.140625" style="1" customWidth="1"/>
    <col min="6921" max="6921" width="10.28515625" style="1" customWidth="1"/>
    <col min="6922" max="6923" width="9.7109375" style="1" customWidth="1"/>
    <col min="6924" max="6924" width="10.42578125" style="1" customWidth="1"/>
    <col min="6925" max="6925" width="10.42578125" style="1" bestFit="1" customWidth="1"/>
    <col min="6926" max="6926" width="16.28515625" style="1" customWidth="1"/>
    <col min="6927" max="6927" width="15.140625" style="1" customWidth="1"/>
    <col min="6928" max="6928" width="13.5703125" style="1" customWidth="1"/>
    <col min="6929" max="6929" width="10.5703125" style="1" customWidth="1"/>
    <col min="6930" max="6930" width="10.85546875" style="1" customWidth="1"/>
    <col min="6931" max="6931" width="18" style="1" customWidth="1"/>
    <col min="6932" max="6932" width="20.85546875" style="1" customWidth="1"/>
    <col min="6933" max="6933" width="13.5703125" style="1" customWidth="1"/>
    <col min="6934" max="6934" width="14.140625" style="1" customWidth="1"/>
    <col min="6935" max="6937" width="8.85546875" style="1" customWidth="1"/>
    <col min="6938" max="6938" width="9.28515625" style="1" customWidth="1"/>
    <col min="6939" max="6939" width="14" style="1" customWidth="1"/>
    <col min="6940" max="6941" width="8.85546875" style="1" customWidth="1"/>
    <col min="6942" max="6942" width="10.140625" style="1" customWidth="1"/>
    <col min="6943" max="6944" width="9.5703125" style="1" customWidth="1"/>
    <col min="6945" max="6945" width="9.85546875" style="1" customWidth="1"/>
    <col min="6946" max="6947" width="10.140625" style="1" customWidth="1"/>
    <col min="6948" max="6950" width="9.28515625" style="1" customWidth="1"/>
    <col min="6951" max="6951" width="9.85546875" style="1" customWidth="1"/>
    <col min="6952" max="6953" width="8.5703125" style="1" customWidth="1"/>
    <col min="6954" max="6956" width="8.85546875" style="1" customWidth="1"/>
    <col min="6957" max="6957" width="9.28515625" style="1" customWidth="1"/>
    <col min="6958" max="6959" width="8.85546875" style="1" customWidth="1"/>
    <col min="6960" max="6960" width="10" style="1" customWidth="1"/>
    <col min="6961" max="6962" width="8.85546875" style="1" customWidth="1"/>
    <col min="6963" max="6963" width="11" style="1" customWidth="1"/>
    <col min="6964" max="6965" width="9.5703125" style="1" customWidth="1"/>
    <col min="6966" max="6968" width="8.85546875" style="1" customWidth="1"/>
    <col min="6969" max="6969" width="10.42578125" style="1" customWidth="1"/>
    <col min="6970" max="6971" width="8.85546875" style="1" customWidth="1"/>
    <col min="6972" max="6972" width="9.7109375" style="1" customWidth="1"/>
    <col min="6973" max="6974" width="8.85546875" style="1" customWidth="1"/>
    <col min="6975" max="6975" width="9.28515625" style="1" customWidth="1"/>
    <col min="6976" max="6996" width="8.85546875" style="1" customWidth="1"/>
    <col min="6997" max="6997" width="9.85546875" style="1" customWidth="1"/>
    <col min="6998" max="6998" width="8.85546875" style="1" customWidth="1"/>
    <col min="6999" max="6999" width="10" style="1" customWidth="1"/>
    <col min="7000" max="7016" width="8.85546875" style="1" customWidth="1"/>
    <col min="7017" max="7017" width="9.42578125" style="1" customWidth="1"/>
    <col min="7018" max="7018" width="8.85546875" style="1" customWidth="1"/>
    <col min="7019" max="7019" width="12" style="1" customWidth="1"/>
    <col min="7020" max="7020" width="11.140625" style="1" customWidth="1"/>
    <col min="7021" max="7021" width="28.7109375" style="1" customWidth="1"/>
    <col min="7022" max="7022" width="5.85546875" style="1" customWidth="1"/>
    <col min="7023" max="7172" width="9.140625" style="1"/>
    <col min="7173" max="7173" width="3.42578125" style="1" customWidth="1"/>
    <col min="7174" max="7174" width="27.85546875" style="1" customWidth="1"/>
    <col min="7175" max="7175" width="11.85546875" style="1" customWidth="1"/>
    <col min="7176" max="7176" width="15.140625" style="1" customWidth="1"/>
    <col min="7177" max="7177" width="10.28515625" style="1" customWidth="1"/>
    <col min="7178" max="7179" width="9.7109375" style="1" customWidth="1"/>
    <col min="7180" max="7180" width="10.42578125" style="1" customWidth="1"/>
    <col min="7181" max="7181" width="10.42578125" style="1" bestFit="1" customWidth="1"/>
    <col min="7182" max="7182" width="16.28515625" style="1" customWidth="1"/>
    <col min="7183" max="7183" width="15.140625" style="1" customWidth="1"/>
    <col min="7184" max="7184" width="13.5703125" style="1" customWidth="1"/>
    <col min="7185" max="7185" width="10.5703125" style="1" customWidth="1"/>
    <col min="7186" max="7186" width="10.85546875" style="1" customWidth="1"/>
    <col min="7187" max="7187" width="18" style="1" customWidth="1"/>
    <col min="7188" max="7188" width="20.85546875" style="1" customWidth="1"/>
    <col min="7189" max="7189" width="13.5703125" style="1" customWidth="1"/>
    <col min="7190" max="7190" width="14.140625" style="1" customWidth="1"/>
    <col min="7191" max="7193" width="8.85546875" style="1" customWidth="1"/>
    <col min="7194" max="7194" width="9.28515625" style="1" customWidth="1"/>
    <col min="7195" max="7195" width="14" style="1" customWidth="1"/>
    <col min="7196" max="7197" width="8.85546875" style="1" customWidth="1"/>
    <col min="7198" max="7198" width="10.140625" style="1" customWidth="1"/>
    <col min="7199" max="7200" width="9.5703125" style="1" customWidth="1"/>
    <col min="7201" max="7201" width="9.85546875" style="1" customWidth="1"/>
    <col min="7202" max="7203" width="10.140625" style="1" customWidth="1"/>
    <col min="7204" max="7206" width="9.28515625" style="1" customWidth="1"/>
    <col min="7207" max="7207" width="9.85546875" style="1" customWidth="1"/>
    <col min="7208" max="7209" width="8.5703125" style="1" customWidth="1"/>
    <col min="7210" max="7212" width="8.85546875" style="1" customWidth="1"/>
    <col min="7213" max="7213" width="9.28515625" style="1" customWidth="1"/>
    <col min="7214" max="7215" width="8.85546875" style="1" customWidth="1"/>
    <col min="7216" max="7216" width="10" style="1" customWidth="1"/>
    <col min="7217" max="7218" width="8.85546875" style="1" customWidth="1"/>
    <col min="7219" max="7219" width="11" style="1" customWidth="1"/>
    <col min="7220" max="7221" width="9.5703125" style="1" customWidth="1"/>
    <col min="7222" max="7224" width="8.85546875" style="1" customWidth="1"/>
    <col min="7225" max="7225" width="10.42578125" style="1" customWidth="1"/>
    <col min="7226" max="7227" width="8.85546875" style="1" customWidth="1"/>
    <col min="7228" max="7228" width="9.7109375" style="1" customWidth="1"/>
    <col min="7229" max="7230" width="8.85546875" style="1" customWidth="1"/>
    <col min="7231" max="7231" width="9.28515625" style="1" customWidth="1"/>
    <col min="7232" max="7252" width="8.85546875" style="1" customWidth="1"/>
    <col min="7253" max="7253" width="9.85546875" style="1" customWidth="1"/>
    <col min="7254" max="7254" width="8.85546875" style="1" customWidth="1"/>
    <col min="7255" max="7255" width="10" style="1" customWidth="1"/>
    <col min="7256" max="7272" width="8.85546875" style="1" customWidth="1"/>
    <col min="7273" max="7273" width="9.42578125" style="1" customWidth="1"/>
    <col min="7274" max="7274" width="8.85546875" style="1" customWidth="1"/>
    <col min="7275" max="7275" width="12" style="1" customWidth="1"/>
    <col min="7276" max="7276" width="11.140625" style="1" customWidth="1"/>
    <col min="7277" max="7277" width="28.7109375" style="1" customWidth="1"/>
    <col min="7278" max="7278" width="5.85546875" style="1" customWidth="1"/>
    <col min="7279" max="7428" width="9.140625" style="1"/>
    <col min="7429" max="7429" width="3.42578125" style="1" customWidth="1"/>
    <col min="7430" max="7430" width="27.85546875" style="1" customWidth="1"/>
    <col min="7431" max="7431" width="11.85546875" style="1" customWidth="1"/>
    <col min="7432" max="7432" width="15.140625" style="1" customWidth="1"/>
    <col min="7433" max="7433" width="10.28515625" style="1" customWidth="1"/>
    <col min="7434" max="7435" width="9.7109375" style="1" customWidth="1"/>
    <col min="7436" max="7436" width="10.42578125" style="1" customWidth="1"/>
    <col min="7437" max="7437" width="10.42578125" style="1" bestFit="1" customWidth="1"/>
    <col min="7438" max="7438" width="16.28515625" style="1" customWidth="1"/>
    <col min="7439" max="7439" width="15.140625" style="1" customWidth="1"/>
    <col min="7440" max="7440" width="13.5703125" style="1" customWidth="1"/>
    <col min="7441" max="7441" width="10.5703125" style="1" customWidth="1"/>
    <col min="7442" max="7442" width="10.85546875" style="1" customWidth="1"/>
    <col min="7443" max="7443" width="18" style="1" customWidth="1"/>
    <col min="7444" max="7444" width="20.85546875" style="1" customWidth="1"/>
    <col min="7445" max="7445" width="13.5703125" style="1" customWidth="1"/>
    <col min="7446" max="7446" width="14.140625" style="1" customWidth="1"/>
    <col min="7447" max="7449" width="8.85546875" style="1" customWidth="1"/>
    <col min="7450" max="7450" width="9.28515625" style="1" customWidth="1"/>
    <col min="7451" max="7451" width="14" style="1" customWidth="1"/>
    <col min="7452" max="7453" width="8.85546875" style="1" customWidth="1"/>
    <col min="7454" max="7454" width="10.140625" style="1" customWidth="1"/>
    <col min="7455" max="7456" width="9.5703125" style="1" customWidth="1"/>
    <col min="7457" max="7457" width="9.85546875" style="1" customWidth="1"/>
    <col min="7458" max="7459" width="10.140625" style="1" customWidth="1"/>
    <col min="7460" max="7462" width="9.28515625" style="1" customWidth="1"/>
    <col min="7463" max="7463" width="9.85546875" style="1" customWidth="1"/>
    <col min="7464" max="7465" width="8.5703125" style="1" customWidth="1"/>
    <col min="7466" max="7468" width="8.85546875" style="1" customWidth="1"/>
    <col min="7469" max="7469" width="9.28515625" style="1" customWidth="1"/>
    <col min="7470" max="7471" width="8.85546875" style="1" customWidth="1"/>
    <col min="7472" max="7472" width="10" style="1" customWidth="1"/>
    <col min="7473" max="7474" width="8.85546875" style="1" customWidth="1"/>
    <col min="7475" max="7475" width="11" style="1" customWidth="1"/>
    <col min="7476" max="7477" width="9.5703125" style="1" customWidth="1"/>
    <col min="7478" max="7480" width="8.85546875" style="1" customWidth="1"/>
    <col min="7481" max="7481" width="10.42578125" style="1" customWidth="1"/>
    <col min="7482" max="7483" width="8.85546875" style="1" customWidth="1"/>
    <col min="7484" max="7484" width="9.7109375" style="1" customWidth="1"/>
    <col min="7485" max="7486" width="8.85546875" style="1" customWidth="1"/>
    <col min="7487" max="7487" width="9.28515625" style="1" customWidth="1"/>
    <col min="7488" max="7508" width="8.85546875" style="1" customWidth="1"/>
    <col min="7509" max="7509" width="9.85546875" style="1" customWidth="1"/>
    <col min="7510" max="7510" width="8.85546875" style="1" customWidth="1"/>
    <col min="7511" max="7511" width="10" style="1" customWidth="1"/>
    <col min="7512" max="7528" width="8.85546875" style="1" customWidth="1"/>
    <col min="7529" max="7529" width="9.42578125" style="1" customWidth="1"/>
    <col min="7530" max="7530" width="8.85546875" style="1" customWidth="1"/>
    <col min="7531" max="7531" width="12" style="1" customWidth="1"/>
    <col min="7532" max="7532" width="11.140625" style="1" customWidth="1"/>
    <col min="7533" max="7533" width="28.7109375" style="1" customWidth="1"/>
    <col min="7534" max="7534" width="5.85546875" style="1" customWidth="1"/>
    <col min="7535" max="7684" width="9.140625" style="1"/>
    <col min="7685" max="7685" width="3.42578125" style="1" customWidth="1"/>
    <col min="7686" max="7686" width="27.85546875" style="1" customWidth="1"/>
    <col min="7687" max="7687" width="11.85546875" style="1" customWidth="1"/>
    <col min="7688" max="7688" width="15.140625" style="1" customWidth="1"/>
    <col min="7689" max="7689" width="10.28515625" style="1" customWidth="1"/>
    <col min="7690" max="7691" width="9.7109375" style="1" customWidth="1"/>
    <col min="7692" max="7692" width="10.42578125" style="1" customWidth="1"/>
    <col min="7693" max="7693" width="10.42578125" style="1" bestFit="1" customWidth="1"/>
    <col min="7694" max="7694" width="16.28515625" style="1" customWidth="1"/>
    <col min="7695" max="7695" width="15.140625" style="1" customWidth="1"/>
    <col min="7696" max="7696" width="13.5703125" style="1" customWidth="1"/>
    <col min="7697" max="7697" width="10.5703125" style="1" customWidth="1"/>
    <col min="7698" max="7698" width="10.85546875" style="1" customWidth="1"/>
    <col min="7699" max="7699" width="18" style="1" customWidth="1"/>
    <col min="7700" max="7700" width="20.85546875" style="1" customWidth="1"/>
    <col min="7701" max="7701" width="13.5703125" style="1" customWidth="1"/>
    <col min="7702" max="7702" width="14.140625" style="1" customWidth="1"/>
    <col min="7703" max="7705" width="8.85546875" style="1" customWidth="1"/>
    <col min="7706" max="7706" width="9.28515625" style="1" customWidth="1"/>
    <col min="7707" max="7707" width="14" style="1" customWidth="1"/>
    <col min="7708" max="7709" width="8.85546875" style="1" customWidth="1"/>
    <col min="7710" max="7710" width="10.140625" style="1" customWidth="1"/>
    <col min="7711" max="7712" width="9.5703125" style="1" customWidth="1"/>
    <col min="7713" max="7713" width="9.85546875" style="1" customWidth="1"/>
    <col min="7714" max="7715" width="10.140625" style="1" customWidth="1"/>
    <col min="7716" max="7718" width="9.28515625" style="1" customWidth="1"/>
    <col min="7719" max="7719" width="9.85546875" style="1" customWidth="1"/>
    <col min="7720" max="7721" width="8.5703125" style="1" customWidth="1"/>
    <col min="7722" max="7724" width="8.85546875" style="1" customWidth="1"/>
    <col min="7725" max="7725" width="9.28515625" style="1" customWidth="1"/>
    <col min="7726" max="7727" width="8.85546875" style="1" customWidth="1"/>
    <col min="7728" max="7728" width="10" style="1" customWidth="1"/>
    <col min="7729" max="7730" width="8.85546875" style="1" customWidth="1"/>
    <col min="7731" max="7731" width="11" style="1" customWidth="1"/>
    <col min="7732" max="7733" width="9.5703125" style="1" customWidth="1"/>
    <col min="7734" max="7736" width="8.85546875" style="1" customWidth="1"/>
    <col min="7737" max="7737" width="10.42578125" style="1" customWidth="1"/>
    <col min="7738" max="7739" width="8.85546875" style="1" customWidth="1"/>
    <col min="7740" max="7740" width="9.7109375" style="1" customWidth="1"/>
    <col min="7741" max="7742" width="8.85546875" style="1" customWidth="1"/>
    <col min="7743" max="7743" width="9.28515625" style="1" customWidth="1"/>
    <col min="7744" max="7764" width="8.85546875" style="1" customWidth="1"/>
    <col min="7765" max="7765" width="9.85546875" style="1" customWidth="1"/>
    <col min="7766" max="7766" width="8.85546875" style="1" customWidth="1"/>
    <col min="7767" max="7767" width="10" style="1" customWidth="1"/>
    <col min="7768" max="7784" width="8.85546875" style="1" customWidth="1"/>
    <col min="7785" max="7785" width="9.42578125" style="1" customWidth="1"/>
    <col min="7786" max="7786" width="8.85546875" style="1" customWidth="1"/>
    <col min="7787" max="7787" width="12" style="1" customWidth="1"/>
    <col min="7788" max="7788" width="11.140625" style="1" customWidth="1"/>
    <col min="7789" max="7789" width="28.7109375" style="1" customWidth="1"/>
    <col min="7790" max="7790" width="5.85546875" style="1" customWidth="1"/>
    <col min="7791" max="7940" width="9.140625" style="1"/>
    <col min="7941" max="7941" width="3.42578125" style="1" customWidth="1"/>
    <col min="7942" max="7942" width="27.85546875" style="1" customWidth="1"/>
    <col min="7943" max="7943" width="11.85546875" style="1" customWidth="1"/>
    <col min="7944" max="7944" width="15.140625" style="1" customWidth="1"/>
    <col min="7945" max="7945" width="10.28515625" style="1" customWidth="1"/>
    <col min="7946" max="7947" width="9.7109375" style="1" customWidth="1"/>
    <col min="7948" max="7948" width="10.42578125" style="1" customWidth="1"/>
    <col min="7949" max="7949" width="10.42578125" style="1" bestFit="1" customWidth="1"/>
    <col min="7950" max="7950" width="16.28515625" style="1" customWidth="1"/>
    <col min="7951" max="7951" width="15.140625" style="1" customWidth="1"/>
    <col min="7952" max="7952" width="13.5703125" style="1" customWidth="1"/>
    <col min="7953" max="7953" width="10.5703125" style="1" customWidth="1"/>
    <col min="7954" max="7954" width="10.85546875" style="1" customWidth="1"/>
    <col min="7955" max="7955" width="18" style="1" customWidth="1"/>
    <col min="7956" max="7956" width="20.85546875" style="1" customWidth="1"/>
    <col min="7957" max="7957" width="13.5703125" style="1" customWidth="1"/>
    <col min="7958" max="7958" width="14.140625" style="1" customWidth="1"/>
    <col min="7959" max="7961" width="8.85546875" style="1" customWidth="1"/>
    <col min="7962" max="7962" width="9.28515625" style="1" customWidth="1"/>
    <col min="7963" max="7963" width="14" style="1" customWidth="1"/>
    <col min="7964" max="7965" width="8.85546875" style="1" customWidth="1"/>
    <col min="7966" max="7966" width="10.140625" style="1" customWidth="1"/>
    <col min="7967" max="7968" width="9.5703125" style="1" customWidth="1"/>
    <col min="7969" max="7969" width="9.85546875" style="1" customWidth="1"/>
    <col min="7970" max="7971" width="10.140625" style="1" customWidth="1"/>
    <col min="7972" max="7974" width="9.28515625" style="1" customWidth="1"/>
    <col min="7975" max="7975" width="9.85546875" style="1" customWidth="1"/>
    <col min="7976" max="7977" width="8.5703125" style="1" customWidth="1"/>
    <col min="7978" max="7980" width="8.85546875" style="1" customWidth="1"/>
    <col min="7981" max="7981" width="9.28515625" style="1" customWidth="1"/>
    <col min="7982" max="7983" width="8.85546875" style="1" customWidth="1"/>
    <col min="7984" max="7984" width="10" style="1" customWidth="1"/>
    <col min="7985" max="7986" width="8.85546875" style="1" customWidth="1"/>
    <col min="7987" max="7987" width="11" style="1" customWidth="1"/>
    <col min="7988" max="7989" width="9.5703125" style="1" customWidth="1"/>
    <col min="7990" max="7992" width="8.85546875" style="1" customWidth="1"/>
    <col min="7993" max="7993" width="10.42578125" style="1" customWidth="1"/>
    <col min="7994" max="7995" width="8.85546875" style="1" customWidth="1"/>
    <col min="7996" max="7996" width="9.7109375" style="1" customWidth="1"/>
    <col min="7997" max="7998" width="8.85546875" style="1" customWidth="1"/>
    <col min="7999" max="7999" width="9.28515625" style="1" customWidth="1"/>
    <col min="8000" max="8020" width="8.85546875" style="1" customWidth="1"/>
    <col min="8021" max="8021" width="9.85546875" style="1" customWidth="1"/>
    <col min="8022" max="8022" width="8.85546875" style="1" customWidth="1"/>
    <col min="8023" max="8023" width="10" style="1" customWidth="1"/>
    <col min="8024" max="8040" width="8.85546875" style="1" customWidth="1"/>
    <col min="8041" max="8041" width="9.42578125" style="1" customWidth="1"/>
    <col min="8042" max="8042" width="8.85546875" style="1" customWidth="1"/>
    <col min="8043" max="8043" width="12" style="1" customWidth="1"/>
    <col min="8044" max="8044" width="11.140625" style="1" customWidth="1"/>
    <col min="8045" max="8045" width="28.7109375" style="1" customWidth="1"/>
    <col min="8046" max="8046" width="5.85546875" style="1" customWidth="1"/>
    <col min="8047" max="8196" width="9.140625" style="1"/>
    <col min="8197" max="8197" width="3.42578125" style="1" customWidth="1"/>
    <col min="8198" max="8198" width="27.85546875" style="1" customWidth="1"/>
    <col min="8199" max="8199" width="11.85546875" style="1" customWidth="1"/>
    <col min="8200" max="8200" width="15.140625" style="1" customWidth="1"/>
    <col min="8201" max="8201" width="10.28515625" style="1" customWidth="1"/>
    <col min="8202" max="8203" width="9.7109375" style="1" customWidth="1"/>
    <col min="8204" max="8204" width="10.42578125" style="1" customWidth="1"/>
    <col min="8205" max="8205" width="10.42578125" style="1" bestFit="1" customWidth="1"/>
    <col min="8206" max="8206" width="16.28515625" style="1" customWidth="1"/>
    <col min="8207" max="8207" width="15.140625" style="1" customWidth="1"/>
    <col min="8208" max="8208" width="13.5703125" style="1" customWidth="1"/>
    <col min="8209" max="8209" width="10.5703125" style="1" customWidth="1"/>
    <col min="8210" max="8210" width="10.85546875" style="1" customWidth="1"/>
    <col min="8211" max="8211" width="18" style="1" customWidth="1"/>
    <col min="8212" max="8212" width="20.85546875" style="1" customWidth="1"/>
    <col min="8213" max="8213" width="13.5703125" style="1" customWidth="1"/>
    <col min="8214" max="8214" width="14.140625" style="1" customWidth="1"/>
    <col min="8215" max="8217" width="8.85546875" style="1" customWidth="1"/>
    <col min="8218" max="8218" width="9.28515625" style="1" customWidth="1"/>
    <col min="8219" max="8219" width="14" style="1" customWidth="1"/>
    <col min="8220" max="8221" width="8.85546875" style="1" customWidth="1"/>
    <col min="8222" max="8222" width="10.140625" style="1" customWidth="1"/>
    <col min="8223" max="8224" width="9.5703125" style="1" customWidth="1"/>
    <col min="8225" max="8225" width="9.85546875" style="1" customWidth="1"/>
    <col min="8226" max="8227" width="10.140625" style="1" customWidth="1"/>
    <col min="8228" max="8230" width="9.28515625" style="1" customWidth="1"/>
    <col min="8231" max="8231" width="9.85546875" style="1" customWidth="1"/>
    <col min="8232" max="8233" width="8.5703125" style="1" customWidth="1"/>
    <col min="8234" max="8236" width="8.85546875" style="1" customWidth="1"/>
    <col min="8237" max="8237" width="9.28515625" style="1" customWidth="1"/>
    <col min="8238" max="8239" width="8.85546875" style="1" customWidth="1"/>
    <col min="8240" max="8240" width="10" style="1" customWidth="1"/>
    <col min="8241" max="8242" width="8.85546875" style="1" customWidth="1"/>
    <col min="8243" max="8243" width="11" style="1" customWidth="1"/>
    <col min="8244" max="8245" width="9.5703125" style="1" customWidth="1"/>
    <col min="8246" max="8248" width="8.85546875" style="1" customWidth="1"/>
    <col min="8249" max="8249" width="10.42578125" style="1" customWidth="1"/>
    <col min="8250" max="8251" width="8.85546875" style="1" customWidth="1"/>
    <col min="8252" max="8252" width="9.7109375" style="1" customWidth="1"/>
    <col min="8253" max="8254" width="8.85546875" style="1" customWidth="1"/>
    <col min="8255" max="8255" width="9.28515625" style="1" customWidth="1"/>
    <col min="8256" max="8276" width="8.85546875" style="1" customWidth="1"/>
    <col min="8277" max="8277" width="9.85546875" style="1" customWidth="1"/>
    <col min="8278" max="8278" width="8.85546875" style="1" customWidth="1"/>
    <col min="8279" max="8279" width="10" style="1" customWidth="1"/>
    <col min="8280" max="8296" width="8.85546875" style="1" customWidth="1"/>
    <col min="8297" max="8297" width="9.42578125" style="1" customWidth="1"/>
    <col min="8298" max="8298" width="8.85546875" style="1" customWidth="1"/>
    <col min="8299" max="8299" width="12" style="1" customWidth="1"/>
    <col min="8300" max="8300" width="11.140625" style="1" customWidth="1"/>
    <col min="8301" max="8301" width="28.7109375" style="1" customWidth="1"/>
    <col min="8302" max="8302" width="5.85546875" style="1" customWidth="1"/>
    <col min="8303" max="8452" width="9.140625" style="1"/>
    <col min="8453" max="8453" width="3.42578125" style="1" customWidth="1"/>
    <col min="8454" max="8454" width="27.85546875" style="1" customWidth="1"/>
    <col min="8455" max="8455" width="11.85546875" style="1" customWidth="1"/>
    <col min="8456" max="8456" width="15.140625" style="1" customWidth="1"/>
    <col min="8457" max="8457" width="10.28515625" style="1" customWidth="1"/>
    <col min="8458" max="8459" width="9.7109375" style="1" customWidth="1"/>
    <col min="8460" max="8460" width="10.42578125" style="1" customWidth="1"/>
    <col min="8461" max="8461" width="10.42578125" style="1" bestFit="1" customWidth="1"/>
    <col min="8462" max="8462" width="16.28515625" style="1" customWidth="1"/>
    <col min="8463" max="8463" width="15.140625" style="1" customWidth="1"/>
    <col min="8464" max="8464" width="13.5703125" style="1" customWidth="1"/>
    <col min="8465" max="8465" width="10.5703125" style="1" customWidth="1"/>
    <col min="8466" max="8466" width="10.85546875" style="1" customWidth="1"/>
    <col min="8467" max="8467" width="18" style="1" customWidth="1"/>
    <col min="8468" max="8468" width="20.85546875" style="1" customWidth="1"/>
    <col min="8469" max="8469" width="13.5703125" style="1" customWidth="1"/>
    <col min="8470" max="8470" width="14.140625" style="1" customWidth="1"/>
    <col min="8471" max="8473" width="8.85546875" style="1" customWidth="1"/>
    <col min="8474" max="8474" width="9.28515625" style="1" customWidth="1"/>
    <col min="8475" max="8475" width="14" style="1" customWidth="1"/>
    <col min="8476" max="8477" width="8.85546875" style="1" customWidth="1"/>
    <col min="8478" max="8478" width="10.140625" style="1" customWidth="1"/>
    <col min="8479" max="8480" width="9.5703125" style="1" customWidth="1"/>
    <col min="8481" max="8481" width="9.85546875" style="1" customWidth="1"/>
    <col min="8482" max="8483" width="10.140625" style="1" customWidth="1"/>
    <col min="8484" max="8486" width="9.28515625" style="1" customWidth="1"/>
    <col min="8487" max="8487" width="9.85546875" style="1" customWidth="1"/>
    <col min="8488" max="8489" width="8.5703125" style="1" customWidth="1"/>
    <col min="8490" max="8492" width="8.85546875" style="1" customWidth="1"/>
    <col min="8493" max="8493" width="9.28515625" style="1" customWidth="1"/>
    <col min="8494" max="8495" width="8.85546875" style="1" customWidth="1"/>
    <col min="8496" max="8496" width="10" style="1" customWidth="1"/>
    <col min="8497" max="8498" width="8.85546875" style="1" customWidth="1"/>
    <col min="8499" max="8499" width="11" style="1" customWidth="1"/>
    <col min="8500" max="8501" width="9.5703125" style="1" customWidth="1"/>
    <col min="8502" max="8504" width="8.85546875" style="1" customWidth="1"/>
    <col min="8505" max="8505" width="10.42578125" style="1" customWidth="1"/>
    <col min="8506" max="8507" width="8.85546875" style="1" customWidth="1"/>
    <col min="8508" max="8508" width="9.7109375" style="1" customWidth="1"/>
    <col min="8509" max="8510" width="8.85546875" style="1" customWidth="1"/>
    <col min="8511" max="8511" width="9.28515625" style="1" customWidth="1"/>
    <col min="8512" max="8532" width="8.85546875" style="1" customWidth="1"/>
    <col min="8533" max="8533" width="9.85546875" style="1" customWidth="1"/>
    <col min="8534" max="8534" width="8.85546875" style="1" customWidth="1"/>
    <col min="8535" max="8535" width="10" style="1" customWidth="1"/>
    <col min="8536" max="8552" width="8.85546875" style="1" customWidth="1"/>
    <col min="8553" max="8553" width="9.42578125" style="1" customWidth="1"/>
    <col min="8554" max="8554" width="8.85546875" style="1" customWidth="1"/>
    <col min="8555" max="8555" width="12" style="1" customWidth="1"/>
    <col min="8556" max="8556" width="11.140625" style="1" customWidth="1"/>
    <col min="8557" max="8557" width="28.7109375" style="1" customWidth="1"/>
    <col min="8558" max="8558" width="5.85546875" style="1" customWidth="1"/>
    <col min="8559" max="8708" width="9.140625" style="1"/>
    <col min="8709" max="8709" width="3.42578125" style="1" customWidth="1"/>
    <col min="8710" max="8710" width="27.85546875" style="1" customWidth="1"/>
    <col min="8711" max="8711" width="11.85546875" style="1" customWidth="1"/>
    <col min="8712" max="8712" width="15.140625" style="1" customWidth="1"/>
    <col min="8713" max="8713" width="10.28515625" style="1" customWidth="1"/>
    <col min="8714" max="8715" width="9.7109375" style="1" customWidth="1"/>
    <col min="8716" max="8716" width="10.42578125" style="1" customWidth="1"/>
    <col min="8717" max="8717" width="10.42578125" style="1" bestFit="1" customWidth="1"/>
    <col min="8718" max="8718" width="16.28515625" style="1" customWidth="1"/>
    <col min="8719" max="8719" width="15.140625" style="1" customWidth="1"/>
    <col min="8720" max="8720" width="13.5703125" style="1" customWidth="1"/>
    <col min="8721" max="8721" width="10.5703125" style="1" customWidth="1"/>
    <col min="8722" max="8722" width="10.85546875" style="1" customWidth="1"/>
    <col min="8723" max="8723" width="18" style="1" customWidth="1"/>
    <col min="8724" max="8724" width="20.85546875" style="1" customWidth="1"/>
    <col min="8725" max="8725" width="13.5703125" style="1" customWidth="1"/>
    <col min="8726" max="8726" width="14.140625" style="1" customWidth="1"/>
    <col min="8727" max="8729" width="8.85546875" style="1" customWidth="1"/>
    <col min="8730" max="8730" width="9.28515625" style="1" customWidth="1"/>
    <col min="8731" max="8731" width="14" style="1" customWidth="1"/>
    <col min="8732" max="8733" width="8.85546875" style="1" customWidth="1"/>
    <col min="8734" max="8734" width="10.140625" style="1" customWidth="1"/>
    <col min="8735" max="8736" width="9.5703125" style="1" customWidth="1"/>
    <col min="8737" max="8737" width="9.85546875" style="1" customWidth="1"/>
    <col min="8738" max="8739" width="10.140625" style="1" customWidth="1"/>
    <col min="8740" max="8742" width="9.28515625" style="1" customWidth="1"/>
    <col min="8743" max="8743" width="9.85546875" style="1" customWidth="1"/>
    <col min="8744" max="8745" width="8.5703125" style="1" customWidth="1"/>
    <col min="8746" max="8748" width="8.85546875" style="1" customWidth="1"/>
    <col min="8749" max="8749" width="9.28515625" style="1" customWidth="1"/>
    <col min="8750" max="8751" width="8.85546875" style="1" customWidth="1"/>
    <col min="8752" max="8752" width="10" style="1" customWidth="1"/>
    <col min="8753" max="8754" width="8.85546875" style="1" customWidth="1"/>
    <col min="8755" max="8755" width="11" style="1" customWidth="1"/>
    <col min="8756" max="8757" width="9.5703125" style="1" customWidth="1"/>
    <col min="8758" max="8760" width="8.85546875" style="1" customWidth="1"/>
    <col min="8761" max="8761" width="10.42578125" style="1" customWidth="1"/>
    <col min="8762" max="8763" width="8.85546875" style="1" customWidth="1"/>
    <col min="8764" max="8764" width="9.7109375" style="1" customWidth="1"/>
    <col min="8765" max="8766" width="8.85546875" style="1" customWidth="1"/>
    <col min="8767" max="8767" width="9.28515625" style="1" customWidth="1"/>
    <col min="8768" max="8788" width="8.85546875" style="1" customWidth="1"/>
    <col min="8789" max="8789" width="9.85546875" style="1" customWidth="1"/>
    <col min="8790" max="8790" width="8.85546875" style="1" customWidth="1"/>
    <col min="8791" max="8791" width="10" style="1" customWidth="1"/>
    <col min="8792" max="8808" width="8.85546875" style="1" customWidth="1"/>
    <col min="8809" max="8809" width="9.42578125" style="1" customWidth="1"/>
    <col min="8810" max="8810" width="8.85546875" style="1" customWidth="1"/>
    <col min="8811" max="8811" width="12" style="1" customWidth="1"/>
    <col min="8812" max="8812" width="11.140625" style="1" customWidth="1"/>
    <col min="8813" max="8813" width="28.7109375" style="1" customWidth="1"/>
    <col min="8814" max="8814" width="5.85546875" style="1" customWidth="1"/>
    <col min="8815" max="8964" width="9.140625" style="1"/>
    <col min="8965" max="8965" width="3.42578125" style="1" customWidth="1"/>
    <col min="8966" max="8966" width="27.85546875" style="1" customWidth="1"/>
    <col min="8967" max="8967" width="11.85546875" style="1" customWidth="1"/>
    <col min="8968" max="8968" width="15.140625" style="1" customWidth="1"/>
    <col min="8969" max="8969" width="10.28515625" style="1" customWidth="1"/>
    <col min="8970" max="8971" width="9.7109375" style="1" customWidth="1"/>
    <col min="8972" max="8972" width="10.42578125" style="1" customWidth="1"/>
    <col min="8973" max="8973" width="10.42578125" style="1" bestFit="1" customWidth="1"/>
    <col min="8974" max="8974" width="16.28515625" style="1" customWidth="1"/>
    <col min="8975" max="8975" width="15.140625" style="1" customWidth="1"/>
    <col min="8976" max="8976" width="13.5703125" style="1" customWidth="1"/>
    <col min="8977" max="8977" width="10.5703125" style="1" customWidth="1"/>
    <col min="8978" max="8978" width="10.85546875" style="1" customWidth="1"/>
    <col min="8979" max="8979" width="18" style="1" customWidth="1"/>
    <col min="8980" max="8980" width="20.85546875" style="1" customWidth="1"/>
    <col min="8981" max="8981" width="13.5703125" style="1" customWidth="1"/>
    <col min="8982" max="8982" width="14.140625" style="1" customWidth="1"/>
    <col min="8983" max="8985" width="8.85546875" style="1" customWidth="1"/>
    <col min="8986" max="8986" width="9.28515625" style="1" customWidth="1"/>
    <col min="8987" max="8987" width="14" style="1" customWidth="1"/>
    <col min="8988" max="8989" width="8.85546875" style="1" customWidth="1"/>
    <col min="8990" max="8990" width="10.140625" style="1" customWidth="1"/>
    <col min="8991" max="8992" width="9.5703125" style="1" customWidth="1"/>
    <col min="8993" max="8993" width="9.85546875" style="1" customWidth="1"/>
    <col min="8994" max="8995" width="10.140625" style="1" customWidth="1"/>
    <col min="8996" max="8998" width="9.28515625" style="1" customWidth="1"/>
    <col min="8999" max="8999" width="9.85546875" style="1" customWidth="1"/>
    <col min="9000" max="9001" width="8.5703125" style="1" customWidth="1"/>
    <col min="9002" max="9004" width="8.85546875" style="1" customWidth="1"/>
    <col min="9005" max="9005" width="9.28515625" style="1" customWidth="1"/>
    <col min="9006" max="9007" width="8.85546875" style="1" customWidth="1"/>
    <col min="9008" max="9008" width="10" style="1" customWidth="1"/>
    <col min="9009" max="9010" width="8.85546875" style="1" customWidth="1"/>
    <col min="9011" max="9011" width="11" style="1" customWidth="1"/>
    <col min="9012" max="9013" width="9.5703125" style="1" customWidth="1"/>
    <col min="9014" max="9016" width="8.85546875" style="1" customWidth="1"/>
    <col min="9017" max="9017" width="10.42578125" style="1" customWidth="1"/>
    <col min="9018" max="9019" width="8.85546875" style="1" customWidth="1"/>
    <col min="9020" max="9020" width="9.7109375" style="1" customWidth="1"/>
    <col min="9021" max="9022" width="8.85546875" style="1" customWidth="1"/>
    <col min="9023" max="9023" width="9.28515625" style="1" customWidth="1"/>
    <col min="9024" max="9044" width="8.85546875" style="1" customWidth="1"/>
    <col min="9045" max="9045" width="9.85546875" style="1" customWidth="1"/>
    <col min="9046" max="9046" width="8.85546875" style="1" customWidth="1"/>
    <col min="9047" max="9047" width="10" style="1" customWidth="1"/>
    <col min="9048" max="9064" width="8.85546875" style="1" customWidth="1"/>
    <col min="9065" max="9065" width="9.42578125" style="1" customWidth="1"/>
    <col min="9066" max="9066" width="8.85546875" style="1" customWidth="1"/>
    <col min="9067" max="9067" width="12" style="1" customWidth="1"/>
    <col min="9068" max="9068" width="11.140625" style="1" customWidth="1"/>
    <col min="9069" max="9069" width="28.7109375" style="1" customWidth="1"/>
    <col min="9070" max="9070" width="5.85546875" style="1" customWidth="1"/>
    <col min="9071" max="9220" width="9.140625" style="1"/>
    <col min="9221" max="9221" width="3.42578125" style="1" customWidth="1"/>
    <col min="9222" max="9222" width="27.85546875" style="1" customWidth="1"/>
    <col min="9223" max="9223" width="11.85546875" style="1" customWidth="1"/>
    <col min="9224" max="9224" width="15.140625" style="1" customWidth="1"/>
    <col min="9225" max="9225" width="10.28515625" style="1" customWidth="1"/>
    <col min="9226" max="9227" width="9.7109375" style="1" customWidth="1"/>
    <col min="9228" max="9228" width="10.42578125" style="1" customWidth="1"/>
    <col min="9229" max="9229" width="10.42578125" style="1" bestFit="1" customWidth="1"/>
    <col min="9230" max="9230" width="16.28515625" style="1" customWidth="1"/>
    <col min="9231" max="9231" width="15.140625" style="1" customWidth="1"/>
    <col min="9232" max="9232" width="13.5703125" style="1" customWidth="1"/>
    <col min="9233" max="9233" width="10.5703125" style="1" customWidth="1"/>
    <col min="9234" max="9234" width="10.85546875" style="1" customWidth="1"/>
    <col min="9235" max="9235" width="18" style="1" customWidth="1"/>
    <col min="9236" max="9236" width="20.85546875" style="1" customWidth="1"/>
    <col min="9237" max="9237" width="13.5703125" style="1" customWidth="1"/>
    <col min="9238" max="9238" width="14.140625" style="1" customWidth="1"/>
    <col min="9239" max="9241" width="8.85546875" style="1" customWidth="1"/>
    <col min="9242" max="9242" width="9.28515625" style="1" customWidth="1"/>
    <col min="9243" max="9243" width="14" style="1" customWidth="1"/>
    <col min="9244" max="9245" width="8.85546875" style="1" customWidth="1"/>
    <col min="9246" max="9246" width="10.140625" style="1" customWidth="1"/>
    <col min="9247" max="9248" width="9.5703125" style="1" customWidth="1"/>
    <col min="9249" max="9249" width="9.85546875" style="1" customWidth="1"/>
    <col min="9250" max="9251" width="10.140625" style="1" customWidth="1"/>
    <col min="9252" max="9254" width="9.28515625" style="1" customWidth="1"/>
    <col min="9255" max="9255" width="9.85546875" style="1" customWidth="1"/>
    <col min="9256" max="9257" width="8.5703125" style="1" customWidth="1"/>
    <col min="9258" max="9260" width="8.85546875" style="1" customWidth="1"/>
    <col min="9261" max="9261" width="9.28515625" style="1" customWidth="1"/>
    <col min="9262" max="9263" width="8.85546875" style="1" customWidth="1"/>
    <col min="9264" max="9264" width="10" style="1" customWidth="1"/>
    <col min="9265" max="9266" width="8.85546875" style="1" customWidth="1"/>
    <col min="9267" max="9267" width="11" style="1" customWidth="1"/>
    <col min="9268" max="9269" width="9.5703125" style="1" customWidth="1"/>
    <col min="9270" max="9272" width="8.85546875" style="1" customWidth="1"/>
    <col min="9273" max="9273" width="10.42578125" style="1" customWidth="1"/>
    <col min="9274" max="9275" width="8.85546875" style="1" customWidth="1"/>
    <col min="9276" max="9276" width="9.7109375" style="1" customWidth="1"/>
    <col min="9277" max="9278" width="8.85546875" style="1" customWidth="1"/>
    <col min="9279" max="9279" width="9.28515625" style="1" customWidth="1"/>
    <col min="9280" max="9300" width="8.85546875" style="1" customWidth="1"/>
    <col min="9301" max="9301" width="9.85546875" style="1" customWidth="1"/>
    <col min="9302" max="9302" width="8.85546875" style="1" customWidth="1"/>
    <col min="9303" max="9303" width="10" style="1" customWidth="1"/>
    <col min="9304" max="9320" width="8.85546875" style="1" customWidth="1"/>
    <col min="9321" max="9321" width="9.42578125" style="1" customWidth="1"/>
    <col min="9322" max="9322" width="8.85546875" style="1" customWidth="1"/>
    <col min="9323" max="9323" width="12" style="1" customWidth="1"/>
    <col min="9324" max="9324" width="11.140625" style="1" customWidth="1"/>
    <col min="9325" max="9325" width="28.7109375" style="1" customWidth="1"/>
    <col min="9326" max="9326" width="5.85546875" style="1" customWidth="1"/>
    <col min="9327" max="9476" width="9.140625" style="1"/>
    <col min="9477" max="9477" width="3.42578125" style="1" customWidth="1"/>
    <col min="9478" max="9478" width="27.85546875" style="1" customWidth="1"/>
    <col min="9479" max="9479" width="11.85546875" style="1" customWidth="1"/>
    <col min="9480" max="9480" width="15.140625" style="1" customWidth="1"/>
    <col min="9481" max="9481" width="10.28515625" style="1" customWidth="1"/>
    <col min="9482" max="9483" width="9.7109375" style="1" customWidth="1"/>
    <col min="9484" max="9484" width="10.42578125" style="1" customWidth="1"/>
    <col min="9485" max="9485" width="10.42578125" style="1" bestFit="1" customWidth="1"/>
    <col min="9486" max="9486" width="16.28515625" style="1" customWidth="1"/>
    <col min="9487" max="9487" width="15.140625" style="1" customWidth="1"/>
    <col min="9488" max="9488" width="13.5703125" style="1" customWidth="1"/>
    <col min="9489" max="9489" width="10.5703125" style="1" customWidth="1"/>
    <col min="9490" max="9490" width="10.85546875" style="1" customWidth="1"/>
    <col min="9491" max="9491" width="18" style="1" customWidth="1"/>
    <col min="9492" max="9492" width="20.85546875" style="1" customWidth="1"/>
    <col min="9493" max="9493" width="13.5703125" style="1" customWidth="1"/>
    <col min="9494" max="9494" width="14.140625" style="1" customWidth="1"/>
    <col min="9495" max="9497" width="8.85546875" style="1" customWidth="1"/>
    <col min="9498" max="9498" width="9.28515625" style="1" customWidth="1"/>
    <col min="9499" max="9499" width="14" style="1" customWidth="1"/>
    <col min="9500" max="9501" width="8.85546875" style="1" customWidth="1"/>
    <col min="9502" max="9502" width="10.140625" style="1" customWidth="1"/>
    <col min="9503" max="9504" width="9.5703125" style="1" customWidth="1"/>
    <col min="9505" max="9505" width="9.85546875" style="1" customWidth="1"/>
    <col min="9506" max="9507" width="10.140625" style="1" customWidth="1"/>
    <col min="9508" max="9510" width="9.28515625" style="1" customWidth="1"/>
    <col min="9511" max="9511" width="9.85546875" style="1" customWidth="1"/>
    <col min="9512" max="9513" width="8.5703125" style="1" customWidth="1"/>
    <col min="9514" max="9516" width="8.85546875" style="1" customWidth="1"/>
    <col min="9517" max="9517" width="9.28515625" style="1" customWidth="1"/>
    <col min="9518" max="9519" width="8.85546875" style="1" customWidth="1"/>
    <col min="9520" max="9520" width="10" style="1" customWidth="1"/>
    <col min="9521" max="9522" width="8.85546875" style="1" customWidth="1"/>
    <col min="9523" max="9523" width="11" style="1" customWidth="1"/>
    <col min="9524" max="9525" width="9.5703125" style="1" customWidth="1"/>
    <col min="9526" max="9528" width="8.85546875" style="1" customWidth="1"/>
    <col min="9529" max="9529" width="10.42578125" style="1" customWidth="1"/>
    <col min="9530" max="9531" width="8.85546875" style="1" customWidth="1"/>
    <col min="9532" max="9532" width="9.7109375" style="1" customWidth="1"/>
    <col min="9533" max="9534" width="8.85546875" style="1" customWidth="1"/>
    <col min="9535" max="9535" width="9.28515625" style="1" customWidth="1"/>
    <col min="9536" max="9556" width="8.85546875" style="1" customWidth="1"/>
    <col min="9557" max="9557" width="9.85546875" style="1" customWidth="1"/>
    <col min="9558" max="9558" width="8.85546875" style="1" customWidth="1"/>
    <col min="9559" max="9559" width="10" style="1" customWidth="1"/>
    <col min="9560" max="9576" width="8.85546875" style="1" customWidth="1"/>
    <col min="9577" max="9577" width="9.42578125" style="1" customWidth="1"/>
    <col min="9578" max="9578" width="8.85546875" style="1" customWidth="1"/>
    <col min="9579" max="9579" width="12" style="1" customWidth="1"/>
    <col min="9580" max="9580" width="11.140625" style="1" customWidth="1"/>
    <col min="9581" max="9581" width="28.7109375" style="1" customWidth="1"/>
    <col min="9582" max="9582" width="5.85546875" style="1" customWidth="1"/>
    <col min="9583" max="9732" width="9.140625" style="1"/>
    <col min="9733" max="9733" width="3.42578125" style="1" customWidth="1"/>
    <col min="9734" max="9734" width="27.85546875" style="1" customWidth="1"/>
    <col min="9735" max="9735" width="11.85546875" style="1" customWidth="1"/>
    <col min="9736" max="9736" width="15.140625" style="1" customWidth="1"/>
    <col min="9737" max="9737" width="10.28515625" style="1" customWidth="1"/>
    <col min="9738" max="9739" width="9.7109375" style="1" customWidth="1"/>
    <col min="9740" max="9740" width="10.42578125" style="1" customWidth="1"/>
    <col min="9741" max="9741" width="10.42578125" style="1" bestFit="1" customWidth="1"/>
    <col min="9742" max="9742" width="16.28515625" style="1" customWidth="1"/>
    <col min="9743" max="9743" width="15.140625" style="1" customWidth="1"/>
    <col min="9744" max="9744" width="13.5703125" style="1" customWidth="1"/>
    <col min="9745" max="9745" width="10.5703125" style="1" customWidth="1"/>
    <col min="9746" max="9746" width="10.85546875" style="1" customWidth="1"/>
    <col min="9747" max="9747" width="18" style="1" customWidth="1"/>
    <col min="9748" max="9748" width="20.85546875" style="1" customWidth="1"/>
    <col min="9749" max="9749" width="13.5703125" style="1" customWidth="1"/>
    <col min="9750" max="9750" width="14.140625" style="1" customWidth="1"/>
    <col min="9751" max="9753" width="8.85546875" style="1" customWidth="1"/>
    <col min="9754" max="9754" width="9.28515625" style="1" customWidth="1"/>
    <col min="9755" max="9755" width="14" style="1" customWidth="1"/>
    <col min="9756" max="9757" width="8.85546875" style="1" customWidth="1"/>
    <col min="9758" max="9758" width="10.140625" style="1" customWidth="1"/>
    <col min="9759" max="9760" width="9.5703125" style="1" customWidth="1"/>
    <col min="9761" max="9761" width="9.85546875" style="1" customWidth="1"/>
    <col min="9762" max="9763" width="10.140625" style="1" customWidth="1"/>
    <col min="9764" max="9766" width="9.28515625" style="1" customWidth="1"/>
    <col min="9767" max="9767" width="9.85546875" style="1" customWidth="1"/>
    <col min="9768" max="9769" width="8.5703125" style="1" customWidth="1"/>
    <col min="9770" max="9772" width="8.85546875" style="1" customWidth="1"/>
    <col min="9773" max="9773" width="9.28515625" style="1" customWidth="1"/>
    <col min="9774" max="9775" width="8.85546875" style="1" customWidth="1"/>
    <col min="9776" max="9776" width="10" style="1" customWidth="1"/>
    <col min="9777" max="9778" width="8.85546875" style="1" customWidth="1"/>
    <col min="9779" max="9779" width="11" style="1" customWidth="1"/>
    <col min="9780" max="9781" width="9.5703125" style="1" customWidth="1"/>
    <col min="9782" max="9784" width="8.85546875" style="1" customWidth="1"/>
    <col min="9785" max="9785" width="10.42578125" style="1" customWidth="1"/>
    <col min="9786" max="9787" width="8.85546875" style="1" customWidth="1"/>
    <col min="9788" max="9788" width="9.7109375" style="1" customWidth="1"/>
    <col min="9789" max="9790" width="8.85546875" style="1" customWidth="1"/>
    <col min="9791" max="9791" width="9.28515625" style="1" customWidth="1"/>
    <col min="9792" max="9812" width="8.85546875" style="1" customWidth="1"/>
    <col min="9813" max="9813" width="9.85546875" style="1" customWidth="1"/>
    <col min="9814" max="9814" width="8.85546875" style="1" customWidth="1"/>
    <col min="9815" max="9815" width="10" style="1" customWidth="1"/>
    <col min="9816" max="9832" width="8.85546875" style="1" customWidth="1"/>
    <col min="9833" max="9833" width="9.42578125" style="1" customWidth="1"/>
    <col min="9834" max="9834" width="8.85546875" style="1" customWidth="1"/>
    <col min="9835" max="9835" width="12" style="1" customWidth="1"/>
    <col min="9836" max="9836" width="11.140625" style="1" customWidth="1"/>
    <col min="9837" max="9837" width="28.7109375" style="1" customWidth="1"/>
    <col min="9838" max="9838" width="5.85546875" style="1" customWidth="1"/>
    <col min="9839" max="9988" width="9.140625" style="1"/>
    <col min="9989" max="9989" width="3.42578125" style="1" customWidth="1"/>
    <col min="9990" max="9990" width="27.85546875" style="1" customWidth="1"/>
    <col min="9991" max="9991" width="11.85546875" style="1" customWidth="1"/>
    <col min="9992" max="9992" width="15.140625" style="1" customWidth="1"/>
    <col min="9993" max="9993" width="10.28515625" style="1" customWidth="1"/>
    <col min="9994" max="9995" width="9.7109375" style="1" customWidth="1"/>
    <col min="9996" max="9996" width="10.42578125" style="1" customWidth="1"/>
    <col min="9997" max="9997" width="10.42578125" style="1" bestFit="1" customWidth="1"/>
    <col min="9998" max="9998" width="16.28515625" style="1" customWidth="1"/>
    <col min="9999" max="9999" width="15.140625" style="1" customWidth="1"/>
    <col min="10000" max="10000" width="13.5703125" style="1" customWidth="1"/>
    <col min="10001" max="10001" width="10.5703125" style="1" customWidth="1"/>
    <col min="10002" max="10002" width="10.85546875" style="1" customWidth="1"/>
    <col min="10003" max="10003" width="18" style="1" customWidth="1"/>
    <col min="10004" max="10004" width="20.85546875" style="1" customWidth="1"/>
    <col min="10005" max="10005" width="13.5703125" style="1" customWidth="1"/>
    <col min="10006" max="10006" width="14.140625" style="1" customWidth="1"/>
    <col min="10007" max="10009" width="8.85546875" style="1" customWidth="1"/>
    <col min="10010" max="10010" width="9.28515625" style="1" customWidth="1"/>
    <col min="10011" max="10011" width="14" style="1" customWidth="1"/>
    <col min="10012" max="10013" width="8.85546875" style="1" customWidth="1"/>
    <col min="10014" max="10014" width="10.140625" style="1" customWidth="1"/>
    <col min="10015" max="10016" width="9.5703125" style="1" customWidth="1"/>
    <col min="10017" max="10017" width="9.85546875" style="1" customWidth="1"/>
    <col min="10018" max="10019" width="10.140625" style="1" customWidth="1"/>
    <col min="10020" max="10022" width="9.28515625" style="1" customWidth="1"/>
    <col min="10023" max="10023" width="9.85546875" style="1" customWidth="1"/>
    <col min="10024" max="10025" width="8.5703125" style="1" customWidth="1"/>
    <col min="10026" max="10028" width="8.85546875" style="1" customWidth="1"/>
    <col min="10029" max="10029" width="9.28515625" style="1" customWidth="1"/>
    <col min="10030" max="10031" width="8.85546875" style="1" customWidth="1"/>
    <col min="10032" max="10032" width="10" style="1" customWidth="1"/>
    <col min="10033" max="10034" width="8.85546875" style="1" customWidth="1"/>
    <col min="10035" max="10035" width="11" style="1" customWidth="1"/>
    <col min="10036" max="10037" width="9.5703125" style="1" customWidth="1"/>
    <col min="10038" max="10040" width="8.85546875" style="1" customWidth="1"/>
    <col min="10041" max="10041" width="10.42578125" style="1" customWidth="1"/>
    <col min="10042" max="10043" width="8.85546875" style="1" customWidth="1"/>
    <col min="10044" max="10044" width="9.7109375" style="1" customWidth="1"/>
    <col min="10045" max="10046" width="8.85546875" style="1" customWidth="1"/>
    <col min="10047" max="10047" width="9.28515625" style="1" customWidth="1"/>
    <col min="10048" max="10068" width="8.85546875" style="1" customWidth="1"/>
    <col min="10069" max="10069" width="9.85546875" style="1" customWidth="1"/>
    <col min="10070" max="10070" width="8.85546875" style="1" customWidth="1"/>
    <col min="10071" max="10071" width="10" style="1" customWidth="1"/>
    <col min="10072" max="10088" width="8.85546875" style="1" customWidth="1"/>
    <col min="10089" max="10089" width="9.42578125" style="1" customWidth="1"/>
    <col min="10090" max="10090" width="8.85546875" style="1" customWidth="1"/>
    <col min="10091" max="10091" width="12" style="1" customWidth="1"/>
    <col min="10092" max="10092" width="11.140625" style="1" customWidth="1"/>
    <col min="10093" max="10093" width="28.7109375" style="1" customWidth="1"/>
    <col min="10094" max="10094" width="5.85546875" style="1" customWidth="1"/>
    <col min="10095" max="10244" width="9.140625" style="1"/>
    <col min="10245" max="10245" width="3.42578125" style="1" customWidth="1"/>
    <col min="10246" max="10246" width="27.85546875" style="1" customWidth="1"/>
    <col min="10247" max="10247" width="11.85546875" style="1" customWidth="1"/>
    <col min="10248" max="10248" width="15.140625" style="1" customWidth="1"/>
    <col min="10249" max="10249" width="10.28515625" style="1" customWidth="1"/>
    <col min="10250" max="10251" width="9.7109375" style="1" customWidth="1"/>
    <col min="10252" max="10252" width="10.42578125" style="1" customWidth="1"/>
    <col min="10253" max="10253" width="10.42578125" style="1" bestFit="1" customWidth="1"/>
    <col min="10254" max="10254" width="16.28515625" style="1" customWidth="1"/>
    <col min="10255" max="10255" width="15.140625" style="1" customWidth="1"/>
    <col min="10256" max="10256" width="13.5703125" style="1" customWidth="1"/>
    <col min="10257" max="10257" width="10.5703125" style="1" customWidth="1"/>
    <col min="10258" max="10258" width="10.85546875" style="1" customWidth="1"/>
    <col min="10259" max="10259" width="18" style="1" customWidth="1"/>
    <col min="10260" max="10260" width="20.85546875" style="1" customWidth="1"/>
    <col min="10261" max="10261" width="13.5703125" style="1" customWidth="1"/>
    <col min="10262" max="10262" width="14.140625" style="1" customWidth="1"/>
    <col min="10263" max="10265" width="8.85546875" style="1" customWidth="1"/>
    <col min="10266" max="10266" width="9.28515625" style="1" customWidth="1"/>
    <col min="10267" max="10267" width="14" style="1" customWidth="1"/>
    <col min="10268" max="10269" width="8.85546875" style="1" customWidth="1"/>
    <col min="10270" max="10270" width="10.140625" style="1" customWidth="1"/>
    <col min="10271" max="10272" width="9.5703125" style="1" customWidth="1"/>
    <col min="10273" max="10273" width="9.85546875" style="1" customWidth="1"/>
    <col min="10274" max="10275" width="10.140625" style="1" customWidth="1"/>
    <col min="10276" max="10278" width="9.28515625" style="1" customWidth="1"/>
    <col min="10279" max="10279" width="9.85546875" style="1" customWidth="1"/>
    <col min="10280" max="10281" width="8.5703125" style="1" customWidth="1"/>
    <col min="10282" max="10284" width="8.85546875" style="1" customWidth="1"/>
    <col min="10285" max="10285" width="9.28515625" style="1" customWidth="1"/>
    <col min="10286" max="10287" width="8.85546875" style="1" customWidth="1"/>
    <col min="10288" max="10288" width="10" style="1" customWidth="1"/>
    <col min="10289" max="10290" width="8.85546875" style="1" customWidth="1"/>
    <col min="10291" max="10291" width="11" style="1" customWidth="1"/>
    <col min="10292" max="10293" width="9.5703125" style="1" customWidth="1"/>
    <col min="10294" max="10296" width="8.85546875" style="1" customWidth="1"/>
    <col min="10297" max="10297" width="10.42578125" style="1" customWidth="1"/>
    <col min="10298" max="10299" width="8.85546875" style="1" customWidth="1"/>
    <col min="10300" max="10300" width="9.7109375" style="1" customWidth="1"/>
    <col min="10301" max="10302" width="8.85546875" style="1" customWidth="1"/>
    <col min="10303" max="10303" width="9.28515625" style="1" customWidth="1"/>
    <col min="10304" max="10324" width="8.85546875" style="1" customWidth="1"/>
    <col min="10325" max="10325" width="9.85546875" style="1" customWidth="1"/>
    <col min="10326" max="10326" width="8.85546875" style="1" customWidth="1"/>
    <col min="10327" max="10327" width="10" style="1" customWidth="1"/>
    <col min="10328" max="10344" width="8.85546875" style="1" customWidth="1"/>
    <col min="10345" max="10345" width="9.42578125" style="1" customWidth="1"/>
    <col min="10346" max="10346" width="8.85546875" style="1" customWidth="1"/>
    <col min="10347" max="10347" width="12" style="1" customWidth="1"/>
    <col min="10348" max="10348" width="11.140625" style="1" customWidth="1"/>
    <col min="10349" max="10349" width="28.7109375" style="1" customWidth="1"/>
    <col min="10350" max="10350" width="5.85546875" style="1" customWidth="1"/>
    <col min="10351" max="10500" width="9.140625" style="1"/>
    <col min="10501" max="10501" width="3.42578125" style="1" customWidth="1"/>
    <col min="10502" max="10502" width="27.85546875" style="1" customWidth="1"/>
    <col min="10503" max="10503" width="11.85546875" style="1" customWidth="1"/>
    <col min="10504" max="10504" width="15.140625" style="1" customWidth="1"/>
    <col min="10505" max="10505" width="10.28515625" style="1" customWidth="1"/>
    <col min="10506" max="10507" width="9.7109375" style="1" customWidth="1"/>
    <col min="10508" max="10508" width="10.42578125" style="1" customWidth="1"/>
    <col min="10509" max="10509" width="10.42578125" style="1" bestFit="1" customWidth="1"/>
    <col min="10510" max="10510" width="16.28515625" style="1" customWidth="1"/>
    <col min="10511" max="10511" width="15.140625" style="1" customWidth="1"/>
    <col min="10512" max="10512" width="13.5703125" style="1" customWidth="1"/>
    <col min="10513" max="10513" width="10.5703125" style="1" customWidth="1"/>
    <col min="10514" max="10514" width="10.85546875" style="1" customWidth="1"/>
    <col min="10515" max="10515" width="18" style="1" customWidth="1"/>
    <col min="10516" max="10516" width="20.85546875" style="1" customWidth="1"/>
    <col min="10517" max="10517" width="13.5703125" style="1" customWidth="1"/>
    <col min="10518" max="10518" width="14.140625" style="1" customWidth="1"/>
    <col min="10519" max="10521" width="8.85546875" style="1" customWidth="1"/>
    <col min="10522" max="10522" width="9.28515625" style="1" customWidth="1"/>
    <col min="10523" max="10523" width="14" style="1" customWidth="1"/>
    <col min="10524" max="10525" width="8.85546875" style="1" customWidth="1"/>
    <col min="10526" max="10526" width="10.140625" style="1" customWidth="1"/>
    <col min="10527" max="10528" width="9.5703125" style="1" customWidth="1"/>
    <col min="10529" max="10529" width="9.85546875" style="1" customWidth="1"/>
    <col min="10530" max="10531" width="10.140625" style="1" customWidth="1"/>
    <col min="10532" max="10534" width="9.28515625" style="1" customWidth="1"/>
    <col min="10535" max="10535" width="9.85546875" style="1" customWidth="1"/>
    <col min="10536" max="10537" width="8.5703125" style="1" customWidth="1"/>
    <col min="10538" max="10540" width="8.85546875" style="1" customWidth="1"/>
    <col min="10541" max="10541" width="9.28515625" style="1" customWidth="1"/>
    <col min="10542" max="10543" width="8.85546875" style="1" customWidth="1"/>
    <col min="10544" max="10544" width="10" style="1" customWidth="1"/>
    <col min="10545" max="10546" width="8.85546875" style="1" customWidth="1"/>
    <col min="10547" max="10547" width="11" style="1" customWidth="1"/>
    <col min="10548" max="10549" width="9.5703125" style="1" customWidth="1"/>
    <col min="10550" max="10552" width="8.85546875" style="1" customWidth="1"/>
    <col min="10553" max="10553" width="10.42578125" style="1" customWidth="1"/>
    <col min="10554" max="10555" width="8.85546875" style="1" customWidth="1"/>
    <col min="10556" max="10556" width="9.7109375" style="1" customWidth="1"/>
    <col min="10557" max="10558" width="8.85546875" style="1" customWidth="1"/>
    <col min="10559" max="10559" width="9.28515625" style="1" customWidth="1"/>
    <col min="10560" max="10580" width="8.85546875" style="1" customWidth="1"/>
    <col min="10581" max="10581" width="9.85546875" style="1" customWidth="1"/>
    <col min="10582" max="10582" width="8.85546875" style="1" customWidth="1"/>
    <col min="10583" max="10583" width="10" style="1" customWidth="1"/>
    <col min="10584" max="10600" width="8.85546875" style="1" customWidth="1"/>
    <col min="10601" max="10601" width="9.42578125" style="1" customWidth="1"/>
    <col min="10602" max="10602" width="8.85546875" style="1" customWidth="1"/>
    <col min="10603" max="10603" width="12" style="1" customWidth="1"/>
    <col min="10604" max="10604" width="11.140625" style="1" customWidth="1"/>
    <col min="10605" max="10605" width="28.7109375" style="1" customWidth="1"/>
    <col min="10606" max="10606" width="5.85546875" style="1" customWidth="1"/>
    <col min="10607" max="10756" width="9.140625" style="1"/>
    <col min="10757" max="10757" width="3.42578125" style="1" customWidth="1"/>
    <col min="10758" max="10758" width="27.85546875" style="1" customWidth="1"/>
    <col min="10759" max="10759" width="11.85546875" style="1" customWidth="1"/>
    <col min="10760" max="10760" width="15.140625" style="1" customWidth="1"/>
    <col min="10761" max="10761" width="10.28515625" style="1" customWidth="1"/>
    <col min="10762" max="10763" width="9.7109375" style="1" customWidth="1"/>
    <col min="10764" max="10764" width="10.42578125" style="1" customWidth="1"/>
    <col min="10765" max="10765" width="10.42578125" style="1" bestFit="1" customWidth="1"/>
    <col min="10766" max="10766" width="16.28515625" style="1" customWidth="1"/>
    <col min="10767" max="10767" width="15.140625" style="1" customWidth="1"/>
    <col min="10768" max="10768" width="13.5703125" style="1" customWidth="1"/>
    <col min="10769" max="10769" width="10.5703125" style="1" customWidth="1"/>
    <col min="10770" max="10770" width="10.85546875" style="1" customWidth="1"/>
    <col min="10771" max="10771" width="18" style="1" customWidth="1"/>
    <col min="10772" max="10772" width="20.85546875" style="1" customWidth="1"/>
    <col min="10773" max="10773" width="13.5703125" style="1" customWidth="1"/>
    <col min="10774" max="10774" width="14.140625" style="1" customWidth="1"/>
    <col min="10775" max="10777" width="8.85546875" style="1" customWidth="1"/>
    <col min="10778" max="10778" width="9.28515625" style="1" customWidth="1"/>
    <col min="10779" max="10779" width="14" style="1" customWidth="1"/>
    <col min="10780" max="10781" width="8.85546875" style="1" customWidth="1"/>
    <col min="10782" max="10782" width="10.140625" style="1" customWidth="1"/>
    <col min="10783" max="10784" width="9.5703125" style="1" customWidth="1"/>
    <col min="10785" max="10785" width="9.85546875" style="1" customWidth="1"/>
    <col min="10786" max="10787" width="10.140625" style="1" customWidth="1"/>
    <col min="10788" max="10790" width="9.28515625" style="1" customWidth="1"/>
    <col min="10791" max="10791" width="9.85546875" style="1" customWidth="1"/>
    <col min="10792" max="10793" width="8.5703125" style="1" customWidth="1"/>
    <col min="10794" max="10796" width="8.85546875" style="1" customWidth="1"/>
    <col min="10797" max="10797" width="9.28515625" style="1" customWidth="1"/>
    <col min="10798" max="10799" width="8.85546875" style="1" customWidth="1"/>
    <col min="10800" max="10800" width="10" style="1" customWidth="1"/>
    <col min="10801" max="10802" width="8.85546875" style="1" customWidth="1"/>
    <col min="10803" max="10803" width="11" style="1" customWidth="1"/>
    <col min="10804" max="10805" width="9.5703125" style="1" customWidth="1"/>
    <col min="10806" max="10808" width="8.85546875" style="1" customWidth="1"/>
    <col min="10809" max="10809" width="10.42578125" style="1" customWidth="1"/>
    <col min="10810" max="10811" width="8.85546875" style="1" customWidth="1"/>
    <col min="10812" max="10812" width="9.7109375" style="1" customWidth="1"/>
    <col min="10813" max="10814" width="8.85546875" style="1" customWidth="1"/>
    <col min="10815" max="10815" width="9.28515625" style="1" customWidth="1"/>
    <col min="10816" max="10836" width="8.85546875" style="1" customWidth="1"/>
    <col min="10837" max="10837" width="9.85546875" style="1" customWidth="1"/>
    <col min="10838" max="10838" width="8.85546875" style="1" customWidth="1"/>
    <col min="10839" max="10839" width="10" style="1" customWidth="1"/>
    <col min="10840" max="10856" width="8.85546875" style="1" customWidth="1"/>
    <col min="10857" max="10857" width="9.42578125" style="1" customWidth="1"/>
    <col min="10858" max="10858" width="8.85546875" style="1" customWidth="1"/>
    <col min="10859" max="10859" width="12" style="1" customWidth="1"/>
    <col min="10860" max="10860" width="11.140625" style="1" customWidth="1"/>
    <col min="10861" max="10861" width="28.7109375" style="1" customWidth="1"/>
    <col min="10862" max="10862" width="5.85546875" style="1" customWidth="1"/>
    <col min="10863" max="11012" width="9.140625" style="1"/>
    <col min="11013" max="11013" width="3.42578125" style="1" customWidth="1"/>
    <col min="11014" max="11014" width="27.85546875" style="1" customWidth="1"/>
    <col min="11015" max="11015" width="11.85546875" style="1" customWidth="1"/>
    <col min="11016" max="11016" width="15.140625" style="1" customWidth="1"/>
    <col min="11017" max="11017" width="10.28515625" style="1" customWidth="1"/>
    <col min="11018" max="11019" width="9.7109375" style="1" customWidth="1"/>
    <col min="11020" max="11020" width="10.42578125" style="1" customWidth="1"/>
    <col min="11021" max="11021" width="10.42578125" style="1" bestFit="1" customWidth="1"/>
    <col min="11022" max="11022" width="16.28515625" style="1" customWidth="1"/>
    <col min="11023" max="11023" width="15.140625" style="1" customWidth="1"/>
    <col min="11024" max="11024" width="13.5703125" style="1" customWidth="1"/>
    <col min="11025" max="11025" width="10.5703125" style="1" customWidth="1"/>
    <col min="11026" max="11026" width="10.85546875" style="1" customWidth="1"/>
    <col min="11027" max="11027" width="18" style="1" customWidth="1"/>
    <col min="11028" max="11028" width="20.85546875" style="1" customWidth="1"/>
    <col min="11029" max="11029" width="13.5703125" style="1" customWidth="1"/>
    <col min="11030" max="11030" width="14.140625" style="1" customWidth="1"/>
    <col min="11031" max="11033" width="8.85546875" style="1" customWidth="1"/>
    <col min="11034" max="11034" width="9.28515625" style="1" customWidth="1"/>
    <col min="11035" max="11035" width="14" style="1" customWidth="1"/>
    <col min="11036" max="11037" width="8.85546875" style="1" customWidth="1"/>
    <col min="11038" max="11038" width="10.140625" style="1" customWidth="1"/>
    <col min="11039" max="11040" width="9.5703125" style="1" customWidth="1"/>
    <col min="11041" max="11041" width="9.85546875" style="1" customWidth="1"/>
    <col min="11042" max="11043" width="10.140625" style="1" customWidth="1"/>
    <col min="11044" max="11046" width="9.28515625" style="1" customWidth="1"/>
    <col min="11047" max="11047" width="9.85546875" style="1" customWidth="1"/>
    <col min="11048" max="11049" width="8.5703125" style="1" customWidth="1"/>
    <col min="11050" max="11052" width="8.85546875" style="1" customWidth="1"/>
    <col min="11053" max="11053" width="9.28515625" style="1" customWidth="1"/>
    <col min="11054" max="11055" width="8.85546875" style="1" customWidth="1"/>
    <col min="11056" max="11056" width="10" style="1" customWidth="1"/>
    <col min="11057" max="11058" width="8.85546875" style="1" customWidth="1"/>
    <col min="11059" max="11059" width="11" style="1" customWidth="1"/>
    <col min="11060" max="11061" width="9.5703125" style="1" customWidth="1"/>
    <col min="11062" max="11064" width="8.85546875" style="1" customWidth="1"/>
    <col min="11065" max="11065" width="10.42578125" style="1" customWidth="1"/>
    <col min="11066" max="11067" width="8.85546875" style="1" customWidth="1"/>
    <col min="11068" max="11068" width="9.7109375" style="1" customWidth="1"/>
    <col min="11069" max="11070" width="8.85546875" style="1" customWidth="1"/>
    <col min="11071" max="11071" width="9.28515625" style="1" customWidth="1"/>
    <col min="11072" max="11092" width="8.85546875" style="1" customWidth="1"/>
    <col min="11093" max="11093" width="9.85546875" style="1" customWidth="1"/>
    <col min="11094" max="11094" width="8.85546875" style="1" customWidth="1"/>
    <col min="11095" max="11095" width="10" style="1" customWidth="1"/>
    <col min="11096" max="11112" width="8.85546875" style="1" customWidth="1"/>
    <col min="11113" max="11113" width="9.42578125" style="1" customWidth="1"/>
    <col min="11114" max="11114" width="8.85546875" style="1" customWidth="1"/>
    <col min="11115" max="11115" width="12" style="1" customWidth="1"/>
    <col min="11116" max="11116" width="11.140625" style="1" customWidth="1"/>
    <col min="11117" max="11117" width="28.7109375" style="1" customWidth="1"/>
    <col min="11118" max="11118" width="5.85546875" style="1" customWidth="1"/>
    <col min="11119" max="11268" width="9.140625" style="1"/>
    <col min="11269" max="11269" width="3.42578125" style="1" customWidth="1"/>
    <col min="11270" max="11270" width="27.85546875" style="1" customWidth="1"/>
    <col min="11271" max="11271" width="11.85546875" style="1" customWidth="1"/>
    <col min="11272" max="11272" width="15.140625" style="1" customWidth="1"/>
    <col min="11273" max="11273" width="10.28515625" style="1" customWidth="1"/>
    <col min="11274" max="11275" width="9.7109375" style="1" customWidth="1"/>
    <col min="11276" max="11276" width="10.42578125" style="1" customWidth="1"/>
    <col min="11277" max="11277" width="10.42578125" style="1" bestFit="1" customWidth="1"/>
    <col min="11278" max="11278" width="16.28515625" style="1" customWidth="1"/>
    <col min="11279" max="11279" width="15.140625" style="1" customWidth="1"/>
    <col min="11280" max="11280" width="13.5703125" style="1" customWidth="1"/>
    <col min="11281" max="11281" width="10.5703125" style="1" customWidth="1"/>
    <col min="11282" max="11282" width="10.85546875" style="1" customWidth="1"/>
    <col min="11283" max="11283" width="18" style="1" customWidth="1"/>
    <col min="11284" max="11284" width="20.85546875" style="1" customWidth="1"/>
    <col min="11285" max="11285" width="13.5703125" style="1" customWidth="1"/>
    <col min="11286" max="11286" width="14.140625" style="1" customWidth="1"/>
    <col min="11287" max="11289" width="8.85546875" style="1" customWidth="1"/>
    <col min="11290" max="11290" width="9.28515625" style="1" customWidth="1"/>
    <col min="11291" max="11291" width="14" style="1" customWidth="1"/>
    <col min="11292" max="11293" width="8.85546875" style="1" customWidth="1"/>
    <col min="11294" max="11294" width="10.140625" style="1" customWidth="1"/>
    <col min="11295" max="11296" width="9.5703125" style="1" customWidth="1"/>
    <col min="11297" max="11297" width="9.85546875" style="1" customWidth="1"/>
    <col min="11298" max="11299" width="10.140625" style="1" customWidth="1"/>
    <col min="11300" max="11302" width="9.28515625" style="1" customWidth="1"/>
    <col min="11303" max="11303" width="9.85546875" style="1" customWidth="1"/>
    <col min="11304" max="11305" width="8.5703125" style="1" customWidth="1"/>
    <col min="11306" max="11308" width="8.85546875" style="1" customWidth="1"/>
    <col min="11309" max="11309" width="9.28515625" style="1" customWidth="1"/>
    <col min="11310" max="11311" width="8.85546875" style="1" customWidth="1"/>
    <col min="11312" max="11312" width="10" style="1" customWidth="1"/>
    <col min="11313" max="11314" width="8.85546875" style="1" customWidth="1"/>
    <col min="11315" max="11315" width="11" style="1" customWidth="1"/>
    <col min="11316" max="11317" width="9.5703125" style="1" customWidth="1"/>
    <col min="11318" max="11320" width="8.85546875" style="1" customWidth="1"/>
    <col min="11321" max="11321" width="10.42578125" style="1" customWidth="1"/>
    <col min="11322" max="11323" width="8.85546875" style="1" customWidth="1"/>
    <col min="11324" max="11324" width="9.7109375" style="1" customWidth="1"/>
    <col min="11325" max="11326" width="8.85546875" style="1" customWidth="1"/>
    <col min="11327" max="11327" width="9.28515625" style="1" customWidth="1"/>
    <col min="11328" max="11348" width="8.85546875" style="1" customWidth="1"/>
    <col min="11349" max="11349" width="9.85546875" style="1" customWidth="1"/>
    <col min="11350" max="11350" width="8.85546875" style="1" customWidth="1"/>
    <col min="11351" max="11351" width="10" style="1" customWidth="1"/>
    <col min="11352" max="11368" width="8.85546875" style="1" customWidth="1"/>
    <col min="11369" max="11369" width="9.42578125" style="1" customWidth="1"/>
    <col min="11370" max="11370" width="8.85546875" style="1" customWidth="1"/>
    <col min="11371" max="11371" width="12" style="1" customWidth="1"/>
    <col min="11372" max="11372" width="11.140625" style="1" customWidth="1"/>
    <col min="11373" max="11373" width="28.7109375" style="1" customWidth="1"/>
    <col min="11374" max="11374" width="5.85546875" style="1" customWidth="1"/>
    <col min="11375" max="11524" width="9.140625" style="1"/>
    <col min="11525" max="11525" width="3.42578125" style="1" customWidth="1"/>
    <col min="11526" max="11526" width="27.85546875" style="1" customWidth="1"/>
    <col min="11527" max="11527" width="11.85546875" style="1" customWidth="1"/>
    <col min="11528" max="11528" width="15.140625" style="1" customWidth="1"/>
    <col min="11529" max="11529" width="10.28515625" style="1" customWidth="1"/>
    <col min="11530" max="11531" width="9.7109375" style="1" customWidth="1"/>
    <col min="11532" max="11532" width="10.42578125" style="1" customWidth="1"/>
    <col min="11533" max="11533" width="10.42578125" style="1" bestFit="1" customWidth="1"/>
    <col min="11534" max="11534" width="16.28515625" style="1" customWidth="1"/>
    <col min="11535" max="11535" width="15.140625" style="1" customWidth="1"/>
    <col min="11536" max="11536" width="13.5703125" style="1" customWidth="1"/>
    <col min="11537" max="11537" width="10.5703125" style="1" customWidth="1"/>
    <col min="11538" max="11538" width="10.85546875" style="1" customWidth="1"/>
    <col min="11539" max="11539" width="18" style="1" customWidth="1"/>
    <col min="11540" max="11540" width="20.85546875" style="1" customWidth="1"/>
    <col min="11541" max="11541" width="13.5703125" style="1" customWidth="1"/>
    <col min="11542" max="11542" width="14.140625" style="1" customWidth="1"/>
    <col min="11543" max="11545" width="8.85546875" style="1" customWidth="1"/>
    <col min="11546" max="11546" width="9.28515625" style="1" customWidth="1"/>
    <col min="11547" max="11547" width="14" style="1" customWidth="1"/>
    <col min="11548" max="11549" width="8.85546875" style="1" customWidth="1"/>
    <col min="11550" max="11550" width="10.140625" style="1" customWidth="1"/>
    <col min="11551" max="11552" width="9.5703125" style="1" customWidth="1"/>
    <col min="11553" max="11553" width="9.85546875" style="1" customWidth="1"/>
    <col min="11554" max="11555" width="10.140625" style="1" customWidth="1"/>
    <col min="11556" max="11558" width="9.28515625" style="1" customWidth="1"/>
    <col min="11559" max="11559" width="9.85546875" style="1" customWidth="1"/>
    <col min="11560" max="11561" width="8.5703125" style="1" customWidth="1"/>
    <col min="11562" max="11564" width="8.85546875" style="1" customWidth="1"/>
    <col min="11565" max="11565" width="9.28515625" style="1" customWidth="1"/>
    <col min="11566" max="11567" width="8.85546875" style="1" customWidth="1"/>
    <col min="11568" max="11568" width="10" style="1" customWidth="1"/>
    <col min="11569" max="11570" width="8.85546875" style="1" customWidth="1"/>
    <col min="11571" max="11571" width="11" style="1" customWidth="1"/>
    <col min="11572" max="11573" width="9.5703125" style="1" customWidth="1"/>
    <col min="11574" max="11576" width="8.85546875" style="1" customWidth="1"/>
    <col min="11577" max="11577" width="10.42578125" style="1" customWidth="1"/>
    <col min="11578" max="11579" width="8.85546875" style="1" customWidth="1"/>
    <col min="11580" max="11580" width="9.7109375" style="1" customWidth="1"/>
    <col min="11581" max="11582" width="8.85546875" style="1" customWidth="1"/>
    <col min="11583" max="11583" width="9.28515625" style="1" customWidth="1"/>
    <col min="11584" max="11604" width="8.85546875" style="1" customWidth="1"/>
    <col min="11605" max="11605" width="9.85546875" style="1" customWidth="1"/>
    <col min="11606" max="11606" width="8.85546875" style="1" customWidth="1"/>
    <col min="11607" max="11607" width="10" style="1" customWidth="1"/>
    <col min="11608" max="11624" width="8.85546875" style="1" customWidth="1"/>
    <col min="11625" max="11625" width="9.42578125" style="1" customWidth="1"/>
    <col min="11626" max="11626" width="8.85546875" style="1" customWidth="1"/>
    <col min="11627" max="11627" width="12" style="1" customWidth="1"/>
    <col min="11628" max="11628" width="11.140625" style="1" customWidth="1"/>
    <col min="11629" max="11629" width="28.7109375" style="1" customWidth="1"/>
    <col min="11630" max="11630" width="5.85546875" style="1" customWidth="1"/>
    <col min="11631" max="11780" width="9.140625" style="1"/>
    <col min="11781" max="11781" width="3.42578125" style="1" customWidth="1"/>
    <col min="11782" max="11782" width="27.85546875" style="1" customWidth="1"/>
    <col min="11783" max="11783" width="11.85546875" style="1" customWidth="1"/>
    <col min="11784" max="11784" width="15.140625" style="1" customWidth="1"/>
    <col min="11785" max="11785" width="10.28515625" style="1" customWidth="1"/>
    <col min="11786" max="11787" width="9.7109375" style="1" customWidth="1"/>
    <col min="11788" max="11788" width="10.42578125" style="1" customWidth="1"/>
    <col min="11789" max="11789" width="10.42578125" style="1" bestFit="1" customWidth="1"/>
    <col min="11790" max="11790" width="16.28515625" style="1" customWidth="1"/>
    <col min="11791" max="11791" width="15.140625" style="1" customWidth="1"/>
    <col min="11792" max="11792" width="13.5703125" style="1" customWidth="1"/>
    <col min="11793" max="11793" width="10.5703125" style="1" customWidth="1"/>
    <col min="11794" max="11794" width="10.85546875" style="1" customWidth="1"/>
    <col min="11795" max="11795" width="18" style="1" customWidth="1"/>
    <col min="11796" max="11796" width="20.85546875" style="1" customWidth="1"/>
    <col min="11797" max="11797" width="13.5703125" style="1" customWidth="1"/>
    <col min="11798" max="11798" width="14.140625" style="1" customWidth="1"/>
    <col min="11799" max="11801" width="8.85546875" style="1" customWidth="1"/>
    <col min="11802" max="11802" width="9.28515625" style="1" customWidth="1"/>
    <col min="11803" max="11803" width="14" style="1" customWidth="1"/>
    <col min="11804" max="11805" width="8.85546875" style="1" customWidth="1"/>
    <col min="11806" max="11806" width="10.140625" style="1" customWidth="1"/>
    <col min="11807" max="11808" width="9.5703125" style="1" customWidth="1"/>
    <col min="11809" max="11809" width="9.85546875" style="1" customWidth="1"/>
    <col min="11810" max="11811" width="10.140625" style="1" customWidth="1"/>
    <col min="11812" max="11814" width="9.28515625" style="1" customWidth="1"/>
    <col min="11815" max="11815" width="9.85546875" style="1" customWidth="1"/>
    <col min="11816" max="11817" width="8.5703125" style="1" customWidth="1"/>
    <col min="11818" max="11820" width="8.85546875" style="1" customWidth="1"/>
    <col min="11821" max="11821" width="9.28515625" style="1" customWidth="1"/>
    <col min="11822" max="11823" width="8.85546875" style="1" customWidth="1"/>
    <col min="11824" max="11824" width="10" style="1" customWidth="1"/>
    <col min="11825" max="11826" width="8.85546875" style="1" customWidth="1"/>
    <col min="11827" max="11827" width="11" style="1" customWidth="1"/>
    <col min="11828" max="11829" width="9.5703125" style="1" customWidth="1"/>
    <col min="11830" max="11832" width="8.85546875" style="1" customWidth="1"/>
    <col min="11833" max="11833" width="10.42578125" style="1" customWidth="1"/>
    <col min="11834" max="11835" width="8.85546875" style="1" customWidth="1"/>
    <col min="11836" max="11836" width="9.7109375" style="1" customWidth="1"/>
    <col min="11837" max="11838" width="8.85546875" style="1" customWidth="1"/>
    <col min="11839" max="11839" width="9.28515625" style="1" customWidth="1"/>
    <col min="11840" max="11860" width="8.85546875" style="1" customWidth="1"/>
    <col min="11861" max="11861" width="9.85546875" style="1" customWidth="1"/>
    <col min="11862" max="11862" width="8.85546875" style="1" customWidth="1"/>
    <col min="11863" max="11863" width="10" style="1" customWidth="1"/>
    <col min="11864" max="11880" width="8.85546875" style="1" customWidth="1"/>
    <col min="11881" max="11881" width="9.42578125" style="1" customWidth="1"/>
    <col min="11882" max="11882" width="8.85546875" style="1" customWidth="1"/>
    <col min="11883" max="11883" width="12" style="1" customWidth="1"/>
    <col min="11884" max="11884" width="11.140625" style="1" customWidth="1"/>
    <col min="11885" max="11885" width="28.7109375" style="1" customWidth="1"/>
    <col min="11886" max="11886" width="5.85546875" style="1" customWidth="1"/>
    <col min="11887" max="12036" width="9.140625" style="1"/>
    <col min="12037" max="12037" width="3.42578125" style="1" customWidth="1"/>
    <col min="12038" max="12038" width="27.85546875" style="1" customWidth="1"/>
    <col min="12039" max="12039" width="11.85546875" style="1" customWidth="1"/>
    <col min="12040" max="12040" width="15.140625" style="1" customWidth="1"/>
    <col min="12041" max="12041" width="10.28515625" style="1" customWidth="1"/>
    <col min="12042" max="12043" width="9.7109375" style="1" customWidth="1"/>
    <col min="12044" max="12044" width="10.42578125" style="1" customWidth="1"/>
    <col min="12045" max="12045" width="10.42578125" style="1" bestFit="1" customWidth="1"/>
    <col min="12046" max="12046" width="16.28515625" style="1" customWidth="1"/>
    <col min="12047" max="12047" width="15.140625" style="1" customWidth="1"/>
    <col min="12048" max="12048" width="13.5703125" style="1" customWidth="1"/>
    <col min="12049" max="12049" width="10.5703125" style="1" customWidth="1"/>
    <col min="12050" max="12050" width="10.85546875" style="1" customWidth="1"/>
    <col min="12051" max="12051" width="18" style="1" customWidth="1"/>
    <col min="12052" max="12052" width="20.85546875" style="1" customWidth="1"/>
    <col min="12053" max="12053" width="13.5703125" style="1" customWidth="1"/>
    <col min="12054" max="12054" width="14.140625" style="1" customWidth="1"/>
    <col min="12055" max="12057" width="8.85546875" style="1" customWidth="1"/>
    <col min="12058" max="12058" width="9.28515625" style="1" customWidth="1"/>
    <col min="12059" max="12059" width="14" style="1" customWidth="1"/>
    <col min="12060" max="12061" width="8.85546875" style="1" customWidth="1"/>
    <col min="12062" max="12062" width="10.140625" style="1" customWidth="1"/>
    <col min="12063" max="12064" width="9.5703125" style="1" customWidth="1"/>
    <col min="12065" max="12065" width="9.85546875" style="1" customWidth="1"/>
    <col min="12066" max="12067" width="10.140625" style="1" customWidth="1"/>
    <col min="12068" max="12070" width="9.28515625" style="1" customWidth="1"/>
    <col min="12071" max="12071" width="9.85546875" style="1" customWidth="1"/>
    <col min="12072" max="12073" width="8.5703125" style="1" customWidth="1"/>
    <col min="12074" max="12076" width="8.85546875" style="1" customWidth="1"/>
    <col min="12077" max="12077" width="9.28515625" style="1" customWidth="1"/>
    <col min="12078" max="12079" width="8.85546875" style="1" customWidth="1"/>
    <col min="12080" max="12080" width="10" style="1" customWidth="1"/>
    <col min="12081" max="12082" width="8.85546875" style="1" customWidth="1"/>
    <col min="12083" max="12083" width="11" style="1" customWidth="1"/>
    <col min="12084" max="12085" width="9.5703125" style="1" customWidth="1"/>
    <col min="12086" max="12088" width="8.85546875" style="1" customWidth="1"/>
    <col min="12089" max="12089" width="10.42578125" style="1" customWidth="1"/>
    <col min="12090" max="12091" width="8.85546875" style="1" customWidth="1"/>
    <col min="12092" max="12092" width="9.7109375" style="1" customWidth="1"/>
    <col min="12093" max="12094" width="8.85546875" style="1" customWidth="1"/>
    <col min="12095" max="12095" width="9.28515625" style="1" customWidth="1"/>
    <col min="12096" max="12116" width="8.85546875" style="1" customWidth="1"/>
    <col min="12117" max="12117" width="9.85546875" style="1" customWidth="1"/>
    <col min="12118" max="12118" width="8.85546875" style="1" customWidth="1"/>
    <col min="12119" max="12119" width="10" style="1" customWidth="1"/>
    <col min="12120" max="12136" width="8.85546875" style="1" customWidth="1"/>
    <col min="12137" max="12137" width="9.42578125" style="1" customWidth="1"/>
    <col min="12138" max="12138" width="8.85546875" style="1" customWidth="1"/>
    <col min="12139" max="12139" width="12" style="1" customWidth="1"/>
    <col min="12140" max="12140" width="11.140625" style="1" customWidth="1"/>
    <col min="12141" max="12141" width="28.7109375" style="1" customWidth="1"/>
    <col min="12142" max="12142" width="5.85546875" style="1" customWidth="1"/>
    <col min="12143" max="12292" width="9.140625" style="1"/>
    <col min="12293" max="12293" width="3.42578125" style="1" customWidth="1"/>
    <col min="12294" max="12294" width="27.85546875" style="1" customWidth="1"/>
    <col min="12295" max="12295" width="11.85546875" style="1" customWidth="1"/>
    <col min="12296" max="12296" width="15.140625" style="1" customWidth="1"/>
    <col min="12297" max="12297" width="10.28515625" style="1" customWidth="1"/>
    <col min="12298" max="12299" width="9.7109375" style="1" customWidth="1"/>
    <col min="12300" max="12300" width="10.42578125" style="1" customWidth="1"/>
    <col min="12301" max="12301" width="10.42578125" style="1" bestFit="1" customWidth="1"/>
    <col min="12302" max="12302" width="16.28515625" style="1" customWidth="1"/>
    <col min="12303" max="12303" width="15.140625" style="1" customWidth="1"/>
    <col min="12304" max="12304" width="13.5703125" style="1" customWidth="1"/>
    <col min="12305" max="12305" width="10.5703125" style="1" customWidth="1"/>
    <col min="12306" max="12306" width="10.85546875" style="1" customWidth="1"/>
    <col min="12307" max="12307" width="18" style="1" customWidth="1"/>
    <col min="12308" max="12308" width="20.85546875" style="1" customWidth="1"/>
    <col min="12309" max="12309" width="13.5703125" style="1" customWidth="1"/>
    <col min="12310" max="12310" width="14.140625" style="1" customWidth="1"/>
    <col min="12311" max="12313" width="8.85546875" style="1" customWidth="1"/>
    <col min="12314" max="12314" width="9.28515625" style="1" customWidth="1"/>
    <col min="12315" max="12315" width="14" style="1" customWidth="1"/>
    <col min="12316" max="12317" width="8.85546875" style="1" customWidth="1"/>
    <col min="12318" max="12318" width="10.140625" style="1" customWidth="1"/>
    <col min="12319" max="12320" width="9.5703125" style="1" customWidth="1"/>
    <col min="12321" max="12321" width="9.85546875" style="1" customWidth="1"/>
    <col min="12322" max="12323" width="10.140625" style="1" customWidth="1"/>
    <col min="12324" max="12326" width="9.28515625" style="1" customWidth="1"/>
    <col min="12327" max="12327" width="9.85546875" style="1" customWidth="1"/>
    <col min="12328" max="12329" width="8.5703125" style="1" customWidth="1"/>
    <col min="12330" max="12332" width="8.85546875" style="1" customWidth="1"/>
    <col min="12333" max="12333" width="9.28515625" style="1" customWidth="1"/>
    <col min="12334" max="12335" width="8.85546875" style="1" customWidth="1"/>
    <col min="12336" max="12336" width="10" style="1" customWidth="1"/>
    <col min="12337" max="12338" width="8.85546875" style="1" customWidth="1"/>
    <col min="12339" max="12339" width="11" style="1" customWidth="1"/>
    <col min="12340" max="12341" width="9.5703125" style="1" customWidth="1"/>
    <col min="12342" max="12344" width="8.85546875" style="1" customWidth="1"/>
    <col min="12345" max="12345" width="10.42578125" style="1" customWidth="1"/>
    <col min="12346" max="12347" width="8.85546875" style="1" customWidth="1"/>
    <col min="12348" max="12348" width="9.7109375" style="1" customWidth="1"/>
    <col min="12349" max="12350" width="8.85546875" style="1" customWidth="1"/>
    <col min="12351" max="12351" width="9.28515625" style="1" customWidth="1"/>
    <col min="12352" max="12372" width="8.85546875" style="1" customWidth="1"/>
    <col min="12373" max="12373" width="9.85546875" style="1" customWidth="1"/>
    <col min="12374" max="12374" width="8.85546875" style="1" customWidth="1"/>
    <col min="12375" max="12375" width="10" style="1" customWidth="1"/>
    <col min="12376" max="12392" width="8.85546875" style="1" customWidth="1"/>
    <col min="12393" max="12393" width="9.42578125" style="1" customWidth="1"/>
    <col min="12394" max="12394" width="8.85546875" style="1" customWidth="1"/>
    <col min="12395" max="12395" width="12" style="1" customWidth="1"/>
    <col min="12396" max="12396" width="11.140625" style="1" customWidth="1"/>
    <col min="12397" max="12397" width="28.7109375" style="1" customWidth="1"/>
    <col min="12398" max="12398" width="5.85546875" style="1" customWidth="1"/>
    <col min="12399" max="12548" width="9.140625" style="1"/>
    <col min="12549" max="12549" width="3.42578125" style="1" customWidth="1"/>
    <col min="12550" max="12550" width="27.85546875" style="1" customWidth="1"/>
    <col min="12551" max="12551" width="11.85546875" style="1" customWidth="1"/>
    <col min="12552" max="12552" width="15.140625" style="1" customWidth="1"/>
    <col min="12553" max="12553" width="10.28515625" style="1" customWidth="1"/>
    <col min="12554" max="12555" width="9.7109375" style="1" customWidth="1"/>
    <col min="12556" max="12556" width="10.42578125" style="1" customWidth="1"/>
    <col min="12557" max="12557" width="10.42578125" style="1" bestFit="1" customWidth="1"/>
    <col min="12558" max="12558" width="16.28515625" style="1" customWidth="1"/>
    <col min="12559" max="12559" width="15.140625" style="1" customWidth="1"/>
    <col min="12560" max="12560" width="13.5703125" style="1" customWidth="1"/>
    <col min="12561" max="12561" width="10.5703125" style="1" customWidth="1"/>
    <col min="12562" max="12562" width="10.85546875" style="1" customWidth="1"/>
    <col min="12563" max="12563" width="18" style="1" customWidth="1"/>
    <col min="12564" max="12564" width="20.85546875" style="1" customWidth="1"/>
    <col min="12565" max="12565" width="13.5703125" style="1" customWidth="1"/>
    <col min="12566" max="12566" width="14.140625" style="1" customWidth="1"/>
    <col min="12567" max="12569" width="8.85546875" style="1" customWidth="1"/>
    <col min="12570" max="12570" width="9.28515625" style="1" customWidth="1"/>
    <col min="12571" max="12571" width="14" style="1" customWidth="1"/>
    <col min="12572" max="12573" width="8.85546875" style="1" customWidth="1"/>
    <col min="12574" max="12574" width="10.140625" style="1" customWidth="1"/>
    <col min="12575" max="12576" width="9.5703125" style="1" customWidth="1"/>
    <col min="12577" max="12577" width="9.85546875" style="1" customWidth="1"/>
    <col min="12578" max="12579" width="10.140625" style="1" customWidth="1"/>
    <col min="12580" max="12582" width="9.28515625" style="1" customWidth="1"/>
    <col min="12583" max="12583" width="9.85546875" style="1" customWidth="1"/>
    <col min="12584" max="12585" width="8.5703125" style="1" customWidth="1"/>
    <col min="12586" max="12588" width="8.85546875" style="1" customWidth="1"/>
    <col min="12589" max="12589" width="9.28515625" style="1" customWidth="1"/>
    <col min="12590" max="12591" width="8.85546875" style="1" customWidth="1"/>
    <col min="12592" max="12592" width="10" style="1" customWidth="1"/>
    <col min="12593" max="12594" width="8.85546875" style="1" customWidth="1"/>
    <col min="12595" max="12595" width="11" style="1" customWidth="1"/>
    <col min="12596" max="12597" width="9.5703125" style="1" customWidth="1"/>
    <col min="12598" max="12600" width="8.85546875" style="1" customWidth="1"/>
    <col min="12601" max="12601" width="10.42578125" style="1" customWidth="1"/>
    <col min="12602" max="12603" width="8.85546875" style="1" customWidth="1"/>
    <col min="12604" max="12604" width="9.7109375" style="1" customWidth="1"/>
    <col min="12605" max="12606" width="8.85546875" style="1" customWidth="1"/>
    <col min="12607" max="12607" width="9.28515625" style="1" customWidth="1"/>
    <col min="12608" max="12628" width="8.85546875" style="1" customWidth="1"/>
    <col min="12629" max="12629" width="9.85546875" style="1" customWidth="1"/>
    <col min="12630" max="12630" width="8.85546875" style="1" customWidth="1"/>
    <col min="12631" max="12631" width="10" style="1" customWidth="1"/>
    <col min="12632" max="12648" width="8.85546875" style="1" customWidth="1"/>
    <col min="12649" max="12649" width="9.42578125" style="1" customWidth="1"/>
    <col min="12650" max="12650" width="8.85546875" style="1" customWidth="1"/>
    <col min="12651" max="12651" width="12" style="1" customWidth="1"/>
    <col min="12652" max="12652" width="11.140625" style="1" customWidth="1"/>
    <col min="12653" max="12653" width="28.7109375" style="1" customWidth="1"/>
    <col min="12654" max="12654" width="5.85546875" style="1" customWidth="1"/>
    <col min="12655" max="12804" width="9.140625" style="1"/>
    <col min="12805" max="12805" width="3.42578125" style="1" customWidth="1"/>
    <col min="12806" max="12806" width="27.85546875" style="1" customWidth="1"/>
    <col min="12807" max="12807" width="11.85546875" style="1" customWidth="1"/>
    <col min="12808" max="12808" width="15.140625" style="1" customWidth="1"/>
    <col min="12809" max="12809" width="10.28515625" style="1" customWidth="1"/>
    <col min="12810" max="12811" width="9.7109375" style="1" customWidth="1"/>
    <col min="12812" max="12812" width="10.42578125" style="1" customWidth="1"/>
    <col min="12813" max="12813" width="10.42578125" style="1" bestFit="1" customWidth="1"/>
    <col min="12814" max="12814" width="16.28515625" style="1" customWidth="1"/>
    <col min="12815" max="12815" width="15.140625" style="1" customWidth="1"/>
    <col min="12816" max="12816" width="13.5703125" style="1" customWidth="1"/>
    <col min="12817" max="12817" width="10.5703125" style="1" customWidth="1"/>
    <col min="12818" max="12818" width="10.85546875" style="1" customWidth="1"/>
    <col min="12819" max="12819" width="18" style="1" customWidth="1"/>
    <col min="12820" max="12820" width="20.85546875" style="1" customWidth="1"/>
    <col min="12821" max="12821" width="13.5703125" style="1" customWidth="1"/>
    <col min="12822" max="12822" width="14.140625" style="1" customWidth="1"/>
    <col min="12823" max="12825" width="8.85546875" style="1" customWidth="1"/>
    <col min="12826" max="12826" width="9.28515625" style="1" customWidth="1"/>
    <col min="12827" max="12827" width="14" style="1" customWidth="1"/>
    <col min="12828" max="12829" width="8.85546875" style="1" customWidth="1"/>
    <col min="12830" max="12830" width="10.140625" style="1" customWidth="1"/>
    <col min="12831" max="12832" width="9.5703125" style="1" customWidth="1"/>
    <col min="12833" max="12833" width="9.85546875" style="1" customWidth="1"/>
    <col min="12834" max="12835" width="10.140625" style="1" customWidth="1"/>
    <col min="12836" max="12838" width="9.28515625" style="1" customWidth="1"/>
    <col min="12839" max="12839" width="9.85546875" style="1" customWidth="1"/>
    <col min="12840" max="12841" width="8.5703125" style="1" customWidth="1"/>
    <col min="12842" max="12844" width="8.85546875" style="1" customWidth="1"/>
    <col min="12845" max="12845" width="9.28515625" style="1" customWidth="1"/>
    <col min="12846" max="12847" width="8.85546875" style="1" customWidth="1"/>
    <col min="12848" max="12848" width="10" style="1" customWidth="1"/>
    <col min="12849" max="12850" width="8.85546875" style="1" customWidth="1"/>
    <col min="12851" max="12851" width="11" style="1" customWidth="1"/>
    <col min="12852" max="12853" width="9.5703125" style="1" customWidth="1"/>
    <col min="12854" max="12856" width="8.85546875" style="1" customWidth="1"/>
    <col min="12857" max="12857" width="10.42578125" style="1" customWidth="1"/>
    <col min="12858" max="12859" width="8.85546875" style="1" customWidth="1"/>
    <col min="12860" max="12860" width="9.7109375" style="1" customWidth="1"/>
    <col min="12861" max="12862" width="8.85546875" style="1" customWidth="1"/>
    <col min="12863" max="12863" width="9.28515625" style="1" customWidth="1"/>
    <col min="12864" max="12884" width="8.85546875" style="1" customWidth="1"/>
    <col min="12885" max="12885" width="9.85546875" style="1" customWidth="1"/>
    <col min="12886" max="12886" width="8.85546875" style="1" customWidth="1"/>
    <col min="12887" max="12887" width="10" style="1" customWidth="1"/>
    <col min="12888" max="12904" width="8.85546875" style="1" customWidth="1"/>
    <col min="12905" max="12905" width="9.42578125" style="1" customWidth="1"/>
    <col min="12906" max="12906" width="8.85546875" style="1" customWidth="1"/>
    <col min="12907" max="12907" width="12" style="1" customWidth="1"/>
    <col min="12908" max="12908" width="11.140625" style="1" customWidth="1"/>
    <col min="12909" max="12909" width="28.7109375" style="1" customWidth="1"/>
    <col min="12910" max="12910" width="5.85546875" style="1" customWidth="1"/>
    <col min="12911" max="13060" width="9.140625" style="1"/>
    <col min="13061" max="13061" width="3.42578125" style="1" customWidth="1"/>
    <col min="13062" max="13062" width="27.85546875" style="1" customWidth="1"/>
    <col min="13063" max="13063" width="11.85546875" style="1" customWidth="1"/>
    <col min="13064" max="13064" width="15.140625" style="1" customWidth="1"/>
    <col min="13065" max="13065" width="10.28515625" style="1" customWidth="1"/>
    <col min="13066" max="13067" width="9.7109375" style="1" customWidth="1"/>
    <col min="13068" max="13068" width="10.42578125" style="1" customWidth="1"/>
    <col min="13069" max="13069" width="10.42578125" style="1" bestFit="1" customWidth="1"/>
    <col min="13070" max="13070" width="16.28515625" style="1" customWidth="1"/>
    <col min="13071" max="13071" width="15.140625" style="1" customWidth="1"/>
    <col min="13072" max="13072" width="13.5703125" style="1" customWidth="1"/>
    <col min="13073" max="13073" width="10.5703125" style="1" customWidth="1"/>
    <col min="13074" max="13074" width="10.85546875" style="1" customWidth="1"/>
    <col min="13075" max="13075" width="18" style="1" customWidth="1"/>
    <col min="13076" max="13076" width="20.85546875" style="1" customWidth="1"/>
    <col min="13077" max="13077" width="13.5703125" style="1" customWidth="1"/>
    <col min="13078" max="13078" width="14.140625" style="1" customWidth="1"/>
    <col min="13079" max="13081" width="8.85546875" style="1" customWidth="1"/>
    <col min="13082" max="13082" width="9.28515625" style="1" customWidth="1"/>
    <col min="13083" max="13083" width="14" style="1" customWidth="1"/>
    <col min="13084" max="13085" width="8.85546875" style="1" customWidth="1"/>
    <col min="13086" max="13086" width="10.140625" style="1" customWidth="1"/>
    <col min="13087" max="13088" width="9.5703125" style="1" customWidth="1"/>
    <col min="13089" max="13089" width="9.85546875" style="1" customWidth="1"/>
    <col min="13090" max="13091" width="10.140625" style="1" customWidth="1"/>
    <col min="13092" max="13094" width="9.28515625" style="1" customWidth="1"/>
    <col min="13095" max="13095" width="9.85546875" style="1" customWidth="1"/>
    <col min="13096" max="13097" width="8.5703125" style="1" customWidth="1"/>
    <col min="13098" max="13100" width="8.85546875" style="1" customWidth="1"/>
    <col min="13101" max="13101" width="9.28515625" style="1" customWidth="1"/>
    <col min="13102" max="13103" width="8.85546875" style="1" customWidth="1"/>
    <col min="13104" max="13104" width="10" style="1" customWidth="1"/>
    <col min="13105" max="13106" width="8.85546875" style="1" customWidth="1"/>
    <col min="13107" max="13107" width="11" style="1" customWidth="1"/>
    <col min="13108" max="13109" width="9.5703125" style="1" customWidth="1"/>
    <col min="13110" max="13112" width="8.85546875" style="1" customWidth="1"/>
    <col min="13113" max="13113" width="10.42578125" style="1" customWidth="1"/>
    <col min="13114" max="13115" width="8.85546875" style="1" customWidth="1"/>
    <col min="13116" max="13116" width="9.7109375" style="1" customWidth="1"/>
    <col min="13117" max="13118" width="8.85546875" style="1" customWidth="1"/>
    <col min="13119" max="13119" width="9.28515625" style="1" customWidth="1"/>
    <col min="13120" max="13140" width="8.85546875" style="1" customWidth="1"/>
    <col min="13141" max="13141" width="9.85546875" style="1" customWidth="1"/>
    <col min="13142" max="13142" width="8.85546875" style="1" customWidth="1"/>
    <col min="13143" max="13143" width="10" style="1" customWidth="1"/>
    <col min="13144" max="13160" width="8.85546875" style="1" customWidth="1"/>
    <col min="13161" max="13161" width="9.42578125" style="1" customWidth="1"/>
    <col min="13162" max="13162" width="8.85546875" style="1" customWidth="1"/>
    <col min="13163" max="13163" width="12" style="1" customWidth="1"/>
    <col min="13164" max="13164" width="11.140625" style="1" customWidth="1"/>
    <col min="13165" max="13165" width="28.7109375" style="1" customWidth="1"/>
    <col min="13166" max="13166" width="5.85546875" style="1" customWidth="1"/>
    <col min="13167" max="13316" width="9.140625" style="1"/>
    <col min="13317" max="13317" width="3.42578125" style="1" customWidth="1"/>
    <col min="13318" max="13318" width="27.85546875" style="1" customWidth="1"/>
    <col min="13319" max="13319" width="11.85546875" style="1" customWidth="1"/>
    <col min="13320" max="13320" width="15.140625" style="1" customWidth="1"/>
    <col min="13321" max="13321" width="10.28515625" style="1" customWidth="1"/>
    <col min="13322" max="13323" width="9.7109375" style="1" customWidth="1"/>
    <col min="13324" max="13324" width="10.42578125" style="1" customWidth="1"/>
    <col min="13325" max="13325" width="10.42578125" style="1" bestFit="1" customWidth="1"/>
    <col min="13326" max="13326" width="16.28515625" style="1" customWidth="1"/>
    <col min="13327" max="13327" width="15.140625" style="1" customWidth="1"/>
    <col min="13328" max="13328" width="13.5703125" style="1" customWidth="1"/>
    <col min="13329" max="13329" width="10.5703125" style="1" customWidth="1"/>
    <col min="13330" max="13330" width="10.85546875" style="1" customWidth="1"/>
    <col min="13331" max="13331" width="18" style="1" customWidth="1"/>
    <col min="13332" max="13332" width="20.85546875" style="1" customWidth="1"/>
    <col min="13333" max="13333" width="13.5703125" style="1" customWidth="1"/>
    <col min="13334" max="13334" width="14.140625" style="1" customWidth="1"/>
    <col min="13335" max="13337" width="8.85546875" style="1" customWidth="1"/>
    <col min="13338" max="13338" width="9.28515625" style="1" customWidth="1"/>
    <col min="13339" max="13339" width="14" style="1" customWidth="1"/>
    <col min="13340" max="13341" width="8.85546875" style="1" customWidth="1"/>
    <col min="13342" max="13342" width="10.140625" style="1" customWidth="1"/>
    <col min="13343" max="13344" width="9.5703125" style="1" customWidth="1"/>
    <col min="13345" max="13345" width="9.85546875" style="1" customWidth="1"/>
    <col min="13346" max="13347" width="10.140625" style="1" customWidth="1"/>
    <col min="13348" max="13350" width="9.28515625" style="1" customWidth="1"/>
    <col min="13351" max="13351" width="9.85546875" style="1" customWidth="1"/>
    <col min="13352" max="13353" width="8.5703125" style="1" customWidth="1"/>
    <col min="13354" max="13356" width="8.85546875" style="1" customWidth="1"/>
    <col min="13357" max="13357" width="9.28515625" style="1" customWidth="1"/>
    <col min="13358" max="13359" width="8.85546875" style="1" customWidth="1"/>
    <col min="13360" max="13360" width="10" style="1" customWidth="1"/>
    <col min="13361" max="13362" width="8.85546875" style="1" customWidth="1"/>
    <col min="13363" max="13363" width="11" style="1" customWidth="1"/>
    <col min="13364" max="13365" width="9.5703125" style="1" customWidth="1"/>
    <col min="13366" max="13368" width="8.85546875" style="1" customWidth="1"/>
    <col min="13369" max="13369" width="10.42578125" style="1" customWidth="1"/>
    <col min="13370" max="13371" width="8.85546875" style="1" customWidth="1"/>
    <col min="13372" max="13372" width="9.7109375" style="1" customWidth="1"/>
    <col min="13373" max="13374" width="8.85546875" style="1" customWidth="1"/>
    <col min="13375" max="13375" width="9.28515625" style="1" customWidth="1"/>
    <col min="13376" max="13396" width="8.85546875" style="1" customWidth="1"/>
    <col min="13397" max="13397" width="9.85546875" style="1" customWidth="1"/>
    <col min="13398" max="13398" width="8.85546875" style="1" customWidth="1"/>
    <col min="13399" max="13399" width="10" style="1" customWidth="1"/>
    <col min="13400" max="13416" width="8.85546875" style="1" customWidth="1"/>
    <col min="13417" max="13417" width="9.42578125" style="1" customWidth="1"/>
    <col min="13418" max="13418" width="8.85546875" style="1" customWidth="1"/>
    <col min="13419" max="13419" width="12" style="1" customWidth="1"/>
    <col min="13420" max="13420" width="11.140625" style="1" customWidth="1"/>
    <col min="13421" max="13421" width="28.7109375" style="1" customWidth="1"/>
    <col min="13422" max="13422" width="5.85546875" style="1" customWidth="1"/>
    <col min="13423" max="13572" width="9.140625" style="1"/>
    <col min="13573" max="13573" width="3.42578125" style="1" customWidth="1"/>
    <col min="13574" max="13574" width="27.85546875" style="1" customWidth="1"/>
    <col min="13575" max="13575" width="11.85546875" style="1" customWidth="1"/>
    <col min="13576" max="13576" width="15.140625" style="1" customWidth="1"/>
    <col min="13577" max="13577" width="10.28515625" style="1" customWidth="1"/>
    <col min="13578" max="13579" width="9.7109375" style="1" customWidth="1"/>
    <col min="13580" max="13580" width="10.42578125" style="1" customWidth="1"/>
    <col min="13581" max="13581" width="10.42578125" style="1" bestFit="1" customWidth="1"/>
    <col min="13582" max="13582" width="16.28515625" style="1" customWidth="1"/>
    <col min="13583" max="13583" width="15.140625" style="1" customWidth="1"/>
    <col min="13584" max="13584" width="13.5703125" style="1" customWidth="1"/>
    <col min="13585" max="13585" width="10.5703125" style="1" customWidth="1"/>
    <col min="13586" max="13586" width="10.85546875" style="1" customWidth="1"/>
    <col min="13587" max="13587" width="18" style="1" customWidth="1"/>
    <col min="13588" max="13588" width="20.85546875" style="1" customWidth="1"/>
    <col min="13589" max="13589" width="13.5703125" style="1" customWidth="1"/>
    <col min="13590" max="13590" width="14.140625" style="1" customWidth="1"/>
    <col min="13591" max="13593" width="8.85546875" style="1" customWidth="1"/>
    <col min="13594" max="13594" width="9.28515625" style="1" customWidth="1"/>
    <col min="13595" max="13595" width="14" style="1" customWidth="1"/>
    <col min="13596" max="13597" width="8.85546875" style="1" customWidth="1"/>
    <col min="13598" max="13598" width="10.140625" style="1" customWidth="1"/>
    <col min="13599" max="13600" width="9.5703125" style="1" customWidth="1"/>
    <col min="13601" max="13601" width="9.85546875" style="1" customWidth="1"/>
    <col min="13602" max="13603" width="10.140625" style="1" customWidth="1"/>
    <col min="13604" max="13606" width="9.28515625" style="1" customWidth="1"/>
    <col min="13607" max="13607" width="9.85546875" style="1" customWidth="1"/>
    <col min="13608" max="13609" width="8.5703125" style="1" customWidth="1"/>
    <col min="13610" max="13612" width="8.85546875" style="1" customWidth="1"/>
    <col min="13613" max="13613" width="9.28515625" style="1" customWidth="1"/>
    <col min="13614" max="13615" width="8.85546875" style="1" customWidth="1"/>
    <col min="13616" max="13616" width="10" style="1" customWidth="1"/>
    <col min="13617" max="13618" width="8.85546875" style="1" customWidth="1"/>
    <col min="13619" max="13619" width="11" style="1" customWidth="1"/>
    <col min="13620" max="13621" width="9.5703125" style="1" customWidth="1"/>
    <col min="13622" max="13624" width="8.85546875" style="1" customWidth="1"/>
    <col min="13625" max="13625" width="10.42578125" style="1" customWidth="1"/>
    <col min="13626" max="13627" width="8.85546875" style="1" customWidth="1"/>
    <col min="13628" max="13628" width="9.7109375" style="1" customWidth="1"/>
    <col min="13629" max="13630" width="8.85546875" style="1" customWidth="1"/>
    <col min="13631" max="13631" width="9.28515625" style="1" customWidth="1"/>
    <col min="13632" max="13652" width="8.85546875" style="1" customWidth="1"/>
    <col min="13653" max="13653" width="9.85546875" style="1" customWidth="1"/>
    <col min="13654" max="13654" width="8.85546875" style="1" customWidth="1"/>
    <col min="13655" max="13655" width="10" style="1" customWidth="1"/>
    <col min="13656" max="13672" width="8.85546875" style="1" customWidth="1"/>
    <col min="13673" max="13673" width="9.42578125" style="1" customWidth="1"/>
    <col min="13674" max="13674" width="8.85546875" style="1" customWidth="1"/>
    <col min="13675" max="13675" width="12" style="1" customWidth="1"/>
    <col min="13676" max="13676" width="11.140625" style="1" customWidth="1"/>
    <col min="13677" max="13677" width="28.7109375" style="1" customWidth="1"/>
    <col min="13678" max="13678" width="5.85546875" style="1" customWidth="1"/>
    <col min="13679" max="13828" width="9.140625" style="1"/>
    <col min="13829" max="13829" width="3.42578125" style="1" customWidth="1"/>
    <col min="13830" max="13830" width="27.85546875" style="1" customWidth="1"/>
    <col min="13831" max="13831" width="11.85546875" style="1" customWidth="1"/>
    <col min="13832" max="13832" width="15.140625" style="1" customWidth="1"/>
    <col min="13833" max="13833" width="10.28515625" style="1" customWidth="1"/>
    <col min="13834" max="13835" width="9.7109375" style="1" customWidth="1"/>
    <col min="13836" max="13836" width="10.42578125" style="1" customWidth="1"/>
    <col min="13837" max="13837" width="10.42578125" style="1" bestFit="1" customWidth="1"/>
    <col min="13838" max="13838" width="16.28515625" style="1" customWidth="1"/>
    <col min="13839" max="13839" width="15.140625" style="1" customWidth="1"/>
    <col min="13840" max="13840" width="13.5703125" style="1" customWidth="1"/>
    <col min="13841" max="13841" width="10.5703125" style="1" customWidth="1"/>
    <col min="13842" max="13842" width="10.85546875" style="1" customWidth="1"/>
    <col min="13843" max="13843" width="18" style="1" customWidth="1"/>
    <col min="13844" max="13844" width="20.85546875" style="1" customWidth="1"/>
    <col min="13845" max="13845" width="13.5703125" style="1" customWidth="1"/>
    <col min="13846" max="13846" width="14.140625" style="1" customWidth="1"/>
    <col min="13847" max="13849" width="8.85546875" style="1" customWidth="1"/>
    <col min="13850" max="13850" width="9.28515625" style="1" customWidth="1"/>
    <col min="13851" max="13851" width="14" style="1" customWidth="1"/>
    <col min="13852" max="13853" width="8.85546875" style="1" customWidth="1"/>
    <col min="13854" max="13854" width="10.140625" style="1" customWidth="1"/>
    <col min="13855" max="13856" width="9.5703125" style="1" customWidth="1"/>
    <col min="13857" max="13857" width="9.85546875" style="1" customWidth="1"/>
    <col min="13858" max="13859" width="10.140625" style="1" customWidth="1"/>
    <col min="13860" max="13862" width="9.28515625" style="1" customWidth="1"/>
    <col min="13863" max="13863" width="9.85546875" style="1" customWidth="1"/>
    <col min="13864" max="13865" width="8.5703125" style="1" customWidth="1"/>
    <col min="13866" max="13868" width="8.85546875" style="1" customWidth="1"/>
    <col min="13869" max="13869" width="9.28515625" style="1" customWidth="1"/>
    <col min="13870" max="13871" width="8.85546875" style="1" customWidth="1"/>
    <col min="13872" max="13872" width="10" style="1" customWidth="1"/>
    <col min="13873" max="13874" width="8.85546875" style="1" customWidth="1"/>
    <col min="13875" max="13875" width="11" style="1" customWidth="1"/>
    <col min="13876" max="13877" width="9.5703125" style="1" customWidth="1"/>
    <col min="13878" max="13880" width="8.85546875" style="1" customWidth="1"/>
    <col min="13881" max="13881" width="10.42578125" style="1" customWidth="1"/>
    <col min="13882" max="13883" width="8.85546875" style="1" customWidth="1"/>
    <col min="13884" max="13884" width="9.7109375" style="1" customWidth="1"/>
    <col min="13885" max="13886" width="8.85546875" style="1" customWidth="1"/>
    <col min="13887" max="13887" width="9.28515625" style="1" customWidth="1"/>
    <col min="13888" max="13908" width="8.85546875" style="1" customWidth="1"/>
    <col min="13909" max="13909" width="9.85546875" style="1" customWidth="1"/>
    <col min="13910" max="13910" width="8.85546875" style="1" customWidth="1"/>
    <col min="13911" max="13911" width="10" style="1" customWidth="1"/>
    <col min="13912" max="13928" width="8.85546875" style="1" customWidth="1"/>
    <col min="13929" max="13929" width="9.42578125" style="1" customWidth="1"/>
    <col min="13930" max="13930" width="8.85546875" style="1" customWidth="1"/>
    <col min="13931" max="13931" width="12" style="1" customWidth="1"/>
    <col min="13932" max="13932" width="11.140625" style="1" customWidth="1"/>
    <col min="13933" max="13933" width="28.7109375" style="1" customWidth="1"/>
    <col min="13934" max="13934" width="5.85546875" style="1" customWidth="1"/>
    <col min="13935" max="14084" width="9.140625" style="1"/>
    <col min="14085" max="14085" width="3.42578125" style="1" customWidth="1"/>
    <col min="14086" max="14086" width="27.85546875" style="1" customWidth="1"/>
    <col min="14087" max="14087" width="11.85546875" style="1" customWidth="1"/>
    <col min="14088" max="14088" width="15.140625" style="1" customWidth="1"/>
    <col min="14089" max="14089" width="10.28515625" style="1" customWidth="1"/>
    <col min="14090" max="14091" width="9.7109375" style="1" customWidth="1"/>
    <col min="14092" max="14092" width="10.42578125" style="1" customWidth="1"/>
    <col min="14093" max="14093" width="10.42578125" style="1" bestFit="1" customWidth="1"/>
    <col min="14094" max="14094" width="16.28515625" style="1" customWidth="1"/>
    <col min="14095" max="14095" width="15.140625" style="1" customWidth="1"/>
    <col min="14096" max="14096" width="13.5703125" style="1" customWidth="1"/>
    <col min="14097" max="14097" width="10.5703125" style="1" customWidth="1"/>
    <col min="14098" max="14098" width="10.85546875" style="1" customWidth="1"/>
    <col min="14099" max="14099" width="18" style="1" customWidth="1"/>
    <col min="14100" max="14100" width="20.85546875" style="1" customWidth="1"/>
    <col min="14101" max="14101" width="13.5703125" style="1" customWidth="1"/>
    <col min="14102" max="14102" width="14.140625" style="1" customWidth="1"/>
    <col min="14103" max="14105" width="8.85546875" style="1" customWidth="1"/>
    <col min="14106" max="14106" width="9.28515625" style="1" customWidth="1"/>
    <col min="14107" max="14107" width="14" style="1" customWidth="1"/>
    <col min="14108" max="14109" width="8.85546875" style="1" customWidth="1"/>
    <col min="14110" max="14110" width="10.140625" style="1" customWidth="1"/>
    <col min="14111" max="14112" width="9.5703125" style="1" customWidth="1"/>
    <col min="14113" max="14113" width="9.85546875" style="1" customWidth="1"/>
    <col min="14114" max="14115" width="10.140625" style="1" customWidth="1"/>
    <col min="14116" max="14118" width="9.28515625" style="1" customWidth="1"/>
    <col min="14119" max="14119" width="9.85546875" style="1" customWidth="1"/>
    <col min="14120" max="14121" width="8.5703125" style="1" customWidth="1"/>
    <col min="14122" max="14124" width="8.85546875" style="1" customWidth="1"/>
    <col min="14125" max="14125" width="9.28515625" style="1" customWidth="1"/>
    <col min="14126" max="14127" width="8.85546875" style="1" customWidth="1"/>
    <col min="14128" max="14128" width="10" style="1" customWidth="1"/>
    <col min="14129" max="14130" width="8.85546875" style="1" customWidth="1"/>
    <col min="14131" max="14131" width="11" style="1" customWidth="1"/>
    <col min="14132" max="14133" width="9.5703125" style="1" customWidth="1"/>
    <col min="14134" max="14136" width="8.85546875" style="1" customWidth="1"/>
    <col min="14137" max="14137" width="10.42578125" style="1" customWidth="1"/>
    <col min="14138" max="14139" width="8.85546875" style="1" customWidth="1"/>
    <col min="14140" max="14140" width="9.7109375" style="1" customWidth="1"/>
    <col min="14141" max="14142" width="8.85546875" style="1" customWidth="1"/>
    <col min="14143" max="14143" width="9.28515625" style="1" customWidth="1"/>
    <col min="14144" max="14164" width="8.85546875" style="1" customWidth="1"/>
    <col min="14165" max="14165" width="9.85546875" style="1" customWidth="1"/>
    <col min="14166" max="14166" width="8.85546875" style="1" customWidth="1"/>
    <col min="14167" max="14167" width="10" style="1" customWidth="1"/>
    <col min="14168" max="14184" width="8.85546875" style="1" customWidth="1"/>
    <col min="14185" max="14185" width="9.42578125" style="1" customWidth="1"/>
    <col min="14186" max="14186" width="8.85546875" style="1" customWidth="1"/>
    <col min="14187" max="14187" width="12" style="1" customWidth="1"/>
    <col min="14188" max="14188" width="11.140625" style="1" customWidth="1"/>
    <col min="14189" max="14189" width="28.7109375" style="1" customWidth="1"/>
    <col min="14190" max="14190" width="5.85546875" style="1" customWidth="1"/>
    <col min="14191" max="14340" width="9.140625" style="1"/>
    <col min="14341" max="14341" width="3.42578125" style="1" customWidth="1"/>
    <col min="14342" max="14342" width="27.85546875" style="1" customWidth="1"/>
    <col min="14343" max="14343" width="11.85546875" style="1" customWidth="1"/>
    <col min="14344" max="14344" width="15.140625" style="1" customWidth="1"/>
    <col min="14345" max="14345" width="10.28515625" style="1" customWidth="1"/>
    <col min="14346" max="14347" width="9.7109375" style="1" customWidth="1"/>
    <col min="14348" max="14348" width="10.42578125" style="1" customWidth="1"/>
    <col min="14349" max="14349" width="10.42578125" style="1" bestFit="1" customWidth="1"/>
    <col min="14350" max="14350" width="16.28515625" style="1" customWidth="1"/>
    <col min="14351" max="14351" width="15.140625" style="1" customWidth="1"/>
    <col min="14352" max="14352" width="13.5703125" style="1" customWidth="1"/>
    <col min="14353" max="14353" width="10.5703125" style="1" customWidth="1"/>
    <col min="14354" max="14354" width="10.85546875" style="1" customWidth="1"/>
    <col min="14355" max="14355" width="18" style="1" customWidth="1"/>
    <col min="14356" max="14356" width="20.85546875" style="1" customWidth="1"/>
    <col min="14357" max="14357" width="13.5703125" style="1" customWidth="1"/>
    <col min="14358" max="14358" width="14.140625" style="1" customWidth="1"/>
    <col min="14359" max="14361" width="8.85546875" style="1" customWidth="1"/>
    <col min="14362" max="14362" width="9.28515625" style="1" customWidth="1"/>
    <col min="14363" max="14363" width="14" style="1" customWidth="1"/>
    <col min="14364" max="14365" width="8.85546875" style="1" customWidth="1"/>
    <col min="14366" max="14366" width="10.140625" style="1" customWidth="1"/>
    <col min="14367" max="14368" width="9.5703125" style="1" customWidth="1"/>
    <col min="14369" max="14369" width="9.85546875" style="1" customWidth="1"/>
    <col min="14370" max="14371" width="10.140625" style="1" customWidth="1"/>
    <col min="14372" max="14374" width="9.28515625" style="1" customWidth="1"/>
    <col min="14375" max="14375" width="9.85546875" style="1" customWidth="1"/>
    <col min="14376" max="14377" width="8.5703125" style="1" customWidth="1"/>
    <col min="14378" max="14380" width="8.85546875" style="1" customWidth="1"/>
    <col min="14381" max="14381" width="9.28515625" style="1" customWidth="1"/>
    <col min="14382" max="14383" width="8.85546875" style="1" customWidth="1"/>
    <col min="14384" max="14384" width="10" style="1" customWidth="1"/>
    <col min="14385" max="14386" width="8.85546875" style="1" customWidth="1"/>
    <col min="14387" max="14387" width="11" style="1" customWidth="1"/>
    <col min="14388" max="14389" width="9.5703125" style="1" customWidth="1"/>
    <col min="14390" max="14392" width="8.85546875" style="1" customWidth="1"/>
    <col min="14393" max="14393" width="10.42578125" style="1" customWidth="1"/>
    <col min="14394" max="14395" width="8.85546875" style="1" customWidth="1"/>
    <col min="14396" max="14396" width="9.7109375" style="1" customWidth="1"/>
    <col min="14397" max="14398" width="8.85546875" style="1" customWidth="1"/>
    <col min="14399" max="14399" width="9.28515625" style="1" customWidth="1"/>
    <col min="14400" max="14420" width="8.85546875" style="1" customWidth="1"/>
    <col min="14421" max="14421" width="9.85546875" style="1" customWidth="1"/>
    <col min="14422" max="14422" width="8.85546875" style="1" customWidth="1"/>
    <col min="14423" max="14423" width="10" style="1" customWidth="1"/>
    <col min="14424" max="14440" width="8.85546875" style="1" customWidth="1"/>
    <col min="14441" max="14441" width="9.42578125" style="1" customWidth="1"/>
    <col min="14442" max="14442" width="8.85546875" style="1" customWidth="1"/>
    <col min="14443" max="14443" width="12" style="1" customWidth="1"/>
    <col min="14444" max="14444" width="11.140625" style="1" customWidth="1"/>
    <col min="14445" max="14445" width="28.7109375" style="1" customWidth="1"/>
    <col min="14446" max="14446" width="5.85546875" style="1" customWidth="1"/>
    <col min="14447" max="14596" width="9.140625" style="1"/>
    <col min="14597" max="14597" width="3.42578125" style="1" customWidth="1"/>
    <col min="14598" max="14598" width="27.85546875" style="1" customWidth="1"/>
    <col min="14599" max="14599" width="11.85546875" style="1" customWidth="1"/>
    <col min="14600" max="14600" width="15.140625" style="1" customWidth="1"/>
    <col min="14601" max="14601" width="10.28515625" style="1" customWidth="1"/>
    <col min="14602" max="14603" width="9.7109375" style="1" customWidth="1"/>
    <col min="14604" max="14604" width="10.42578125" style="1" customWidth="1"/>
    <col min="14605" max="14605" width="10.42578125" style="1" bestFit="1" customWidth="1"/>
    <col min="14606" max="14606" width="16.28515625" style="1" customWidth="1"/>
    <col min="14607" max="14607" width="15.140625" style="1" customWidth="1"/>
    <col min="14608" max="14608" width="13.5703125" style="1" customWidth="1"/>
    <col min="14609" max="14609" width="10.5703125" style="1" customWidth="1"/>
    <col min="14610" max="14610" width="10.85546875" style="1" customWidth="1"/>
    <col min="14611" max="14611" width="18" style="1" customWidth="1"/>
    <col min="14612" max="14612" width="20.85546875" style="1" customWidth="1"/>
    <col min="14613" max="14613" width="13.5703125" style="1" customWidth="1"/>
    <col min="14614" max="14614" width="14.140625" style="1" customWidth="1"/>
    <col min="14615" max="14617" width="8.85546875" style="1" customWidth="1"/>
    <col min="14618" max="14618" width="9.28515625" style="1" customWidth="1"/>
    <col min="14619" max="14619" width="14" style="1" customWidth="1"/>
    <col min="14620" max="14621" width="8.85546875" style="1" customWidth="1"/>
    <col min="14622" max="14622" width="10.140625" style="1" customWidth="1"/>
    <col min="14623" max="14624" width="9.5703125" style="1" customWidth="1"/>
    <col min="14625" max="14625" width="9.85546875" style="1" customWidth="1"/>
    <col min="14626" max="14627" width="10.140625" style="1" customWidth="1"/>
    <col min="14628" max="14630" width="9.28515625" style="1" customWidth="1"/>
    <col min="14631" max="14631" width="9.85546875" style="1" customWidth="1"/>
    <col min="14632" max="14633" width="8.5703125" style="1" customWidth="1"/>
    <col min="14634" max="14636" width="8.85546875" style="1" customWidth="1"/>
    <col min="14637" max="14637" width="9.28515625" style="1" customWidth="1"/>
    <col min="14638" max="14639" width="8.85546875" style="1" customWidth="1"/>
    <col min="14640" max="14640" width="10" style="1" customWidth="1"/>
    <col min="14641" max="14642" width="8.85546875" style="1" customWidth="1"/>
    <col min="14643" max="14643" width="11" style="1" customWidth="1"/>
    <col min="14644" max="14645" width="9.5703125" style="1" customWidth="1"/>
    <col min="14646" max="14648" width="8.85546875" style="1" customWidth="1"/>
    <col min="14649" max="14649" width="10.42578125" style="1" customWidth="1"/>
    <col min="14650" max="14651" width="8.85546875" style="1" customWidth="1"/>
    <col min="14652" max="14652" width="9.7109375" style="1" customWidth="1"/>
    <col min="14653" max="14654" width="8.85546875" style="1" customWidth="1"/>
    <col min="14655" max="14655" width="9.28515625" style="1" customWidth="1"/>
    <col min="14656" max="14676" width="8.85546875" style="1" customWidth="1"/>
    <col min="14677" max="14677" width="9.85546875" style="1" customWidth="1"/>
    <col min="14678" max="14678" width="8.85546875" style="1" customWidth="1"/>
    <col min="14679" max="14679" width="10" style="1" customWidth="1"/>
    <col min="14680" max="14696" width="8.85546875" style="1" customWidth="1"/>
    <col min="14697" max="14697" width="9.42578125" style="1" customWidth="1"/>
    <col min="14698" max="14698" width="8.85546875" style="1" customWidth="1"/>
    <col min="14699" max="14699" width="12" style="1" customWidth="1"/>
    <col min="14700" max="14700" width="11.140625" style="1" customWidth="1"/>
    <col min="14701" max="14701" width="28.7109375" style="1" customWidth="1"/>
    <col min="14702" max="14702" width="5.85546875" style="1" customWidth="1"/>
    <col min="14703" max="14852" width="9.140625" style="1"/>
    <col min="14853" max="14853" width="3.42578125" style="1" customWidth="1"/>
    <col min="14854" max="14854" width="27.85546875" style="1" customWidth="1"/>
    <col min="14855" max="14855" width="11.85546875" style="1" customWidth="1"/>
    <col min="14856" max="14856" width="15.140625" style="1" customWidth="1"/>
    <col min="14857" max="14857" width="10.28515625" style="1" customWidth="1"/>
    <col min="14858" max="14859" width="9.7109375" style="1" customWidth="1"/>
    <col min="14860" max="14860" width="10.42578125" style="1" customWidth="1"/>
    <col min="14861" max="14861" width="10.42578125" style="1" bestFit="1" customWidth="1"/>
    <col min="14862" max="14862" width="16.28515625" style="1" customWidth="1"/>
    <col min="14863" max="14863" width="15.140625" style="1" customWidth="1"/>
    <col min="14864" max="14864" width="13.5703125" style="1" customWidth="1"/>
    <col min="14865" max="14865" width="10.5703125" style="1" customWidth="1"/>
    <col min="14866" max="14866" width="10.85546875" style="1" customWidth="1"/>
    <col min="14867" max="14867" width="18" style="1" customWidth="1"/>
    <col min="14868" max="14868" width="20.85546875" style="1" customWidth="1"/>
    <col min="14869" max="14869" width="13.5703125" style="1" customWidth="1"/>
    <col min="14870" max="14870" width="14.140625" style="1" customWidth="1"/>
    <col min="14871" max="14873" width="8.85546875" style="1" customWidth="1"/>
    <col min="14874" max="14874" width="9.28515625" style="1" customWidth="1"/>
    <col min="14875" max="14875" width="14" style="1" customWidth="1"/>
    <col min="14876" max="14877" width="8.85546875" style="1" customWidth="1"/>
    <col min="14878" max="14878" width="10.140625" style="1" customWidth="1"/>
    <col min="14879" max="14880" width="9.5703125" style="1" customWidth="1"/>
    <col min="14881" max="14881" width="9.85546875" style="1" customWidth="1"/>
    <col min="14882" max="14883" width="10.140625" style="1" customWidth="1"/>
    <col min="14884" max="14886" width="9.28515625" style="1" customWidth="1"/>
    <col min="14887" max="14887" width="9.85546875" style="1" customWidth="1"/>
    <col min="14888" max="14889" width="8.5703125" style="1" customWidth="1"/>
    <col min="14890" max="14892" width="8.85546875" style="1" customWidth="1"/>
    <col min="14893" max="14893" width="9.28515625" style="1" customWidth="1"/>
    <col min="14894" max="14895" width="8.85546875" style="1" customWidth="1"/>
    <col min="14896" max="14896" width="10" style="1" customWidth="1"/>
    <col min="14897" max="14898" width="8.85546875" style="1" customWidth="1"/>
    <col min="14899" max="14899" width="11" style="1" customWidth="1"/>
    <col min="14900" max="14901" width="9.5703125" style="1" customWidth="1"/>
    <col min="14902" max="14904" width="8.85546875" style="1" customWidth="1"/>
    <col min="14905" max="14905" width="10.42578125" style="1" customWidth="1"/>
    <col min="14906" max="14907" width="8.85546875" style="1" customWidth="1"/>
    <col min="14908" max="14908" width="9.7109375" style="1" customWidth="1"/>
    <col min="14909" max="14910" width="8.85546875" style="1" customWidth="1"/>
    <col min="14911" max="14911" width="9.28515625" style="1" customWidth="1"/>
    <col min="14912" max="14932" width="8.85546875" style="1" customWidth="1"/>
    <col min="14933" max="14933" width="9.85546875" style="1" customWidth="1"/>
    <col min="14934" max="14934" width="8.85546875" style="1" customWidth="1"/>
    <col min="14935" max="14935" width="10" style="1" customWidth="1"/>
    <col min="14936" max="14952" width="8.85546875" style="1" customWidth="1"/>
    <col min="14953" max="14953" width="9.42578125" style="1" customWidth="1"/>
    <col min="14954" max="14954" width="8.85546875" style="1" customWidth="1"/>
    <col min="14955" max="14955" width="12" style="1" customWidth="1"/>
    <col min="14956" max="14956" width="11.140625" style="1" customWidth="1"/>
    <col min="14957" max="14957" width="28.7109375" style="1" customWidth="1"/>
    <col min="14958" max="14958" width="5.85546875" style="1" customWidth="1"/>
    <col min="14959" max="15108" width="9.140625" style="1"/>
    <col min="15109" max="15109" width="3.42578125" style="1" customWidth="1"/>
    <col min="15110" max="15110" width="27.85546875" style="1" customWidth="1"/>
    <col min="15111" max="15111" width="11.85546875" style="1" customWidth="1"/>
    <col min="15112" max="15112" width="15.140625" style="1" customWidth="1"/>
    <col min="15113" max="15113" width="10.28515625" style="1" customWidth="1"/>
    <col min="15114" max="15115" width="9.7109375" style="1" customWidth="1"/>
    <col min="15116" max="15116" width="10.42578125" style="1" customWidth="1"/>
    <col min="15117" max="15117" width="10.42578125" style="1" bestFit="1" customWidth="1"/>
    <col min="15118" max="15118" width="16.28515625" style="1" customWidth="1"/>
    <col min="15119" max="15119" width="15.140625" style="1" customWidth="1"/>
    <col min="15120" max="15120" width="13.5703125" style="1" customWidth="1"/>
    <col min="15121" max="15121" width="10.5703125" style="1" customWidth="1"/>
    <col min="15122" max="15122" width="10.85546875" style="1" customWidth="1"/>
    <col min="15123" max="15123" width="18" style="1" customWidth="1"/>
    <col min="15124" max="15124" width="20.85546875" style="1" customWidth="1"/>
    <col min="15125" max="15125" width="13.5703125" style="1" customWidth="1"/>
    <col min="15126" max="15126" width="14.140625" style="1" customWidth="1"/>
    <col min="15127" max="15129" width="8.85546875" style="1" customWidth="1"/>
    <col min="15130" max="15130" width="9.28515625" style="1" customWidth="1"/>
    <col min="15131" max="15131" width="14" style="1" customWidth="1"/>
    <col min="15132" max="15133" width="8.85546875" style="1" customWidth="1"/>
    <col min="15134" max="15134" width="10.140625" style="1" customWidth="1"/>
    <col min="15135" max="15136" width="9.5703125" style="1" customWidth="1"/>
    <col min="15137" max="15137" width="9.85546875" style="1" customWidth="1"/>
    <col min="15138" max="15139" width="10.140625" style="1" customWidth="1"/>
    <col min="15140" max="15142" width="9.28515625" style="1" customWidth="1"/>
    <col min="15143" max="15143" width="9.85546875" style="1" customWidth="1"/>
    <col min="15144" max="15145" width="8.5703125" style="1" customWidth="1"/>
    <col min="15146" max="15148" width="8.85546875" style="1" customWidth="1"/>
    <col min="15149" max="15149" width="9.28515625" style="1" customWidth="1"/>
    <col min="15150" max="15151" width="8.85546875" style="1" customWidth="1"/>
    <col min="15152" max="15152" width="10" style="1" customWidth="1"/>
    <col min="15153" max="15154" width="8.85546875" style="1" customWidth="1"/>
    <col min="15155" max="15155" width="11" style="1" customWidth="1"/>
    <col min="15156" max="15157" width="9.5703125" style="1" customWidth="1"/>
    <col min="15158" max="15160" width="8.85546875" style="1" customWidth="1"/>
    <col min="15161" max="15161" width="10.42578125" style="1" customWidth="1"/>
    <col min="15162" max="15163" width="8.85546875" style="1" customWidth="1"/>
    <col min="15164" max="15164" width="9.7109375" style="1" customWidth="1"/>
    <col min="15165" max="15166" width="8.85546875" style="1" customWidth="1"/>
    <col min="15167" max="15167" width="9.28515625" style="1" customWidth="1"/>
    <col min="15168" max="15188" width="8.85546875" style="1" customWidth="1"/>
    <col min="15189" max="15189" width="9.85546875" style="1" customWidth="1"/>
    <col min="15190" max="15190" width="8.85546875" style="1" customWidth="1"/>
    <col min="15191" max="15191" width="10" style="1" customWidth="1"/>
    <col min="15192" max="15208" width="8.85546875" style="1" customWidth="1"/>
    <col min="15209" max="15209" width="9.42578125" style="1" customWidth="1"/>
    <col min="15210" max="15210" width="8.85546875" style="1" customWidth="1"/>
    <col min="15211" max="15211" width="12" style="1" customWidth="1"/>
    <col min="15212" max="15212" width="11.140625" style="1" customWidth="1"/>
    <col min="15213" max="15213" width="28.7109375" style="1" customWidth="1"/>
    <col min="15214" max="15214" width="5.85546875" style="1" customWidth="1"/>
    <col min="15215" max="15364" width="9.140625" style="1"/>
    <col min="15365" max="15365" width="3.42578125" style="1" customWidth="1"/>
    <col min="15366" max="15366" width="27.85546875" style="1" customWidth="1"/>
    <col min="15367" max="15367" width="11.85546875" style="1" customWidth="1"/>
    <col min="15368" max="15368" width="15.140625" style="1" customWidth="1"/>
    <col min="15369" max="15369" width="10.28515625" style="1" customWidth="1"/>
    <col min="15370" max="15371" width="9.7109375" style="1" customWidth="1"/>
    <col min="15372" max="15372" width="10.42578125" style="1" customWidth="1"/>
    <col min="15373" max="15373" width="10.42578125" style="1" bestFit="1" customWidth="1"/>
    <col min="15374" max="15374" width="16.28515625" style="1" customWidth="1"/>
    <col min="15375" max="15375" width="15.140625" style="1" customWidth="1"/>
    <col min="15376" max="15376" width="13.5703125" style="1" customWidth="1"/>
    <col min="15377" max="15377" width="10.5703125" style="1" customWidth="1"/>
    <col min="15378" max="15378" width="10.85546875" style="1" customWidth="1"/>
    <col min="15379" max="15379" width="18" style="1" customWidth="1"/>
    <col min="15380" max="15380" width="20.85546875" style="1" customWidth="1"/>
    <col min="15381" max="15381" width="13.5703125" style="1" customWidth="1"/>
    <col min="15382" max="15382" width="14.140625" style="1" customWidth="1"/>
    <col min="15383" max="15385" width="8.85546875" style="1" customWidth="1"/>
    <col min="15386" max="15386" width="9.28515625" style="1" customWidth="1"/>
    <col min="15387" max="15387" width="14" style="1" customWidth="1"/>
    <col min="15388" max="15389" width="8.85546875" style="1" customWidth="1"/>
    <col min="15390" max="15390" width="10.140625" style="1" customWidth="1"/>
    <col min="15391" max="15392" width="9.5703125" style="1" customWidth="1"/>
    <col min="15393" max="15393" width="9.85546875" style="1" customWidth="1"/>
    <col min="15394" max="15395" width="10.140625" style="1" customWidth="1"/>
    <col min="15396" max="15398" width="9.28515625" style="1" customWidth="1"/>
    <col min="15399" max="15399" width="9.85546875" style="1" customWidth="1"/>
    <col min="15400" max="15401" width="8.5703125" style="1" customWidth="1"/>
    <col min="15402" max="15404" width="8.85546875" style="1" customWidth="1"/>
    <col min="15405" max="15405" width="9.28515625" style="1" customWidth="1"/>
    <col min="15406" max="15407" width="8.85546875" style="1" customWidth="1"/>
    <col min="15408" max="15408" width="10" style="1" customWidth="1"/>
    <col min="15409" max="15410" width="8.85546875" style="1" customWidth="1"/>
    <col min="15411" max="15411" width="11" style="1" customWidth="1"/>
    <col min="15412" max="15413" width="9.5703125" style="1" customWidth="1"/>
    <col min="15414" max="15416" width="8.85546875" style="1" customWidth="1"/>
    <col min="15417" max="15417" width="10.42578125" style="1" customWidth="1"/>
    <col min="15418" max="15419" width="8.85546875" style="1" customWidth="1"/>
    <col min="15420" max="15420" width="9.7109375" style="1" customWidth="1"/>
    <col min="15421" max="15422" width="8.85546875" style="1" customWidth="1"/>
    <col min="15423" max="15423" width="9.28515625" style="1" customWidth="1"/>
    <col min="15424" max="15444" width="8.85546875" style="1" customWidth="1"/>
    <col min="15445" max="15445" width="9.85546875" style="1" customWidth="1"/>
    <col min="15446" max="15446" width="8.85546875" style="1" customWidth="1"/>
    <col min="15447" max="15447" width="10" style="1" customWidth="1"/>
    <col min="15448" max="15464" width="8.85546875" style="1" customWidth="1"/>
    <col min="15465" max="15465" width="9.42578125" style="1" customWidth="1"/>
    <col min="15466" max="15466" width="8.85546875" style="1" customWidth="1"/>
    <col min="15467" max="15467" width="12" style="1" customWidth="1"/>
    <col min="15468" max="15468" width="11.140625" style="1" customWidth="1"/>
    <col min="15469" max="15469" width="28.7109375" style="1" customWidth="1"/>
    <col min="15470" max="15470" width="5.85546875" style="1" customWidth="1"/>
    <col min="15471" max="15620" width="9.140625" style="1"/>
    <col min="15621" max="15621" width="3.42578125" style="1" customWidth="1"/>
    <col min="15622" max="15622" width="27.85546875" style="1" customWidth="1"/>
    <col min="15623" max="15623" width="11.85546875" style="1" customWidth="1"/>
    <col min="15624" max="15624" width="15.140625" style="1" customWidth="1"/>
    <col min="15625" max="15625" width="10.28515625" style="1" customWidth="1"/>
    <col min="15626" max="15627" width="9.7109375" style="1" customWidth="1"/>
    <col min="15628" max="15628" width="10.42578125" style="1" customWidth="1"/>
    <col min="15629" max="15629" width="10.42578125" style="1" bestFit="1" customWidth="1"/>
    <col min="15630" max="15630" width="16.28515625" style="1" customWidth="1"/>
    <col min="15631" max="15631" width="15.140625" style="1" customWidth="1"/>
    <col min="15632" max="15632" width="13.5703125" style="1" customWidth="1"/>
    <col min="15633" max="15633" width="10.5703125" style="1" customWidth="1"/>
    <col min="15634" max="15634" width="10.85546875" style="1" customWidth="1"/>
    <col min="15635" max="15635" width="18" style="1" customWidth="1"/>
    <col min="15636" max="15636" width="20.85546875" style="1" customWidth="1"/>
    <col min="15637" max="15637" width="13.5703125" style="1" customWidth="1"/>
    <col min="15638" max="15638" width="14.140625" style="1" customWidth="1"/>
    <col min="15639" max="15641" width="8.85546875" style="1" customWidth="1"/>
    <col min="15642" max="15642" width="9.28515625" style="1" customWidth="1"/>
    <col min="15643" max="15643" width="14" style="1" customWidth="1"/>
    <col min="15644" max="15645" width="8.85546875" style="1" customWidth="1"/>
    <col min="15646" max="15646" width="10.140625" style="1" customWidth="1"/>
    <col min="15647" max="15648" width="9.5703125" style="1" customWidth="1"/>
    <col min="15649" max="15649" width="9.85546875" style="1" customWidth="1"/>
    <col min="15650" max="15651" width="10.140625" style="1" customWidth="1"/>
    <col min="15652" max="15654" width="9.28515625" style="1" customWidth="1"/>
    <col min="15655" max="15655" width="9.85546875" style="1" customWidth="1"/>
    <col min="15656" max="15657" width="8.5703125" style="1" customWidth="1"/>
    <col min="15658" max="15660" width="8.85546875" style="1" customWidth="1"/>
    <col min="15661" max="15661" width="9.28515625" style="1" customWidth="1"/>
    <col min="15662" max="15663" width="8.85546875" style="1" customWidth="1"/>
    <col min="15664" max="15664" width="10" style="1" customWidth="1"/>
    <col min="15665" max="15666" width="8.85546875" style="1" customWidth="1"/>
    <col min="15667" max="15667" width="11" style="1" customWidth="1"/>
    <col min="15668" max="15669" width="9.5703125" style="1" customWidth="1"/>
    <col min="15670" max="15672" width="8.85546875" style="1" customWidth="1"/>
    <col min="15673" max="15673" width="10.42578125" style="1" customWidth="1"/>
    <col min="15674" max="15675" width="8.85546875" style="1" customWidth="1"/>
    <col min="15676" max="15676" width="9.7109375" style="1" customWidth="1"/>
    <col min="15677" max="15678" width="8.85546875" style="1" customWidth="1"/>
    <col min="15679" max="15679" width="9.28515625" style="1" customWidth="1"/>
    <col min="15680" max="15700" width="8.85546875" style="1" customWidth="1"/>
    <col min="15701" max="15701" width="9.85546875" style="1" customWidth="1"/>
    <col min="15702" max="15702" width="8.85546875" style="1" customWidth="1"/>
    <col min="15703" max="15703" width="10" style="1" customWidth="1"/>
    <col min="15704" max="15720" width="8.85546875" style="1" customWidth="1"/>
    <col min="15721" max="15721" width="9.42578125" style="1" customWidth="1"/>
    <col min="15722" max="15722" width="8.85546875" style="1" customWidth="1"/>
    <col min="15723" max="15723" width="12" style="1" customWidth="1"/>
    <col min="15724" max="15724" width="11.140625" style="1" customWidth="1"/>
    <col min="15725" max="15725" width="28.7109375" style="1" customWidth="1"/>
    <col min="15726" max="15726" width="5.85546875" style="1" customWidth="1"/>
    <col min="15727" max="15876" width="9.140625" style="1"/>
    <col min="15877" max="15877" width="3.42578125" style="1" customWidth="1"/>
    <col min="15878" max="15878" width="27.85546875" style="1" customWidth="1"/>
    <col min="15879" max="15879" width="11.85546875" style="1" customWidth="1"/>
    <col min="15880" max="15880" width="15.140625" style="1" customWidth="1"/>
    <col min="15881" max="15881" width="10.28515625" style="1" customWidth="1"/>
    <col min="15882" max="15883" width="9.7109375" style="1" customWidth="1"/>
    <col min="15884" max="15884" width="10.42578125" style="1" customWidth="1"/>
    <col min="15885" max="15885" width="10.42578125" style="1" bestFit="1" customWidth="1"/>
    <col min="15886" max="15886" width="16.28515625" style="1" customWidth="1"/>
    <col min="15887" max="15887" width="15.140625" style="1" customWidth="1"/>
    <col min="15888" max="15888" width="13.5703125" style="1" customWidth="1"/>
    <col min="15889" max="15889" width="10.5703125" style="1" customWidth="1"/>
    <col min="15890" max="15890" width="10.85546875" style="1" customWidth="1"/>
    <col min="15891" max="15891" width="18" style="1" customWidth="1"/>
    <col min="15892" max="15892" width="20.85546875" style="1" customWidth="1"/>
    <col min="15893" max="15893" width="13.5703125" style="1" customWidth="1"/>
    <col min="15894" max="15894" width="14.140625" style="1" customWidth="1"/>
    <col min="15895" max="15897" width="8.85546875" style="1" customWidth="1"/>
    <col min="15898" max="15898" width="9.28515625" style="1" customWidth="1"/>
    <col min="15899" max="15899" width="14" style="1" customWidth="1"/>
    <col min="15900" max="15901" width="8.85546875" style="1" customWidth="1"/>
    <col min="15902" max="15902" width="10.140625" style="1" customWidth="1"/>
    <col min="15903" max="15904" width="9.5703125" style="1" customWidth="1"/>
    <col min="15905" max="15905" width="9.85546875" style="1" customWidth="1"/>
    <col min="15906" max="15907" width="10.140625" style="1" customWidth="1"/>
    <col min="15908" max="15910" width="9.28515625" style="1" customWidth="1"/>
    <col min="15911" max="15911" width="9.85546875" style="1" customWidth="1"/>
    <col min="15912" max="15913" width="8.5703125" style="1" customWidth="1"/>
    <col min="15914" max="15916" width="8.85546875" style="1" customWidth="1"/>
    <col min="15917" max="15917" width="9.28515625" style="1" customWidth="1"/>
    <col min="15918" max="15919" width="8.85546875" style="1" customWidth="1"/>
    <col min="15920" max="15920" width="10" style="1" customWidth="1"/>
    <col min="15921" max="15922" width="8.85546875" style="1" customWidth="1"/>
    <col min="15923" max="15923" width="11" style="1" customWidth="1"/>
    <col min="15924" max="15925" width="9.5703125" style="1" customWidth="1"/>
    <col min="15926" max="15928" width="8.85546875" style="1" customWidth="1"/>
    <col min="15929" max="15929" width="10.42578125" style="1" customWidth="1"/>
    <col min="15930" max="15931" width="8.85546875" style="1" customWidth="1"/>
    <col min="15932" max="15932" width="9.7109375" style="1" customWidth="1"/>
    <col min="15933" max="15934" width="8.85546875" style="1" customWidth="1"/>
    <col min="15935" max="15935" width="9.28515625" style="1" customWidth="1"/>
    <col min="15936" max="15956" width="8.85546875" style="1" customWidth="1"/>
    <col min="15957" max="15957" width="9.85546875" style="1" customWidth="1"/>
    <col min="15958" max="15958" width="8.85546875" style="1" customWidth="1"/>
    <col min="15959" max="15959" width="10" style="1" customWidth="1"/>
    <col min="15960" max="15976" width="8.85546875" style="1" customWidth="1"/>
    <col min="15977" max="15977" width="9.42578125" style="1" customWidth="1"/>
    <col min="15978" max="15978" width="8.85546875" style="1" customWidth="1"/>
    <col min="15979" max="15979" width="12" style="1" customWidth="1"/>
    <col min="15980" max="15980" width="11.140625" style="1" customWidth="1"/>
    <col min="15981" max="15981" width="28.7109375" style="1" customWidth="1"/>
    <col min="15982" max="15982" width="5.85546875" style="1" customWidth="1"/>
    <col min="15983" max="16132" width="9.140625" style="1"/>
    <col min="16133" max="16133" width="3.42578125" style="1" customWidth="1"/>
    <col min="16134" max="16134" width="27.85546875" style="1" customWidth="1"/>
    <col min="16135" max="16135" width="11.85546875" style="1" customWidth="1"/>
    <col min="16136" max="16136" width="15.140625" style="1" customWidth="1"/>
    <col min="16137" max="16137" width="10.28515625" style="1" customWidth="1"/>
    <col min="16138" max="16139" width="9.7109375" style="1" customWidth="1"/>
    <col min="16140" max="16140" width="10.42578125" style="1" customWidth="1"/>
    <col min="16141" max="16141" width="10.42578125" style="1" bestFit="1" customWidth="1"/>
    <col min="16142" max="16142" width="16.28515625" style="1" customWidth="1"/>
    <col min="16143" max="16143" width="15.140625" style="1" customWidth="1"/>
    <col min="16144" max="16144" width="13.5703125" style="1" customWidth="1"/>
    <col min="16145" max="16145" width="10.5703125" style="1" customWidth="1"/>
    <col min="16146" max="16146" width="10.85546875" style="1" customWidth="1"/>
    <col min="16147" max="16147" width="18" style="1" customWidth="1"/>
    <col min="16148" max="16148" width="20.85546875" style="1" customWidth="1"/>
    <col min="16149" max="16149" width="13.5703125" style="1" customWidth="1"/>
    <col min="16150" max="16150" width="14.140625" style="1" customWidth="1"/>
    <col min="16151" max="16153" width="8.85546875" style="1" customWidth="1"/>
    <col min="16154" max="16154" width="9.28515625" style="1" customWidth="1"/>
    <col min="16155" max="16155" width="14" style="1" customWidth="1"/>
    <col min="16156" max="16157" width="8.85546875" style="1" customWidth="1"/>
    <col min="16158" max="16158" width="10.140625" style="1" customWidth="1"/>
    <col min="16159" max="16160" width="9.5703125" style="1" customWidth="1"/>
    <col min="16161" max="16161" width="9.85546875" style="1" customWidth="1"/>
    <col min="16162" max="16163" width="10.140625" style="1" customWidth="1"/>
    <col min="16164" max="16166" width="9.28515625" style="1" customWidth="1"/>
    <col min="16167" max="16167" width="9.85546875" style="1" customWidth="1"/>
    <col min="16168" max="16169" width="8.5703125" style="1" customWidth="1"/>
    <col min="16170" max="16172" width="8.85546875" style="1" customWidth="1"/>
    <col min="16173" max="16173" width="9.28515625" style="1" customWidth="1"/>
    <col min="16174" max="16175" width="8.85546875" style="1" customWidth="1"/>
    <col min="16176" max="16176" width="10" style="1" customWidth="1"/>
    <col min="16177" max="16178" width="8.85546875" style="1" customWidth="1"/>
    <col min="16179" max="16179" width="11" style="1" customWidth="1"/>
    <col min="16180" max="16181" width="9.5703125" style="1" customWidth="1"/>
    <col min="16182" max="16184" width="8.85546875" style="1" customWidth="1"/>
    <col min="16185" max="16185" width="10.42578125" style="1" customWidth="1"/>
    <col min="16186" max="16187" width="8.85546875" style="1" customWidth="1"/>
    <col min="16188" max="16188" width="9.7109375" style="1" customWidth="1"/>
    <col min="16189" max="16190" width="8.85546875" style="1" customWidth="1"/>
    <col min="16191" max="16191" width="9.28515625" style="1" customWidth="1"/>
    <col min="16192" max="16212" width="8.85546875" style="1" customWidth="1"/>
    <col min="16213" max="16213" width="9.85546875" style="1" customWidth="1"/>
    <col min="16214" max="16214" width="8.85546875" style="1" customWidth="1"/>
    <col min="16215" max="16215" width="10" style="1" customWidth="1"/>
    <col min="16216" max="16232" width="8.85546875" style="1" customWidth="1"/>
    <col min="16233" max="16233" width="9.42578125" style="1" customWidth="1"/>
    <col min="16234" max="16234" width="8.85546875" style="1" customWidth="1"/>
    <col min="16235" max="16235" width="12" style="1" customWidth="1"/>
    <col min="16236" max="16236" width="11.140625" style="1" customWidth="1"/>
    <col min="16237" max="16237" width="28.7109375" style="1" customWidth="1"/>
    <col min="16238" max="16238" width="5.85546875" style="1" customWidth="1"/>
    <col min="16239" max="16384" width="9.140625" style="1"/>
  </cols>
  <sheetData>
    <row r="1" spans="1:110">
      <c r="T1" s="869"/>
      <c r="U1" s="869"/>
      <c r="V1" s="11"/>
      <c r="W1" s="11"/>
      <c r="X1" s="11"/>
      <c r="Y1" s="11"/>
      <c r="Z1" s="11"/>
      <c r="AA1" s="11"/>
      <c r="AB1" s="11"/>
      <c r="AC1" s="11"/>
      <c r="AD1" s="11"/>
      <c r="AE1" s="11"/>
      <c r="AF1" s="80"/>
      <c r="AG1" s="846"/>
      <c r="AH1" s="847"/>
      <c r="AI1" s="847"/>
      <c r="AJ1" s="847"/>
      <c r="AK1" s="847"/>
      <c r="AL1" s="847"/>
      <c r="AM1" s="847"/>
      <c r="AN1" s="847"/>
      <c r="AO1" s="847"/>
      <c r="AP1" s="847"/>
      <c r="AQ1" s="847"/>
      <c r="AR1" s="847"/>
      <c r="AS1" s="847"/>
      <c r="AT1" s="847"/>
      <c r="AU1" s="847"/>
      <c r="AV1" s="847"/>
      <c r="AW1" s="847"/>
      <c r="AX1" s="847"/>
      <c r="AY1" s="847"/>
      <c r="AZ1" s="847"/>
      <c r="BA1" s="847"/>
      <c r="BB1" s="847"/>
      <c r="BC1" s="847"/>
      <c r="BD1" s="847"/>
      <c r="BE1" s="847"/>
      <c r="BF1" s="847"/>
      <c r="BG1" s="847"/>
      <c r="BH1" s="847"/>
      <c r="BI1" s="847"/>
      <c r="BJ1" s="847"/>
      <c r="BK1" s="847"/>
      <c r="BL1" s="847"/>
      <c r="BM1" s="847"/>
      <c r="BN1" s="847"/>
      <c r="BO1" s="847"/>
      <c r="BP1" s="847"/>
      <c r="BQ1" s="847"/>
      <c r="BR1" s="847"/>
      <c r="BS1" s="847"/>
      <c r="BT1" s="847"/>
      <c r="BU1" s="847"/>
      <c r="BV1" s="847"/>
      <c r="BW1" s="847"/>
      <c r="BX1" s="847"/>
      <c r="BY1" s="847"/>
      <c r="BZ1" s="847"/>
      <c r="CA1" s="847"/>
      <c r="CB1" s="847"/>
      <c r="CC1" s="847"/>
      <c r="CD1" s="847"/>
      <c r="CE1" s="847"/>
      <c r="CF1" s="847"/>
      <c r="CG1" s="847"/>
      <c r="CH1" s="847"/>
      <c r="CI1" s="847"/>
      <c r="CJ1" s="847"/>
      <c r="CK1" s="847"/>
      <c r="CL1" s="847"/>
      <c r="CM1" s="847"/>
      <c r="CN1" s="847"/>
      <c r="CO1" s="847"/>
      <c r="CP1" s="847"/>
      <c r="CQ1" s="847"/>
      <c r="CR1" s="847"/>
      <c r="CS1" s="847"/>
      <c r="CT1" s="847"/>
      <c r="CU1" s="847"/>
      <c r="CV1" s="847"/>
      <c r="CW1" s="847"/>
      <c r="CX1" s="847"/>
      <c r="CY1" s="847"/>
      <c r="CZ1" s="847"/>
      <c r="DA1" s="847"/>
      <c r="DB1" s="847"/>
      <c r="DC1" s="847"/>
      <c r="DD1" s="847"/>
      <c r="DE1" s="847"/>
      <c r="DF1" s="847"/>
    </row>
    <row r="2" spans="1:110" ht="18.75"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AG2" s="847"/>
      <c r="AH2" s="847"/>
      <c r="AI2" s="847"/>
      <c r="AJ2" s="847"/>
      <c r="AK2" s="847"/>
      <c r="AL2" s="847"/>
      <c r="AM2" s="847"/>
      <c r="AN2" s="847"/>
      <c r="AO2" s="847"/>
      <c r="AP2" s="847"/>
      <c r="AQ2" s="847"/>
      <c r="AR2" s="847"/>
      <c r="AS2" s="847"/>
      <c r="AT2" s="847"/>
      <c r="AU2" s="847"/>
      <c r="AV2" s="847"/>
      <c r="AW2" s="847"/>
      <c r="AX2" s="847"/>
      <c r="AY2" s="847"/>
      <c r="AZ2" s="847"/>
      <c r="BA2" s="847"/>
      <c r="BB2" s="847"/>
      <c r="BC2" s="847"/>
      <c r="BD2" s="847"/>
      <c r="BE2" s="847"/>
      <c r="BF2" s="847"/>
      <c r="BG2" s="847"/>
      <c r="BH2" s="847"/>
      <c r="BI2" s="847"/>
      <c r="BJ2" s="847"/>
      <c r="BK2" s="847"/>
      <c r="BL2" s="847"/>
      <c r="BM2" s="847"/>
      <c r="BN2" s="847"/>
      <c r="BO2" s="847"/>
      <c r="BP2" s="847"/>
      <c r="BQ2" s="847"/>
      <c r="BR2" s="847"/>
      <c r="BS2" s="847"/>
      <c r="BT2" s="847"/>
      <c r="BU2" s="847"/>
      <c r="BV2" s="847"/>
      <c r="BW2" s="847"/>
      <c r="BX2" s="847"/>
      <c r="BY2" s="847"/>
      <c r="BZ2" s="847"/>
      <c r="CA2" s="847"/>
      <c r="CB2" s="847"/>
      <c r="CC2" s="847"/>
      <c r="CD2" s="847"/>
      <c r="CE2" s="847"/>
      <c r="CF2" s="847"/>
      <c r="CG2" s="847"/>
      <c r="CH2" s="847"/>
      <c r="CI2" s="847"/>
      <c r="CJ2" s="847"/>
      <c r="CK2" s="847"/>
      <c r="CL2" s="847"/>
      <c r="CM2" s="847"/>
      <c r="CN2" s="847"/>
      <c r="CO2" s="847"/>
      <c r="CP2" s="847"/>
      <c r="CQ2" s="847"/>
      <c r="CR2" s="847"/>
      <c r="CS2" s="847"/>
      <c r="CT2" s="847"/>
      <c r="CU2" s="847"/>
      <c r="CV2" s="847"/>
      <c r="CW2" s="847"/>
      <c r="CX2" s="847"/>
      <c r="CY2" s="847"/>
      <c r="CZ2" s="847"/>
      <c r="DA2" s="847"/>
      <c r="DB2" s="847"/>
      <c r="DC2" s="847"/>
      <c r="DD2" s="847"/>
      <c r="DE2" s="847"/>
      <c r="DF2" s="847"/>
    </row>
    <row r="3" spans="1:110" ht="19.5" thickBot="1">
      <c r="A3" s="850"/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12"/>
      <c r="AA3" s="12"/>
      <c r="AB3" s="12"/>
      <c r="AC3" s="13"/>
      <c r="AD3" s="13"/>
      <c r="AE3" s="13"/>
      <c r="AF3" s="13"/>
      <c r="AG3" s="847"/>
      <c r="AH3" s="847"/>
      <c r="AI3" s="847"/>
      <c r="AJ3" s="847"/>
      <c r="AK3" s="847"/>
      <c r="AL3" s="847"/>
      <c r="AM3" s="847"/>
      <c r="AN3" s="847"/>
      <c r="AO3" s="847"/>
      <c r="AP3" s="847"/>
      <c r="AQ3" s="847"/>
      <c r="AR3" s="847"/>
      <c r="AS3" s="847"/>
      <c r="AT3" s="847"/>
      <c r="AU3" s="847"/>
      <c r="AV3" s="847"/>
      <c r="AW3" s="847"/>
      <c r="AX3" s="847"/>
      <c r="AY3" s="847"/>
      <c r="AZ3" s="847"/>
      <c r="BA3" s="847"/>
      <c r="BB3" s="847"/>
      <c r="BC3" s="847"/>
      <c r="BD3" s="847"/>
      <c r="BE3" s="847"/>
      <c r="BF3" s="847"/>
      <c r="BG3" s="847"/>
      <c r="BH3" s="847"/>
      <c r="BI3" s="847"/>
      <c r="BJ3" s="847"/>
      <c r="BK3" s="847"/>
      <c r="BL3" s="847"/>
      <c r="BM3" s="847"/>
      <c r="BN3" s="847"/>
      <c r="BO3" s="847"/>
      <c r="BP3" s="847"/>
      <c r="BQ3" s="847"/>
      <c r="BR3" s="847"/>
      <c r="BS3" s="847"/>
      <c r="BT3" s="847"/>
      <c r="BU3" s="847"/>
      <c r="BV3" s="847"/>
      <c r="BW3" s="847"/>
      <c r="BX3" s="847"/>
      <c r="BY3" s="847"/>
      <c r="BZ3" s="847"/>
      <c r="CA3" s="847"/>
      <c r="CB3" s="847"/>
      <c r="CC3" s="847"/>
      <c r="CD3" s="847"/>
      <c r="CE3" s="847"/>
      <c r="CF3" s="847"/>
      <c r="CG3" s="847"/>
      <c r="CH3" s="847"/>
      <c r="CI3" s="847"/>
      <c r="CJ3" s="847"/>
      <c r="CK3" s="847"/>
      <c r="CL3" s="847"/>
      <c r="CM3" s="847"/>
      <c r="CN3" s="847"/>
      <c r="CO3" s="847"/>
      <c r="CP3" s="847"/>
      <c r="CQ3" s="847"/>
      <c r="CR3" s="847"/>
      <c r="CS3" s="847"/>
      <c r="CT3" s="847"/>
      <c r="CU3" s="847"/>
      <c r="CV3" s="847"/>
      <c r="CW3" s="847"/>
      <c r="CX3" s="847"/>
      <c r="CY3" s="847"/>
      <c r="CZ3" s="847"/>
      <c r="DA3" s="847"/>
      <c r="DB3" s="847"/>
      <c r="DC3" s="847"/>
      <c r="DD3" s="847"/>
      <c r="DE3" s="847"/>
      <c r="DF3" s="847"/>
    </row>
    <row r="4" spans="1:110" ht="28.5" customHeight="1">
      <c r="A4" s="851" t="s">
        <v>23</v>
      </c>
      <c r="B4" s="861" t="s">
        <v>0</v>
      </c>
      <c r="C4" s="861" t="s">
        <v>29</v>
      </c>
      <c r="D4" s="861" t="s">
        <v>30</v>
      </c>
      <c r="E4" s="854" t="s">
        <v>24</v>
      </c>
      <c r="F4" s="854"/>
      <c r="G4" s="854"/>
      <c r="H4" s="854"/>
      <c r="I4" s="854" t="s">
        <v>25</v>
      </c>
      <c r="J4" s="854"/>
      <c r="K4" s="854"/>
      <c r="L4" s="854"/>
      <c r="M4" s="854"/>
      <c r="N4" s="854"/>
      <c r="O4" s="854"/>
      <c r="P4" s="854"/>
      <c r="Q4" s="854"/>
      <c r="R4" s="854"/>
      <c r="S4" s="854"/>
      <c r="T4" s="854" t="s">
        <v>26</v>
      </c>
      <c r="U4" s="855"/>
      <c r="V4" s="854" t="s">
        <v>27</v>
      </c>
      <c r="W4" s="855"/>
      <c r="X4" s="870"/>
      <c r="Y4" s="871"/>
      <c r="Z4" s="873" t="s">
        <v>28</v>
      </c>
      <c r="AA4" s="874"/>
      <c r="AB4" s="875"/>
      <c r="AC4" s="871"/>
      <c r="AD4" s="871"/>
      <c r="AE4" s="876"/>
      <c r="AF4" s="866" t="s">
        <v>74</v>
      </c>
      <c r="AG4" s="847"/>
      <c r="AH4" s="847"/>
      <c r="AI4" s="847"/>
      <c r="AJ4" s="847"/>
      <c r="AK4" s="847"/>
      <c r="AL4" s="847"/>
      <c r="AM4" s="847"/>
      <c r="AN4" s="847"/>
      <c r="AO4" s="847"/>
      <c r="AP4" s="847"/>
      <c r="AQ4" s="847"/>
      <c r="AR4" s="847"/>
      <c r="AS4" s="847"/>
      <c r="AT4" s="847"/>
      <c r="AU4" s="847"/>
      <c r="AV4" s="847"/>
      <c r="AW4" s="847"/>
      <c r="AX4" s="847"/>
      <c r="AY4" s="847"/>
      <c r="AZ4" s="847"/>
      <c r="BA4" s="847"/>
      <c r="BB4" s="847"/>
      <c r="BC4" s="847"/>
      <c r="BD4" s="847"/>
      <c r="BE4" s="847"/>
      <c r="BF4" s="847"/>
      <c r="BG4" s="847"/>
      <c r="BH4" s="847"/>
      <c r="BI4" s="847"/>
      <c r="BJ4" s="847"/>
      <c r="BK4" s="847"/>
      <c r="BL4" s="847"/>
      <c r="BM4" s="847"/>
      <c r="BN4" s="847"/>
      <c r="BO4" s="847"/>
      <c r="BP4" s="847"/>
      <c r="BQ4" s="847"/>
      <c r="BR4" s="847"/>
      <c r="BS4" s="847"/>
      <c r="BT4" s="847"/>
      <c r="BU4" s="847"/>
      <c r="BV4" s="847"/>
      <c r="BW4" s="847"/>
      <c r="BX4" s="847"/>
      <c r="BY4" s="847"/>
      <c r="BZ4" s="847"/>
      <c r="CA4" s="847"/>
      <c r="CB4" s="847"/>
      <c r="CC4" s="847"/>
      <c r="CD4" s="847"/>
      <c r="CE4" s="847"/>
      <c r="CF4" s="847"/>
      <c r="CG4" s="847"/>
      <c r="CH4" s="847"/>
      <c r="CI4" s="847"/>
      <c r="CJ4" s="847"/>
      <c r="CK4" s="847"/>
      <c r="CL4" s="847"/>
      <c r="CM4" s="847"/>
      <c r="CN4" s="847"/>
      <c r="CO4" s="847"/>
      <c r="CP4" s="847"/>
      <c r="CQ4" s="847"/>
      <c r="CR4" s="847"/>
      <c r="CS4" s="847"/>
      <c r="CT4" s="847"/>
      <c r="CU4" s="847"/>
      <c r="CV4" s="847"/>
      <c r="CW4" s="847"/>
      <c r="CX4" s="847"/>
      <c r="CY4" s="847"/>
      <c r="CZ4" s="847"/>
      <c r="DA4" s="847"/>
      <c r="DB4" s="847"/>
      <c r="DC4" s="847"/>
      <c r="DD4" s="847"/>
      <c r="DE4" s="847"/>
      <c r="DF4" s="847"/>
    </row>
    <row r="5" spans="1:110" ht="64.5" customHeight="1">
      <c r="A5" s="852"/>
      <c r="B5" s="862"/>
      <c r="C5" s="841"/>
      <c r="D5" s="841"/>
      <c r="E5" s="864"/>
      <c r="F5" s="864"/>
      <c r="G5" s="864"/>
      <c r="H5" s="864"/>
      <c r="I5" s="841" t="s">
        <v>1</v>
      </c>
      <c r="J5" s="841"/>
      <c r="K5" s="841"/>
      <c r="L5" s="841" t="s">
        <v>2</v>
      </c>
      <c r="M5" s="841" t="s">
        <v>33</v>
      </c>
      <c r="N5" s="841" t="s">
        <v>34</v>
      </c>
      <c r="O5" s="841" t="s">
        <v>35</v>
      </c>
      <c r="P5" s="841" t="s">
        <v>36</v>
      </c>
      <c r="Q5" s="841" t="s">
        <v>37</v>
      </c>
      <c r="R5" s="841" t="s">
        <v>38</v>
      </c>
      <c r="S5" s="841" t="s">
        <v>39</v>
      </c>
      <c r="T5" s="856"/>
      <c r="U5" s="856"/>
      <c r="V5" s="856"/>
      <c r="W5" s="856"/>
      <c r="X5" s="872"/>
      <c r="Y5" s="843"/>
      <c r="Z5" s="877"/>
      <c r="AA5" s="877"/>
      <c r="AB5" s="878"/>
      <c r="AC5" s="843"/>
      <c r="AD5" s="843"/>
      <c r="AE5" s="879"/>
      <c r="AF5" s="867"/>
      <c r="AG5" s="847"/>
      <c r="AH5" s="847"/>
      <c r="AI5" s="847"/>
      <c r="AJ5" s="847"/>
      <c r="AK5" s="847"/>
      <c r="AL5" s="847"/>
      <c r="AM5" s="847"/>
      <c r="AN5" s="847"/>
      <c r="AO5" s="847"/>
      <c r="AP5" s="847"/>
      <c r="AQ5" s="847"/>
      <c r="AR5" s="847"/>
      <c r="AS5" s="847"/>
      <c r="AT5" s="847"/>
      <c r="AU5" s="847"/>
      <c r="AV5" s="847"/>
      <c r="AW5" s="847"/>
      <c r="AX5" s="847"/>
      <c r="AY5" s="847"/>
      <c r="AZ5" s="847"/>
      <c r="BA5" s="847"/>
      <c r="BB5" s="847"/>
      <c r="BC5" s="847"/>
      <c r="BD5" s="847"/>
      <c r="BE5" s="847"/>
      <c r="BF5" s="847"/>
      <c r="BG5" s="847"/>
      <c r="BH5" s="847"/>
      <c r="BI5" s="847"/>
      <c r="BJ5" s="847"/>
      <c r="BK5" s="847"/>
      <c r="BL5" s="847"/>
      <c r="BM5" s="847"/>
      <c r="BN5" s="847"/>
      <c r="BO5" s="847"/>
      <c r="BP5" s="847"/>
      <c r="BQ5" s="847"/>
      <c r="BR5" s="847"/>
      <c r="BS5" s="847"/>
      <c r="BT5" s="847"/>
      <c r="BU5" s="847"/>
      <c r="BV5" s="847"/>
      <c r="BW5" s="847"/>
      <c r="BX5" s="847"/>
      <c r="BY5" s="847"/>
      <c r="BZ5" s="847"/>
      <c r="CA5" s="847"/>
      <c r="CB5" s="847"/>
      <c r="CC5" s="847"/>
      <c r="CD5" s="847"/>
      <c r="CE5" s="847"/>
      <c r="CF5" s="847"/>
      <c r="CG5" s="847"/>
      <c r="CH5" s="847"/>
      <c r="CI5" s="847"/>
      <c r="CJ5" s="847"/>
      <c r="CK5" s="847"/>
      <c r="CL5" s="847"/>
      <c r="CM5" s="847"/>
      <c r="CN5" s="847"/>
      <c r="CO5" s="847"/>
      <c r="CP5" s="847"/>
      <c r="CQ5" s="847"/>
      <c r="CR5" s="847"/>
      <c r="CS5" s="847"/>
      <c r="CT5" s="847"/>
      <c r="CU5" s="847"/>
      <c r="CV5" s="847"/>
      <c r="CW5" s="847"/>
      <c r="CX5" s="847"/>
      <c r="CY5" s="847"/>
      <c r="CZ5" s="847"/>
      <c r="DA5" s="847"/>
      <c r="DB5" s="847"/>
      <c r="DC5" s="847"/>
      <c r="DD5" s="847"/>
      <c r="DE5" s="847"/>
      <c r="DF5" s="847"/>
    </row>
    <row r="6" spans="1:110" ht="45.75" customHeight="1">
      <c r="A6" s="852"/>
      <c r="B6" s="862"/>
      <c r="C6" s="841"/>
      <c r="D6" s="841"/>
      <c r="E6" s="841" t="s">
        <v>31</v>
      </c>
      <c r="F6" s="841" t="s">
        <v>3</v>
      </c>
      <c r="G6" s="841" t="s">
        <v>32</v>
      </c>
      <c r="H6" s="841" t="s">
        <v>21</v>
      </c>
      <c r="I6" s="844" t="s">
        <v>3</v>
      </c>
      <c r="J6" s="844" t="s">
        <v>4</v>
      </c>
      <c r="K6" s="844" t="s">
        <v>22</v>
      </c>
      <c r="L6" s="841"/>
      <c r="M6" s="841"/>
      <c r="N6" s="841"/>
      <c r="O6" s="841"/>
      <c r="P6" s="841"/>
      <c r="Q6" s="841"/>
      <c r="R6" s="841"/>
      <c r="S6" s="841"/>
      <c r="T6" s="841" t="s">
        <v>40</v>
      </c>
      <c r="U6" s="841" t="s">
        <v>41</v>
      </c>
      <c r="V6" s="841" t="s">
        <v>42</v>
      </c>
      <c r="W6" s="841" t="s">
        <v>5</v>
      </c>
      <c r="X6" s="841" t="s">
        <v>43</v>
      </c>
      <c r="Y6" s="841" t="s">
        <v>44</v>
      </c>
      <c r="Z6" s="841" t="s">
        <v>45</v>
      </c>
      <c r="AA6" s="841" t="s">
        <v>46</v>
      </c>
      <c r="AB6" s="843"/>
      <c r="AC6" s="843"/>
      <c r="AD6" s="841" t="s">
        <v>47</v>
      </c>
      <c r="AE6" s="880" t="s">
        <v>48</v>
      </c>
      <c r="AF6" s="867"/>
      <c r="AG6" s="847"/>
      <c r="AH6" s="847"/>
      <c r="AI6" s="847"/>
      <c r="AJ6" s="847"/>
      <c r="AK6" s="847"/>
      <c r="AL6" s="847"/>
      <c r="AM6" s="847"/>
      <c r="AN6" s="847"/>
      <c r="AO6" s="847"/>
      <c r="AP6" s="847"/>
      <c r="AQ6" s="847"/>
      <c r="AR6" s="847"/>
      <c r="AS6" s="847"/>
      <c r="AT6" s="847"/>
      <c r="AU6" s="847"/>
      <c r="AV6" s="847"/>
      <c r="AW6" s="847"/>
      <c r="AX6" s="847"/>
      <c r="AY6" s="847"/>
      <c r="AZ6" s="847"/>
      <c r="BA6" s="847"/>
      <c r="BB6" s="847"/>
      <c r="BC6" s="847"/>
      <c r="BD6" s="847"/>
      <c r="BE6" s="847"/>
      <c r="BF6" s="847"/>
      <c r="BG6" s="847"/>
      <c r="BH6" s="847"/>
      <c r="BI6" s="847"/>
      <c r="BJ6" s="847"/>
      <c r="BK6" s="847"/>
      <c r="BL6" s="847"/>
      <c r="BM6" s="847"/>
      <c r="BN6" s="847"/>
      <c r="BO6" s="847"/>
      <c r="BP6" s="847"/>
      <c r="BQ6" s="847"/>
      <c r="BR6" s="847"/>
      <c r="BS6" s="847"/>
      <c r="BT6" s="847"/>
      <c r="BU6" s="847"/>
      <c r="BV6" s="847"/>
      <c r="BW6" s="847"/>
      <c r="BX6" s="847"/>
      <c r="BY6" s="847"/>
      <c r="BZ6" s="847"/>
      <c r="CA6" s="847"/>
      <c r="CB6" s="847"/>
      <c r="CC6" s="847"/>
      <c r="CD6" s="847"/>
      <c r="CE6" s="847"/>
      <c r="CF6" s="847"/>
      <c r="CG6" s="847"/>
      <c r="CH6" s="847"/>
      <c r="CI6" s="847"/>
      <c r="CJ6" s="847"/>
      <c r="CK6" s="847"/>
      <c r="CL6" s="847"/>
      <c r="CM6" s="847"/>
      <c r="CN6" s="847"/>
      <c r="CO6" s="847"/>
      <c r="CP6" s="847"/>
      <c r="CQ6" s="847"/>
      <c r="CR6" s="847"/>
      <c r="CS6" s="847"/>
      <c r="CT6" s="847"/>
      <c r="CU6" s="847"/>
      <c r="CV6" s="847"/>
      <c r="CW6" s="847"/>
      <c r="CX6" s="847"/>
      <c r="CY6" s="847"/>
      <c r="CZ6" s="847"/>
      <c r="DA6" s="847"/>
      <c r="DB6" s="847"/>
      <c r="DC6" s="847"/>
      <c r="DD6" s="847"/>
      <c r="DE6" s="847"/>
      <c r="DF6" s="847"/>
    </row>
    <row r="7" spans="1:110" ht="73.5" customHeight="1" thickBot="1">
      <c r="A7" s="853"/>
      <c r="B7" s="863"/>
      <c r="C7" s="842"/>
      <c r="D7" s="842"/>
      <c r="E7" s="842"/>
      <c r="F7" s="842"/>
      <c r="G7" s="865"/>
      <c r="H7" s="842"/>
      <c r="I7" s="845"/>
      <c r="J7" s="845"/>
      <c r="K7" s="845"/>
      <c r="L7" s="842"/>
      <c r="M7" s="842"/>
      <c r="N7" s="842"/>
      <c r="O7" s="842"/>
      <c r="P7" s="842"/>
      <c r="Q7" s="842"/>
      <c r="R7" s="842"/>
      <c r="S7" s="842"/>
      <c r="T7" s="842"/>
      <c r="U7" s="865"/>
      <c r="V7" s="842"/>
      <c r="W7" s="842"/>
      <c r="X7" s="865"/>
      <c r="Y7" s="842"/>
      <c r="Z7" s="842"/>
      <c r="AA7" s="79" t="s">
        <v>49</v>
      </c>
      <c r="AB7" s="79" t="s">
        <v>50</v>
      </c>
      <c r="AC7" s="79" t="s">
        <v>51</v>
      </c>
      <c r="AD7" s="842"/>
      <c r="AE7" s="881"/>
      <c r="AF7" s="868"/>
      <c r="AG7" s="847"/>
      <c r="AH7" s="847"/>
      <c r="AI7" s="847"/>
      <c r="AJ7" s="847"/>
      <c r="AK7" s="847"/>
      <c r="AL7" s="847"/>
      <c r="AM7" s="847"/>
      <c r="AN7" s="847"/>
      <c r="AO7" s="847"/>
      <c r="AP7" s="847"/>
      <c r="AQ7" s="847"/>
      <c r="AR7" s="847"/>
      <c r="AS7" s="847"/>
      <c r="AT7" s="847"/>
      <c r="AU7" s="847"/>
      <c r="AV7" s="847"/>
      <c r="AW7" s="847"/>
      <c r="AX7" s="847"/>
      <c r="AY7" s="847"/>
      <c r="AZ7" s="847"/>
      <c r="BA7" s="847"/>
      <c r="BB7" s="847"/>
      <c r="BC7" s="847"/>
      <c r="BD7" s="847"/>
      <c r="BE7" s="847"/>
      <c r="BF7" s="847"/>
      <c r="BG7" s="847"/>
      <c r="BH7" s="847"/>
      <c r="BI7" s="847"/>
      <c r="BJ7" s="847"/>
      <c r="BK7" s="847"/>
      <c r="BL7" s="847"/>
      <c r="BM7" s="847"/>
      <c r="BN7" s="847"/>
      <c r="BO7" s="847"/>
      <c r="BP7" s="847"/>
      <c r="BQ7" s="847"/>
      <c r="BR7" s="847"/>
      <c r="BS7" s="847"/>
      <c r="BT7" s="847"/>
      <c r="BU7" s="847"/>
      <c r="BV7" s="847"/>
      <c r="BW7" s="847"/>
      <c r="BX7" s="847"/>
      <c r="BY7" s="847"/>
      <c r="BZ7" s="847"/>
      <c r="CA7" s="847"/>
      <c r="CB7" s="847"/>
      <c r="CC7" s="847"/>
      <c r="CD7" s="847"/>
      <c r="CE7" s="847"/>
      <c r="CF7" s="847"/>
      <c r="CG7" s="847"/>
      <c r="CH7" s="847"/>
      <c r="CI7" s="847"/>
      <c r="CJ7" s="847"/>
      <c r="CK7" s="847"/>
      <c r="CL7" s="847"/>
      <c r="CM7" s="847"/>
      <c r="CN7" s="847"/>
      <c r="CO7" s="847"/>
      <c r="CP7" s="847"/>
      <c r="CQ7" s="847"/>
      <c r="CR7" s="847"/>
      <c r="CS7" s="847"/>
      <c r="CT7" s="847"/>
      <c r="CU7" s="847"/>
      <c r="CV7" s="847"/>
      <c r="CW7" s="847"/>
      <c r="CX7" s="847"/>
      <c r="CY7" s="847"/>
      <c r="CZ7" s="847"/>
      <c r="DA7" s="847"/>
      <c r="DB7" s="847"/>
      <c r="DC7" s="847"/>
      <c r="DD7" s="847"/>
      <c r="DE7" s="847"/>
      <c r="DF7" s="847"/>
    </row>
    <row r="8" spans="1:110" s="5" customFormat="1" ht="15" thickBot="1">
      <c r="A8" s="84"/>
      <c r="B8" s="85"/>
      <c r="C8" s="86" t="s">
        <v>52</v>
      </c>
      <c r="D8" s="86" t="s">
        <v>53</v>
      </c>
      <c r="E8" s="86" t="s">
        <v>52</v>
      </c>
      <c r="F8" s="86" t="s">
        <v>52</v>
      </c>
      <c r="G8" s="86" t="s">
        <v>52</v>
      </c>
      <c r="H8" s="86"/>
      <c r="I8" s="86" t="s">
        <v>52</v>
      </c>
      <c r="J8" s="86" t="s">
        <v>52</v>
      </c>
      <c r="K8" s="86"/>
      <c r="L8" s="86" t="s">
        <v>52</v>
      </c>
      <c r="M8" s="86" t="s">
        <v>52</v>
      </c>
      <c r="N8" s="86" t="s">
        <v>54</v>
      </c>
      <c r="O8" s="86" t="s">
        <v>55</v>
      </c>
      <c r="P8" s="86" t="s">
        <v>55</v>
      </c>
      <c r="Q8" s="86" t="s">
        <v>54</v>
      </c>
      <c r="R8" s="86" t="s">
        <v>54</v>
      </c>
      <c r="S8" s="86" t="s">
        <v>54</v>
      </c>
      <c r="T8" s="86" t="s">
        <v>54</v>
      </c>
      <c r="U8" s="86" t="s">
        <v>54</v>
      </c>
      <c r="V8" s="86" t="s">
        <v>54</v>
      </c>
      <c r="W8" s="86" t="s">
        <v>54</v>
      </c>
      <c r="X8" s="86" t="s">
        <v>54</v>
      </c>
      <c r="Y8" s="86" t="s">
        <v>54</v>
      </c>
      <c r="Z8" s="86"/>
      <c r="AA8" s="86"/>
      <c r="AB8" s="86"/>
      <c r="AC8" s="86"/>
      <c r="AD8" s="86"/>
      <c r="AE8" s="87"/>
      <c r="AF8" s="88"/>
      <c r="AG8" s="847"/>
      <c r="AH8" s="847"/>
      <c r="AI8" s="847"/>
      <c r="AJ8" s="847"/>
      <c r="AK8" s="847"/>
      <c r="AL8" s="847"/>
      <c r="AM8" s="847"/>
      <c r="AN8" s="847"/>
      <c r="AO8" s="847"/>
      <c r="AP8" s="847"/>
      <c r="AQ8" s="847"/>
      <c r="AR8" s="847"/>
      <c r="AS8" s="847"/>
      <c r="AT8" s="847"/>
      <c r="AU8" s="847"/>
      <c r="AV8" s="847"/>
      <c r="AW8" s="847"/>
      <c r="AX8" s="847"/>
      <c r="AY8" s="847"/>
      <c r="AZ8" s="847"/>
      <c r="BA8" s="847"/>
      <c r="BB8" s="847"/>
      <c r="BC8" s="847"/>
      <c r="BD8" s="847"/>
      <c r="BE8" s="847"/>
      <c r="BF8" s="847"/>
      <c r="BG8" s="847"/>
      <c r="BH8" s="847"/>
      <c r="BI8" s="847"/>
      <c r="BJ8" s="847"/>
      <c r="BK8" s="847"/>
      <c r="BL8" s="847"/>
      <c r="BM8" s="847"/>
      <c r="BN8" s="847"/>
      <c r="BO8" s="847"/>
      <c r="BP8" s="847"/>
      <c r="BQ8" s="847"/>
      <c r="BR8" s="847"/>
      <c r="BS8" s="847"/>
      <c r="BT8" s="847"/>
      <c r="BU8" s="847"/>
      <c r="BV8" s="847"/>
      <c r="BW8" s="847"/>
      <c r="BX8" s="847"/>
      <c r="BY8" s="847"/>
      <c r="BZ8" s="847"/>
      <c r="CA8" s="847"/>
      <c r="CB8" s="847"/>
      <c r="CC8" s="847"/>
      <c r="CD8" s="847"/>
      <c r="CE8" s="847"/>
      <c r="CF8" s="847"/>
      <c r="CG8" s="847"/>
      <c r="CH8" s="847"/>
      <c r="CI8" s="847"/>
      <c r="CJ8" s="847"/>
      <c r="CK8" s="847"/>
      <c r="CL8" s="847"/>
      <c r="CM8" s="847"/>
      <c r="CN8" s="847"/>
      <c r="CO8" s="847"/>
      <c r="CP8" s="847"/>
      <c r="CQ8" s="847"/>
      <c r="CR8" s="847"/>
      <c r="CS8" s="847"/>
      <c r="CT8" s="847"/>
      <c r="CU8" s="847"/>
      <c r="CV8" s="847"/>
      <c r="CW8" s="847"/>
      <c r="CX8" s="847"/>
      <c r="CY8" s="847"/>
      <c r="CZ8" s="847"/>
      <c r="DA8" s="847"/>
      <c r="DB8" s="847"/>
      <c r="DC8" s="847"/>
      <c r="DD8" s="847"/>
      <c r="DE8" s="847"/>
      <c r="DF8" s="847"/>
    </row>
    <row r="9" spans="1:110" s="99" customFormat="1" ht="27" customHeight="1">
      <c r="A9" s="89">
        <v>1</v>
      </c>
      <c r="B9" s="90" t="s">
        <v>7</v>
      </c>
      <c r="C9" s="91">
        <v>384</v>
      </c>
      <c r="D9" s="92">
        <v>1086589</v>
      </c>
      <c r="E9" s="91">
        <v>11</v>
      </c>
      <c r="F9" s="93">
        <v>507</v>
      </c>
      <c r="G9" s="93">
        <v>151</v>
      </c>
      <c r="H9" s="91"/>
      <c r="I9" s="93">
        <v>1</v>
      </c>
      <c r="J9" s="91">
        <v>0</v>
      </c>
      <c r="K9" s="91"/>
      <c r="L9" s="91"/>
      <c r="M9" s="91"/>
      <c r="N9" s="93">
        <v>71</v>
      </c>
      <c r="O9" s="91"/>
      <c r="P9" s="91"/>
      <c r="Q9" s="91">
        <v>51.24</v>
      </c>
      <c r="R9" s="91"/>
      <c r="S9" s="91">
        <v>5.73</v>
      </c>
      <c r="T9" s="91"/>
      <c r="U9" s="94"/>
      <c r="V9" s="95">
        <v>5.6</v>
      </c>
      <c r="W9" s="96">
        <v>6</v>
      </c>
      <c r="X9" s="96">
        <v>11.3</v>
      </c>
      <c r="Y9" s="96">
        <v>7</v>
      </c>
      <c r="Z9" s="97"/>
      <c r="AA9" s="91"/>
      <c r="AB9" s="91"/>
      <c r="AC9" s="98"/>
      <c r="AD9" s="91"/>
      <c r="AE9" s="94"/>
      <c r="AF9" s="100"/>
      <c r="AG9" s="847"/>
      <c r="AH9" s="847"/>
      <c r="AI9" s="847"/>
      <c r="AJ9" s="847"/>
      <c r="AK9" s="847"/>
      <c r="AL9" s="847"/>
      <c r="AM9" s="847"/>
      <c r="AN9" s="847"/>
      <c r="AO9" s="847"/>
      <c r="AP9" s="847"/>
      <c r="AQ9" s="847"/>
      <c r="AR9" s="847"/>
      <c r="AS9" s="847"/>
      <c r="AT9" s="847"/>
      <c r="AU9" s="847"/>
      <c r="AV9" s="847"/>
      <c r="AW9" s="847"/>
      <c r="AX9" s="847"/>
      <c r="AY9" s="847"/>
      <c r="AZ9" s="847"/>
      <c r="BA9" s="847"/>
      <c r="BB9" s="847"/>
      <c r="BC9" s="847"/>
      <c r="BD9" s="847"/>
      <c r="BE9" s="847"/>
      <c r="BF9" s="847"/>
      <c r="BG9" s="847"/>
      <c r="BH9" s="847"/>
      <c r="BI9" s="847"/>
      <c r="BJ9" s="847"/>
      <c r="BK9" s="847"/>
      <c r="BL9" s="847"/>
      <c r="BM9" s="847"/>
      <c r="BN9" s="847"/>
      <c r="BO9" s="847"/>
      <c r="BP9" s="847"/>
      <c r="BQ9" s="847"/>
      <c r="BR9" s="847"/>
      <c r="BS9" s="847"/>
      <c r="BT9" s="847"/>
      <c r="BU9" s="847"/>
      <c r="BV9" s="847"/>
      <c r="BW9" s="847"/>
      <c r="BX9" s="847"/>
      <c r="BY9" s="847"/>
      <c r="BZ9" s="847"/>
      <c r="CA9" s="847"/>
      <c r="CB9" s="847"/>
      <c r="CC9" s="847"/>
      <c r="CD9" s="847"/>
      <c r="CE9" s="847"/>
      <c r="CF9" s="847"/>
      <c r="CG9" s="847"/>
      <c r="CH9" s="847"/>
      <c r="CI9" s="847"/>
      <c r="CJ9" s="847"/>
      <c r="CK9" s="847"/>
      <c r="CL9" s="847"/>
      <c r="CM9" s="847"/>
      <c r="CN9" s="847"/>
      <c r="CO9" s="847"/>
      <c r="CP9" s="847"/>
      <c r="CQ9" s="847"/>
      <c r="CR9" s="847"/>
      <c r="CS9" s="847"/>
      <c r="CT9" s="847"/>
      <c r="CU9" s="847"/>
      <c r="CV9" s="847"/>
      <c r="CW9" s="847"/>
      <c r="CX9" s="847"/>
      <c r="CY9" s="847"/>
      <c r="CZ9" s="847"/>
      <c r="DA9" s="847"/>
      <c r="DB9" s="847"/>
      <c r="DC9" s="847"/>
      <c r="DD9" s="847"/>
      <c r="DE9" s="847"/>
      <c r="DF9" s="847"/>
    </row>
    <row r="10" spans="1:110" s="27" customFormat="1" ht="15" customHeight="1" thickBot="1">
      <c r="A10" s="24"/>
      <c r="B10" s="25"/>
      <c r="C10" s="36"/>
      <c r="D10" s="46"/>
      <c r="E10" s="36">
        <v>4</v>
      </c>
      <c r="F10" s="57">
        <v>0</v>
      </c>
      <c r="G10" s="57">
        <v>0</v>
      </c>
      <c r="H10" s="36"/>
      <c r="I10" s="57">
        <v>9</v>
      </c>
      <c r="J10" s="36">
        <v>10</v>
      </c>
      <c r="K10" s="36"/>
      <c r="L10" s="36"/>
      <c r="M10" s="36"/>
      <c r="N10" s="57">
        <v>8</v>
      </c>
      <c r="O10" s="36"/>
      <c r="P10" s="36"/>
      <c r="Q10" s="36">
        <v>6</v>
      </c>
      <c r="R10" s="36"/>
      <c r="S10" s="36">
        <v>0</v>
      </c>
      <c r="T10" s="36"/>
      <c r="U10" s="47"/>
      <c r="V10" s="32">
        <v>0</v>
      </c>
      <c r="W10" s="36">
        <v>0</v>
      </c>
      <c r="X10" s="36">
        <v>1</v>
      </c>
      <c r="Y10" s="36">
        <v>0</v>
      </c>
      <c r="Z10" s="60"/>
      <c r="AA10" s="36"/>
      <c r="AB10" s="36"/>
      <c r="AC10" s="26"/>
      <c r="AD10" s="36"/>
      <c r="AE10" s="47"/>
      <c r="AF10" s="101">
        <f>SUM(C10:AE10)</f>
        <v>38</v>
      </c>
      <c r="AG10" s="847"/>
      <c r="AH10" s="847"/>
      <c r="AI10" s="847"/>
      <c r="AJ10" s="847"/>
      <c r="AK10" s="847"/>
      <c r="AL10" s="847"/>
      <c r="AM10" s="847"/>
      <c r="AN10" s="847"/>
      <c r="AO10" s="847"/>
      <c r="AP10" s="847"/>
      <c r="AQ10" s="847"/>
      <c r="AR10" s="847"/>
      <c r="AS10" s="847"/>
      <c r="AT10" s="847"/>
      <c r="AU10" s="847"/>
      <c r="AV10" s="847"/>
      <c r="AW10" s="847"/>
      <c r="AX10" s="847"/>
      <c r="AY10" s="847"/>
      <c r="AZ10" s="847"/>
      <c r="BA10" s="847"/>
      <c r="BB10" s="847"/>
      <c r="BC10" s="847"/>
      <c r="BD10" s="847"/>
      <c r="BE10" s="847"/>
      <c r="BF10" s="847"/>
      <c r="BG10" s="847"/>
      <c r="BH10" s="847"/>
      <c r="BI10" s="847"/>
      <c r="BJ10" s="847"/>
      <c r="BK10" s="847"/>
      <c r="BL10" s="847"/>
      <c r="BM10" s="847"/>
      <c r="BN10" s="847"/>
      <c r="BO10" s="847"/>
      <c r="BP10" s="847"/>
      <c r="BQ10" s="847"/>
      <c r="BR10" s="847"/>
      <c r="BS10" s="847"/>
      <c r="BT10" s="847"/>
      <c r="BU10" s="847"/>
      <c r="BV10" s="847"/>
      <c r="BW10" s="847"/>
      <c r="BX10" s="847"/>
      <c r="BY10" s="847"/>
      <c r="BZ10" s="847"/>
      <c r="CA10" s="847"/>
      <c r="CB10" s="847"/>
      <c r="CC10" s="847"/>
      <c r="CD10" s="847"/>
      <c r="CE10" s="847"/>
      <c r="CF10" s="847"/>
      <c r="CG10" s="847"/>
      <c r="CH10" s="847"/>
      <c r="CI10" s="847"/>
      <c r="CJ10" s="847"/>
      <c r="CK10" s="847"/>
      <c r="CL10" s="847"/>
      <c r="CM10" s="847"/>
      <c r="CN10" s="847"/>
      <c r="CO10" s="847"/>
      <c r="CP10" s="847"/>
      <c r="CQ10" s="847"/>
      <c r="CR10" s="847"/>
      <c r="CS10" s="847"/>
      <c r="CT10" s="847"/>
      <c r="CU10" s="847"/>
      <c r="CV10" s="847"/>
      <c r="CW10" s="847"/>
      <c r="CX10" s="847"/>
      <c r="CY10" s="847"/>
      <c r="CZ10" s="847"/>
      <c r="DA10" s="847"/>
      <c r="DB10" s="847"/>
      <c r="DC10" s="847"/>
      <c r="DD10" s="847"/>
      <c r="DE10" s="847"/>
      <c r="DF10" s="847"/>
    </row>
    <row r="11" spans="1:110" ht="28.5">
      <c r="A11" s="19">
        <v>2</v>
      </c>
      <c r="B11" s="20" t="s">
        <v>6</v>
      </c>
      <c r="C11" s="34">
        <v>291</v>
      </c>
      <c r="D11" s="44">
        <v>674255</v>
      </c>
      <c r="E11" s="34">
        <v>4</v>
      </c>
      <c r="F11" s="56">
        <v>99</v>
      </c>
      <c r="G11" s="56">
        <v>67</v>
      </c>
      <c r="H11" s="70"/>
      <c r="I11" s="56">
        <v>2</v>
      </c>
      <c r="J11" s="34">
        <v>0</v>
      </c>
      <c r="K11" s="109"/>
      <c r="L11" s="34">
        <v>0</v>
      </c>
      <c r="M11" s="34"/>
      <c r="N11" s="56">
        <v>127</v>
      </c>
      <c r="O11" s="34"/>
      <c r="P11" s="34"/>
      <c r="Q11" s="34">
        <v>50.23</v>
      </c>
      <c r="R11" s="34"/>
      <c r="S11" s="34"/>
      <c r="T11" s="34"/>
      <c r="U11" s="45"/>
      <c r="V11" s="68">
        <v>19</v>
      </c>
      <c r="W11" s="69">
        <v>16</v>
      </c>
      <c r="X11" s="69">
        <v>20</v>
      </c>
      <c r="Y11" s="69">
        <v>40</v>
      </c>
      <c r="Z11" s="59"/>
      <c r="AA11" s="34"/>
      <c r="AB11" s="34"/>
      <c r="AC11" s="21"/>
      <c r="AD11" s="34"/>
      <c r="AE11" s="45"/>
      <c r="AF11" s="102"/>
      <c r="AG11" s="847"/>
      <c r="AH11" s="847"/>
      <c r="AI11" s="847"/>
      <c r="AJ11" s="847"/>
      <c r="AK11" s="847"/>
      <c r="AL11" s="847"/>
      <c r="AM11" s="847"/>
      <c r="AN11" s="847"/>
      <c r="AO11" s="847"/>
      <c r="AP11" s="847"/>
      <c r="AQ11" s="847"/>
      <c r="AR11" s="847"/>
      <c r="AS11" s="847"/>
      <c r="AT11" s="847"/>
      <c r="AU11" s="847"/>
      <c r="AV11" s="847"/>
      <c r="AW11" s="847"/>
      <c r="AX11" s="847"/>
      <c r="AY11" s="847"/>
      <c r="AZ11" s="847"/>
      <c r="BA11" s="847"/>
      <c r="BB11" s="847"/>
      <c r="BC11" s="847"/>
      <c r="BD11" s="847"/>
      <c r="BE11" s="847"/>
      <c r="BF11" s="847"/>
      <c r="BG11" s="847"/>
      <c r="BH11" s="847"/>
      <c r="BI11" s="847"/>
      <c r="BJ11" s="847"/>
      <c r="BK11" s="847"/>
      <c r="BL11" s="847"/>
      <c r="BM11" s="847"/>
      <c r="BN11" s="847"/>
      <c r="BO11" s="847"/>
      <c r="BP11" s="847"/>
      <c r="BQ11" s="847"/>
      <c r="BR11" s="847"/>
      <c r="BS11" s="847"/>
      <c r="BT11" s="847"/>
      <c r="BU11" s="847"/>
      <c r="BV11" s="847"/>
      <c r="BW11" s="847"/>
      <c r="BX11" s="847"/>
      <c r="BY11" s="847"/>
      <c r="BZ11" s="847"/>
      <c r="CA11" s="847"/>
      <c r="CB11" s="847"/>
      <c r="CC11" s="847"/>
      <c r="CD11" s="847"/>
      <c r="CE11" s="847"/>
      <c r="CF11" s="847"/>
      <c r="CG11" s="847"/>
      <c r="CH11" s="847"/>
      <c r="CI11" s="847"/>
      <c r="CJ11" s="847"/>
      <c r="CK11" s="847"/>
      <c r="CL11" s="847"/>
      <c r="CM11" s="847"/>
      <c r="CN11" s="847"/>
      <c r="CO11" s="847"/>
      <c r="CP11" s="847"/>
      <c r="CQ11" s="847"/>
      <c r="CR11" s="847"/>
      <c r="CS11" s="847"/>
      <c r="CT11" s="847"/>
      <c r="CU11" s="847"/>
      <c r="CV11" s="847"/>
      <c r="CW11" s="847"/>
      <c r="CX11" s="847"/>
      <c r="CY11" s="847"/>
      <c r="CZ11" s="847"/>
      <c r="DA11" s="847"/>
      <c r="DB11" s="847"/>
      <c r="DC11" s="847"/>
      <c r="DD11" s="847"/>
      <c r="DE11" s="847"/>
      <c r="DF11" s="847"/>
    </row>
    <row r="12" spans="1:110" s="27" customFormat="1" ht="16.5" customHeight="1" thickBot="1">
      <c r="A12" s="24"/>
      <c r="B12" s="25"/>
      <c r="C12" s="36"/>
      <c r="D12" s="46"/>
      <c r="E12" s="36">
        <v>8</v>
      </c>
      <c r="F12" s="57">
        <v>0</v>
      </c>
      <c r="G12" s="57">
        <v>0</v>
      </c>
      <c r="H12" s="36"/>
      <c r="I12" s="57">
        <v>9</v>
      </c>
      <c r="J12" s="36">
        <v>10</v>
      </c>
      <c r="K12" s="36"/>
      <c r="L12" s="36"/>
      <c r="M12" s="36"/>
      <c r="N12" s="57"/>
      <c r="O12" s="36"/>
      <c r="P12" s="36"/>
      <c r="Q12" s="36">
        <v>6</v>
      </c>
      <c r="R12" s="36"/>
      <c r="S12" s="36"/>
      <c r="T12" s="36"/>
      <c r="U12" s="47"/>
      <c r="V12" s="32">
        <v>2</v>
      </c>
      <c r="W12" s="36">
        <v>2</v>
      </c>
      <c r="X12" s="36">
        <v>3</v>
      </c>
      <c r="Y12" s="36">
        <v>5</v>
      </c>
      <c r="Z12" s="60"/>
      <c r="AA12" s="36"/>
      <c r="AB12" s="36"/>
      <c r="AC12" s="26"/>
      <c r="AD12" s="36"/>
      <c r="AE12" s="47"/>
      <c r="AF12" s="103">
        <v>44.2</v>
      </c>
      <c r="AG12" s="847"/>
      <c r="AH12" s="847"/>
      <c r="AI12" s="847"/>
      <c r="AJ12" s="847"/>
      <c r="AK12" s="847"/>
      <c r="AL12" s="847"/>
      <c r="AM12" s="847"/>
      <c r="AN12" s="847"/>
      <c r="AO12" s="847"/>
      <c r="AP12" s="847"/>
      <c r="AQ12" s="847"/>
      <c r="AR12" s="847"/>
      <c r="AS12" s="847"/>
      <c r="AT12" s="847"/>
      <c r="AU12" s="847"/>
      <c r="AV12" s="847"/>
      <c r="AW12" s="847"/>
      <c r="AX12" s="847"/>
      <c r="AY12" s="847"/>
      <c r="AZ12" s="847"/>
      <c r="BA12" s="847"/>
      <c r="BB12" s="847"/>
      <c r="BC12" s="847"/>
      <c r="BD12" s="847"/>
      <c r="BE12" s="847"/>
      <c r="BF12" s="847"/>
      <c r="BG12" s="847"/>
      <c r="BH12" s="847"/>
      <c r="BI12" s="847"/>
      <c r="BJ12" s="847"/>
      <c r="BK12" s="847"/>
      <c r="BL12" s="847"/>
      <c r="BM12" s="847"/>
      <c r="BN12" s="847"/>
      <c r="BO12" s="847"/>
      <c r="BP12" s="847"/>
      <c r="BQ12" s="847"/>
      <c r="BR12" s="847"/>
      <c r="BS12" s="847"/>
      <c r="BT12" s="847"/>
      <c r="BU12" s="847"/>
      <c r="BV12" s="847"/>
      <c r="BW12" s="847"/>
      <c r="BX12" s="847"/>
      <c r="BY12" s="847"/>
      <c r="BZ12" s="847"/>
      <c r="CA12" s="847"/>
      <c r="CB12" s="847"/>
      <c r="CC12" s="847"/>
      <c r="CD12" s="847"/>
      <c r="CE12" s="847"/>
      <c r="CF12" s="847"/>
      <c r="CG12" s="847"/>
      <c r="CH12" s="847"/>
      <c r="CI12" s="847"/>
      <c r="CJ12" s="847"/>
      <c r="CK12" s="847"/>
      <c r="CL12" s="847"/>
      <c r="CM12" s="847"/>
      <c r="CN12" s="847"/>
      <c r="CO12" s="847"/>
      <c r="CP12" s="847"/>
      <c r="CQ12" s="847"/>
      <c r="CR12" s="847"/>
      <c r="CS12" s="847"/>
      <c r="CT12" s="847"/>
      <c r="CU12" s="847"/>
      <c r="CV12" s="847"/>
      <c r="CW12" s="847"/>
      <c r="CX12" s="847"/>
      <c r="CY12" s="847"/>
      <c r="CZ12" s="847"/>
      <c r="DA12" s="847"/>
      <c r="DB12" s="847"/>
      <c r="DC12" s="847"/>
      <c r="DD12" s="847"/>
      <c r="DE12" s="847"/>
      <c r="DF12" s="847"/>
    </row>
    <row r="13" spans="1:110" ht="28.5">
      <c r="A13" s="19">
        <v>3</v>
      </c>
      <c r="B13" s="20" t="s">
        <v>56</v>
      </c>
      <c r="C13" s="48">
        <v>526</v>
      </c>
      <c r="D13" s="40">
        <v>1269182</v>
      </c>
      <c r="E13" s="56">
        <v>14</v>
      </c>
      <c r="F13" s="56">
        <v>676</v>
      </c>
      <c r="G13" s="56">
        <v>170</v>
      </c>
      <c r="H13" s="71"/>
      <c r="I13" s="56">
        <v>9</v>
      </c>
      <c r="J13" s="44">
        <v>0</v>
      </c>
      <c r="K13" s="116"/>
      <c r="L13" s="40"/>
      <c r="M13" s="40"/>
      <c r="N13" s="56">
        <v>141</v>
      </c>
      <c r="O13" s="40"/>
      <c r="P13" s="40"/>
      <c r="Q13" s="40">
        <v>14.82</v>
      </c>
      <c r="R13" s="40"/>
      <c r="S13" s="40"/>
      <c r="T13" s="40"/>
      <c r="U13" s="49"/>
      <c r="V13" s="68">
        <v>32.619999999999997</v>
      </c>
      <c r="W13" s="69">
        <v>49.36</v>
      </c>
      <c r="X13" s="69">
        <v>56.65</v>
      </c>
      <c r="Y13" s="69">
        <v>64.510000000000005</v>
      </c>
      <c r="Z13" s="59"/>
      <c r="AA13" s="40"/>
      <c r="AB13" s="40"/>
      <c r="AC13" s="21"/>
      <c r="AD13" s="40"/>
      <c r="AE13" s="49"/>
      <c r="AF13" s="104"/>
      <c r="AG13" s="847"/>
      <c r="AH13" s="847"/>
      <c r="AI13" s="847"/>
      <c r="AJ13" s="847"/>
      <c r="AK13" s="847"/>
      <c r="AL13" s="847"/>
      <c r="AM13" s="847"/>
      <c r="AN13" s="847"/>
      <c r="AO13" s="847"/>
      <c r="AP13" s="847"/>
      <c r="AQ13" s="847"/>
      <c r="AR13" s="847"/>
      <c r="AS13" s="847"/>
      <c r="AT13" s="847"/>
      <c r="AU13" s="847"/>
      <c r="AV13" s="847"/>
      <c r="AW13" s="847"/>
      <c r="AX13" s="847"/>
      <c r="AY13" s="847"/>
      <c r="AZ13" s="847"/>
      <c r="BA13" s="847"/>
      <c r="BB13" s="847"/>
      <c r="BC13" s="847"/>
      <c r="BD13" s="847"/>
      <c r="BE13" s="847"/>
      <c r="BF13" s="847"/>
      <c r="BG13" s="847"/>
      <c r="BH13" s="847"/>
      <c r="BI13" s="847"/>
      <c r="BJ13" s="847"/>
      <c r="BK13" s="847"/>
      <c r="BL13" s="847"/>
      <c r="BM13" s="847"/>
      <c r="BN13" s="847"/>
      <c r="BO13" s="847"/>
      <c r="BP13" s="847"/>
      <c r="BQ13" s="847"/>
      <c r="BR13" s="847"/>
      <c r="BS13" s="847"/>
      <c r="BT13" s="847"/>
      <c r="BU13" s="847"/>
      <c r="BV13" s="847"/>
      <c r="BW13" s="847"/>
      <c r="BX13" s="847"/>
      <c r="BY13" s="847"/>
      <c r="BZ13" s="847"/>
      <c r="CA13" s="847"/>
      <c r="CB13" s="847"/>
      <c r="CC13" s="847"/>
      <c r="CD13" s="847"/>
      <c r="CE13" s="847"/>
      <c r="CF13" s="847"/>
      <c r="CG13" s="847"/>
      <c r="CH13" s="847"/>
      <c r="CI13" s="847"/>
      <c r="CJ13" s="847"/>
      <c r="CK13" s="847"/>
      <c r="CL13" s="847"/>
      <c r="CM13" s="847"/>
      <c r="CN13" s="847"/>
      <c r="CO13" s="847"/>
      <c r="CP13" s="847"/>
      <c r="CQ13" s="847"/>
      <c r="CR13" s="847"/>
      <c r="CS13" s="847"/>
      <c r="CT13" s="847"/>
      <c r="CU13" s="847"/>
      <c r="CV13" s="847"/>
      <c r="CW13" s="847"/>
      <c r="CX13" s="847"/>
      <c r="CY13" s="847"/>
      <c r="CZ13" s="847"/>
      <c r="DA13" s="847"/>
      <c r="DB13" s="847"/>
      <c r="DC13" s="847"/>
      <c r="DD13" s="847"/>
      <c r="DE13" s="847"/>
      <c r="DF13" s="847"/>
    </row>
    <row r="14" spans="1:110" s="27" customFormat="1" ht="15.75" customHeight="1" thickBot="1">
      <c r="A14" s="24"/>
      <c r="B14" s="25"/>
      <c r="C14" s="50"/>
      <c r="D14" s="41"/>
      <c r="E14" s="57">
        <v>3</v>
      </c>
      <c r="F14" s="57">
        <v>0</v>
      </c>
      <c r="G14" s="57">
        <v>0</v>
      </c>
      <c r="H14" s="41"/>
      <c r="I14" s="57">
        <v>2</v>
      </c>
      <c r="J14" s="46">
        <v>10</v>
      </c>
      <c r="K14" s="46"/>
      <c r="L14" s="41"/>
      <c r="M14" s="41"/>
      <c r="N14" s="57"/>
      <c r="O14" s="41"/>
      <c r="P14" s="41"/>
      <c r="Q14" s="41">
        <v>2</v>
      </c>
      <c r="R14" s="41"/>
      <c r="S14" s="41"/>
      <c r="T14" s="41"/>
      <c r="U14" s="51"/>
      <c r="V14" s="32">
        <v>4</v>
      </c>
      <c r="W14" s="41">
        <v>5</v>
      </c>
      <c r="X14" s="41">
        <v>6</v>
      </c>
      <c r="Y14" s="41">
        <v>7</v>
      </c>
      <c r="Z14" s="67"/>
      <c r="AA14" s="41"/>
      <c r="AB14" s="41"/>
      <c r="AC14" s="26"/>
      <c r="AD14" s="41"/>
      <c r="AE14" s="51"/>
      <c r="AF14" s="101">
        <f>SUM(C14:AE14)</f>
        <v>39</v>
      </c>
      <c r="AG14" s="847"/>
      <c r="AH14" s="847"/>
      <c r="AI14" s="847"/>
      <c r="AJ14" s="847"/>
      <c r="AK14" s="847"/>
      <c r="AL14" s="847"/>
      <c r="AM14" s="847"/>
      <c r="AN14" s="847"/>
      <c r="AO14" s="847"/>
      <c r="AP14" s="847"/>
      <c r="AQ14" s="847"/>
      <c r="AR14" s="847"/>
      <c r="AS14" s="847"/>
      <c r="AT14" s="847"/>
      <c r="AU14" s="847"/>
      <c r="AV14" s="847"/>
      <c r="AW14" s="847"/>
      <c r="AX14" s="847"/>
      <c r="AY14" s="847"/>
      <c r="AZ14" s="847"/>
      <c r="BA14" s="847"/>
      <c r="BB14" s="847"/>
      <c r="BC14" s="847"/>
      <c r="BD14" s="847"/>
      <c r="BE14" s="847"/>
      <c r="BF14" s="847"/>
      <c r="BG14" s="847"/>
      <c r="BH14" s="847"/>
      <c r="BI14" s="847"/>
      <c r="BJ14" s="847"/>
      <c r="BK14" s="847"/>
      <c r="BL14" s="847"/>
      <c r="BM14" s="847"/>
      <c r="BN14" s="847"/>
      <c r="BO14" s="847"/>
      <c r="BP14" s="847"/>
      <c r="BQ14" s="847"/>
      <c r="BR14" s="847"/>
      <c r="BS14" s="847"/>
      <c r="BT14" s="847"/>
      <c r="BU14" s="847"/>
      <c r="BV14" s="847"/>
      <c r="BW14" s="847"/>
      <c r="BX14" s="847"/>
      <c r="BY14" s="847"/>
      <c r="BZ14" s="847"/>
      <c r="CA14" s="847"/>
      <c r="CB14" s="847"/>
      <c r="CC14" s="847"/>
      <c r="CD14" s="847"/>
      <c r="CE14" s="847"/>
      <c r="CF14" s="847"/>
      <c r="CG14" s="847"/>
      <c r="CH14" s="847"/>
      <c r="CI14" s="847"/>
      <c r="CJ14" s="847"/>
      <c r="CK14" s="847"/>
      <c r="CL14" s="847"/>
      <c r="CM14" s="847"/>
      <c r="CN14" s="847"/>
      <c r="CO14" s="847"/>
      <c r="CP14" s="847"/>
      <c r="CQ14" s="847"/>
      <c r="CR14" s="847"/>
      <c r="CS14" s="847"/>
      <c r="CT14" s="847"/>
      <c r="CU14" s="847"/>
      <c r="CV14" s="847"/>
      <c r="CW14" s="847"/>
      <c r="CX14" s="847"/>
      <c r="CY14" s="847"/>
      <c r="CZ14" s="847"/>
      <c r="DA14" s="847"/>
      <c r="DB14" s="847"/>
      <c r="DC14" s="847"/>
      <c r="DD14" s="847"/>
      <c r="DE14" s="847"/>
      <c r="DF14" s="847"/>
    </row>
    <row r="15" spans="1:110" ht="45.75" customHeight="1">
      <c r="A15" s="19">
        <v>4</v>
      </c>
      <c r="B15" s="20" t="s">
        <v>8</v>
      </c>
      <c r="C15" s="48">
        <v>561</v>
      </c>
      <c r="D15" s="40">
        <v>1190658</v>
      </c>
      <c r="E15" s="56">
        <v>6</v>
      </c>
      <c r="F15" s="56">
        <v>614</v>
      </c>
      <c r="G15" s="56">
        <v>115</v>
      </c>
      <c r="H15" s="72"/>
      <c r="I15" s="56">
        <v>0</v>
      </c>
      <c r="J15" s="110">
        <v>0</v>
      </c>
      <c r="K15" s="118"/>
      <c r="L15" s="34" t="s">
        <v>72</v>
      </c>
      <c r="M15" s="37"/>
      <c r="N15" s="56">
        <v>179</v>
      </c>
      <c r="O15" s="40"/>
      <c r="P15" s="40"/>
      <c r="Q15" s="40">
        <v>87.14</v>
      </c>
      <c r="R15" s="40"/>
      <c r="S15" s="40">
        <v>16.22</v>
      </c>
      <c r="T15" s="34"/>
      <c r="U15" s="45"/>
      <c r="V15" s="68">
        <v>7.3</v>
      </c>
      <c r="W15" s="69">
        <v>6.8</v>
      </c>
      <c r="X15" s="69">
        <v>6.8</v>
      </c>
      <c r="Y15" s="69">
        <v>59.3</v>
      </c>
      <c r="Z15" s="59"/>
      <c r="AA15" s="34"/>
      <c r="AB15" s="34"/>
      <c r="AC15" s="21"/>
      <c r="AD15" s="34"/>
      <c r="AE15" s="45"/>
      <c r="AF15" s="102"/>
      <c r="AG15" s="847"/>
      <c r="AH15" s="847"/>
      <c r="AI15" s="847"/>
      <c r="AJ15" s="847"/>
      <c r="AK15" s="847"/>
      <c r="AL15" s="847"/>
      <c r="AM15" s="847"/>
      <c r="AN15" s="847"/>
      <c r="AO15" s="847"/>
      <c r="AP15" s="847"/>
      <c r="AQ15" s="847"/>
      <c r="AR15" s="847"/>
      <c r="AS15" s="847"/>
      <c r="AT15" s="847"/>
      <c r="AU15" s="847"/>
      <c r="AV15" s="847"/>
      <c r="AW15" s="847"/>
      <c r="AX15" s="847"/>
      <c r="AY15" s="847"/>
      <c r="AZ15" s="847"/>
      <c r="BA15" s="847"/>
      <c r="BB15" s="847"/>
      <c r="BC15" s="847"/>
      <c r="BD15" s="847"/>
      <c r="BE15" s="847"/>
      <c r="BF15" s="847"/>
      <c r="BG15" s="847"/>
      <c r="BH15" s="847"/>
      <c r="BI15" s="847"/>
      <c r="BJ15" s="847"/>
      <c r="BK15" s="847"/>
      <c r="BL15" s="847"/>
      <c r="BM15" s="847"/>
      <c r="BN15" s="847"/>
      <c r="BO15" s="847"/>
      <c r="BP15" s="847"/>
      <c r="BQ15" s="847"/>
      <c r="BR15" s="847"/>
      <c r="BS15" s="847"/>
      <c r="BT15" s="847"/>
      <c r="BU15" s="847"/>
      <c r="BV15" s="847"/>
      <c r="BW15" s="847"/>
      <c r="BX15" s="847"/>
      <c r="BY15" s="847"/>
      <c r="BZ15" s="847"/>
      <c r="CA15" s="847"/>
      <c r="CB15" s="847"/>
      <c r="CC15" s="847"/>
      <c r="CD15" s="847"/>
      <c r="CE15" s="847"/>
      <c r="CF15" s="847"/>
      <c r="CG15" s="847"/>
      <c r="CH15" s="847"/>
      <c r="CI15" s="847"/>
      <c r="CJ15" s="847"/>
      <c r="CK15" s="847"/>
      <c r="CL15" s="847"/>
      <c r="CM15" s="847"/>
      <c r="CN15" s="847"/>
      <c r="CO15" s="847"/>
      <c r="CP15" s="847"/>
      <c r="CQ15" s="847"/>
      <c r="CR15" s="847"/>
      <c r="CS15" s="847"/>
      <c r="CT15" s="847"/>
      <c r="CU15" s="847"/>
      <c r="CV15" s="847"/>
      <c r="CW15" s="847"/>
      <c r="CX15" s="847"/>
      <c r="CY15" s="847"/>
      <c r="CZ15" s="847"/>
      <c r="DA15" s="847"/>
      <c r="DB15" s="847"/>
      <c r="DC15" s="847"/>
      <c r="DD15" s="847"/>
      <c r="DE15" s="847"/>
      <c r="DF15" s="847"/>
    </row>
    <row r="16" spans="1:110" s="76" customFormat="1" ht="15" customHeight="1" thickBot="1">
      <c r="A16" s="28"/>
      <c r="B16" s="75"/>
      <c r="C16" s="52"/>
      <c r="D16" s="61"/>
      <c r="E16" s="73">
        <v>7</v>
      </c>
      <c r="F16" s="73">
        <v>0</v>
      </c>
      <c r="G16" s="73">
        <v>0</v>
      </c>
      <c r="H16" s="61"/>
      <c r="I16" s="73">
        <v>10</v>
      </c>
      <c r="J16" s="111">
        <v>10</v>
      </c>
      <c r="K16" s="111"/>
      <c r="L16" s="35">
        <v>4</v>
      </c>
      <c r="M16" s="35"/>
      <c r="N16" s="73"/>
      <c r="O16" s="61"/>
      <c r="P16" s="61"/>
      <c r="Q16" s="61">
        <v>9</v>
      </c>
      <c r="R16" s="61"/>
      <c r="S16" s="61">
        <v>2</v>
      </c>
      <c r="T16" s="35"/>
      <c r="U16" s="53"/>
      <c r="V16" s="33">
        <v>0</v>
      </c>
      <c r="W16" s="35">
        <v>0</v>
      </c>
      <c r="X16" s="35">
        <v>0</v>
      </c>
      <c r="Y16" s="35">
        <v>6</v>
      </c>
      <c r="Z16" s="62"/>
      <c r="AA16" s="35"/>
      <c r="AB16" s="35"/>
      <c r="AC16" s="30"/>
      <c r="AD16" s="35"/>
      <c r="AE16" s="53"/>
      <c r="AF16" s="103">
        <f>SUM(C16:AE16)</f>
        <v>48</v>
      </c>
      <c r="AG16" s="847"/>
      <c r="AH16" s="847"/>
      <c r="AI16" s="847"/>
      <c r="AJ16" s="847"/>
      <c r="AK16" s="847"/>
      <c r="AL16" s="847"/>
      <c r="AM16" s="847"/>
      <c r="AN16" s="847"/>
      <c r="AO16" s="847"/>
      <c r="AP16" s="847"/>
      <c r="AQ16" s="847"/>
      <c r="AR16" s="847"/>
      <c r="AS16" s="847"/>
      <c r="AT16" s="847"/>
      <c r="AU16" s="847"/>
      <c r="AV16" s="847"/>
      <c r="AW16" s="847"/>
      <c r="AX16" s="847"/>
      <c r="AY16" s="847"/>
      <c r="AZ16" s="847"/>
      <c r="BA16" s="847"/>
      <c r="BB16" s="847"/>
      <c r="BC16" s="847"/>
      <c r="BD16" s="847"/>
      <c r="BE16" s="847"/>
      <c r="BF16" s="847"/>
      <c r="BG16" s="847"/>
      <c r="BH16" s="847"/>
      <c r="BI16" s="847"/>
      <c r="BJ16" s="847"/>
      <c r="BK16" s="847"/>
      <c r="BL16" s="847"/>
      <c r="BM16" s="847"/>
      <c r="BN16" s="847"/>
      <c r="BO16" s="847"/>
      <c r="BP16" s="847"/>
      <c r="BQ16" s="847"/>
      <c r="BR16" s="847"/>
      <c r="BS16" s="847"/>
      <c r="BT16" s="847"/>
      <c r="BU16" s="847"/>
      <c r="BV16" s="847"/>
      <c r="BW16" s="847"/>
      <c r="BX16" s="847"/>
      <c r="BY16" s="847"/>
      <c r="BZ16" s="847"/>
      <c r="CA16" s="847"/>
      <c r="CB16" s="847"/>
      <c r="CC16" s="847"/>
      <c r="CD16" s="847"/>
      <c r="CE16" s="847"/>
      <c r="CF16" s="847"/>
      <c r="CG16" s="847"/>
      <c r="CH16" s="847"/>
      <c r="CI16" s="847"/>
      <c r="CJ16" s="847"/>
      <c r="CK16" s="847"/>
      <c r="CL16" s="847"/>
      <c r="CM16" s="847"/>
      <c r="CN16" s="847"/>
      <c r="CO16" s="847"/>
      <c r="CP16" s="847"/>
      <c r="CQ16" s="847"/>
      <c r="CR16" s="847"/>
      <c r="CS16" s="847"/>
      <c r="CT16" s="847"/>
      <c r="CU16" s="847"/>
      <c r="CV16" s="847"/>
      <c r="CW16" s="847"/>
      <c r="CX16" s="847"/>
      <c r="CY16" s="847"/>
      <c r="CZ16" s="847"/>
      <c r="DA16" s="847"/>
      <c r="DB16" s="847"/>
      <c r="DC16" s="847"/>
      <c r="DD16" s="847"/>
      <c r="DE16" s="847"/>
      <c r="DF16" s="847"/>
    </row>
    <row r="17" spans="1:110" ht="28.5">
      <c r="A17" s="19">
        <v>5</v>
      </c>
      <c r="B17" s="20" t="s">
        <v>57</v>
      </c>
      <c r="C17" s="34">
        <v>12</v>
      </c>
      <c r="D17" s="34"/>
      <c r="E17" s="56">
        <v>0</v>
      </c>
      <c r="F17" s="56">
        <v>20</v>
      </c>
      <c r="G17" s="56">
        <v>8</v>
      </c>
      <c r="H17" s="70"/>
      <c r="I17" s="56">
        <v>3</v>
      </c>
      <c r="J17" s="44">
        <v>0</v>
      </c>
      <c r="K17" s="116"/>
      <c r="L17" s="34"/>
      <c r="M17" s="34"/>
      <c r="N17" s="56">
        <v>0</v>
      </c>
      <c r="O17" s="34"/>
      <c r="P17" s="34"/>
      <c r="Q17" s="34">
        <v>0</v>
      </c>
      <c r="R17" s="34"/>
      <c r="S17" s="34"/>
      <c r="T17" s="34"/>
      <c r="U17" s="45"/>
      <c r="V17" s="68"/>
      <c r="W17" s="69"/>
      <c r="X17" s="69"/>
      <c r="Y17" s="69"/>
      <c r="Z17" s="59"/>
      <c r="AA17" s="34"/>
      <c r="AB17" s="34"/>
      <c r="AC17" s="21"/>
      <c r="AD17" s="34"/>
      <c r="AE17" s="45"/>
      <c r="AF17" s="105"/>
      <c r="AG17" s="847"/>
      <c r="AH17" s="847"/>
      <c r="AI17" s="847"/>
      <c r="AJ17" s="847"/>
      <c r="AK17" s="847"/>
      <c r="AL17" s="847"/>
      <c r="AM17" s="847"/>
      <c r="AN17" s="847"/>
      <c r="AO17" s="847"/>
      <c r="AP17" s="847"/>
      <c r="AQ17" s="847"/>
      <c r="AR17" s="847"/>
      <c r="AS17" s="847"/>
      <c r="AT17" s="847"/>
      <c r="AU17" s="847"/>
      <c r="AV17" s="847"/>
      <c r="AW17" s="847"/>
      <c r="AX17" s="847"/>
      <c r="AY17" s="847"/>
      <c r="AZ17" s="847"/>
      <c r="BA17" s="847"/>
      <c r="BB17" s="847"/>
      <c r="BC17" s="847"/>
      <c r="BD17" s="847"/>
      <c r="BE17" s="847"/>
      <c r="BF17" s="847"/>
      <c r="BG17" s="847"/>
      <c r="BH17" s="847"/>
      <c r="BI17" s="847"/>
      <c r="BJ17" s="847"/>
      <c r="BK17" s="847"/>
      <c r="BL17" s="847"/>
      <c r="BM17" s="847"/>
      <c r="BN17" s="847"/>
      <c r="BO17" s="847"/>
      <c r="BP17" s="847"/>
      <c r="BQ17" s="847"/>
      <c r="BR17" s="847"/>
      <c r="BS17" s="847"/>
      <c r="BT17" s="847"/>
      <c r="BU17" s="847"/>
      <c r="BV17" s="847"/>
      <c r="BW17" s="847"/>
      <c r="BX17" s="847"/>
      <c r="BY17" s="847"/>
      <c r="BZ17" s="847"/>
      <c r="CA17" s="847"/>
      <c r="CB17" s="847"/>
      <c r="CC17" s="847"/>
      <c r="CD17" s="847"/>
      <c r="CE17" s="847"/>
      <c r="CF17" s="847"/>
      <c r="CG17" s="847"/>
      <c r="CH17" s="847"/>
      <c r="CI17" s="847"/>
      <c r="CJ17" s="847"/>
      <c r="CK17" s="847"/>
      <c r="CL17" s="847"/>
      <c r="CM17" s="847"/>
      <c r="CN17" s="847"/>
      <c r="CO17" s="847"/>
      <c r="CP17" s="847"/>
      <c r="CQ17" s="847"/>
      <c r="CR17" s="847"/>
      <c r="CS17" s="847"/>
      <c r="CT17" s="847"/>
      <c r="CU17" s="847"/>
      <c r="CV17" s="847"/>
      <c r="CW17" s="847"/>
      <c r="CX17" s="847"/>
      <c r="CY17" s="847"/>
      <c r="CZ17" s="847"/>
      <c r="DA17" s="847"/>
      <c r="DB17" s="847"/>
      <c r="DC17" s="847"/>
      <c r="DD17" s="847"/>
      <c r="DE17" s="847"/>
      <c r="DF17" s="847"/>
    </row>
    <row r="18" spans="1:110" s="27" customFormat="1" ht="16.5" customHeight="1" thickBot="1">
      <c r="A18" s="28"/>
      <c r="B18" s="29"/>
      <c r="C18" s="35"/>
      <c r="D18" s="35"/>
      <c r="E18" s="73">
        <v>10</v>
      </c>
      <c r="F18" s="73">
        <v>0</v>
      </c>
      <c r="G18" s="73">
        <v>6</v>
      </c>
      <c r="H18" s="35"/>
      <c r="I18" s="73">
        <v>8</v>
      </c>
      <c r="J18" s="111">
        <v>10</v>
      </c>
      <c r="K18" s="111"/>
      <c r="L18" s="35"/>
      <c r="M18" s="35"/>
      <c r="N18" s="73"/>
      <c r="O18" s="35"/>
      <c r="P18" s="35"/>
      <c r="Q18" s="35"/>
      <c r="R18" s="35"/>
      <c r="S18" s="35"/>
      <c r="T18" s="35"/>
      <c r="U18" s="53"/>
      <c r="V18" s="33"/>
      <c r="W18" s="35"/>
      <c r="X18" s="35"/>
      <c r="Y18" s="35"/>
      <c r="Z18" s="62"/>
      <c r="AA18" s="35"/>
      <c r="AB18" s="35"/>
      <c r="AC18" s="30"/>
      <c r="AD18" s="35"/>
      <c r="AE18" s="53"/>
      <c r="AF18" s="101">
        <f>SUM(C18:AE18)</f>
        <v>34</v>
      </c>
      <c r="AG18" s="847"/>
      <c r="AH18" s="847"/>
      <c r="AI18" s="847"/>
      <c r="AJ18" s="847"/>
      <c r="AK18" s="847"/>
      <c r="AL18" s="847"/>
      <c r="AM18" s="847"/>
      <c r="AN18" s="847"/>
      <c r="AO18" s="847"/>
      <c r="AP18" s="847"/>
      <c r="AQ18" s="847"/>
      <c r="AR18" s="847"/>
      <c r="AS18" s="847"/>
      <c r="AT18" s="847"/>
      <c r="AU18" s="847"/>
      <c r="AV18" s="847"/>
      <c r="AW18" s="847"/>
      <c r="AX18" s="847"/>
      <c r="AY18" s="847"/>
      <c r="AZ18" s="847"/>
      <c r="BA18" s="847"/>
      <c r="BB18" s="847"/>
      <c r="BC18" s="847"/>
      <c r="BD18" s="847"/>
      <c r="BE18" s="847"/>
      <c r="BF18" s="847"/>
      <c r="BG18" s="847"/>
      <c r="BH18" s="847"/>
      <c r="BI18" s="847"/>
      <c r="BJ18" s="847"/>
      <c r="BK18" s="847"/>
      <c r="BL18" s="847"/>
      <c r="BM18" s="847"/>
      <c r="BN18" s="847"/>
      <c r="BO18" s="847"/>
      <c r="BP18" s="847"/>
      <c r="BQ18" s="847"/>
      <c r="BR18" s="847"/>
      <c r="BS18" s="847"/>
      <c r="BT18" s="847"/>
      <c r="BU18" s="847"/>
      <c r="BV18" s="847"/>
      <c r="BW18" s="847"/>
      <c r="BX18" s="847"/>
      <c r="BY18" s="847"/>
      <c r="BZ18" s="847"/>
      <c r="CA18" s="847"/>
      <c r="CB18" s="847"/>
      <c r="CC18" s="847"/>
      <c r="CD18" s="847"/>
      <c r="CE18" s="847"/>
      <c r="CF18" s="847"/>
      <c r="CG18" s="847"/>
      <c r="CH18" s="847"/>
      <c r="CI18" s="847"/>
      <c r="CJ18" s="847"/>
      <c r="CK18" s="847"/>
      <c r="CL18" s="847"/>
      <c r="CM18" s="847"/>
      <c r="CN18" s="847"/>
      <c r="CO18" s="847"/>
      <c r="CP18" s="847"/>
      <c r="CQ18" s="847"/>
      <c r="CR18" s="847"/>
      <c r="CS18" s="847"/>
      <c r="CT18" s="847"/>
      <c r="CU18" s="847"/>
      <c r="CV18" s="847"/>
      <c r="CW18" s="847"/>
      <c r="CX18" s="847"/>
      <c r="CY18" s="847"/>
      <c r="CZ18" s="847"/>
      <c r="DA18" s="847"/>
      <c r="DB18" s="847"/>
      <c r="DC18" s="847"/>
      <c r="DD18" s="847"/>
      <c r="DE18" s="847"/>
      <c r="DF18" s="847"/>
    </row>
    <row r="19" spans="1:110" ht="18.75">
      <c r="A19" s="19">
        <v>6</v>
      </c>
      <c r="B19" s="20" t="s">
        <v>9</v>
      </c>
      <c r="C19" s="34">
        <v>120</v>
      </c>
      <c r="D19" s="34"/>
      <c r="E19" s="56">
        <v>7</v>
      </c>
      <c r="F19" s="56">
        <v>73</v>
      </c>
      <c r="G19" s="56">
        <v>63</v>
      </c>
      <c r="H19" s="70"/>
      <c r="I19" s="56">
        <v>3</v>
      </c>
      <c r="J19" s="44">
        <v>0</v>
      </c>
      <c r="K19" s="116"/>
      <c r="L19" s="40"/>
      <c r="M19" s="40"/>
      <c r="N19" s="56">
        <v>110</v>
      </c>
      <c r="O19" s="40"/>
      <c r="P19" s="40"/>
      <c r="Q19" s="40">
        <v>65.319999999999993</v>
      </c>
      <c r="R19" s="40"/>
      <c r="S19" s="40"/>
      <c r="T19" s="34"/>
      <c r="U19" s="45"/>
      <c r="V19" s="68">
        <v>80.56</v>
      </c>
      <c r="W19" s="69">
        <v>77.78</v>
      </c>
      <c r="X19" s="69">
        <v>77.78</v>
      </c>
      <c r="Y19" s="69">
        <v>100</v>
      </c>
      <c r="Z19" s="59"/>
      <c r="AA19" s="34"/>
      <c r="AB19" s="34"/>
      <c r="AC19" s="21"/>
      <c r="AD19" s="34"/>
      <c r="AE19" s="45"/>
      <c r="AF19" s="102"/>
      <c r="AG19" s="847"/>
      <c r="AH19" s="847"/>
      <c r="AI19" s="847"/>
      <c r="AJ19" s="847"/>
      <c r="AK19" s="847"/>
      <c r="AL19" s="847"/>
      <c r="AM19" s="847"/>
      <c r="AN19" s="847"/>
      <c r="AO19" s="847"/>
      <c r="AP19" s="847"/>
      <c r="AQ19" s="847"/>
      <c r="AR19" s="847"/>
      <c r="AS19" s="847"/>
      <c r="AT19" s="847"/>
      <c r="AU19" s="847"/>
      <c r="AV19" s="847"/>
      <c r="AW19" s="847"/>
      <c r="AX19" s="847"/>
      <c r="AY19" s="847"/>
      <c r="AZ19" s="847"/>
      <c r="BA19" s="847"/>
      <c r="BB19" s="847"/>
      <c r="BC19" s="847"/>
      <c r="BD19" s="847"/>
      <c r="BE19" s="847"/>
      <c r="BF19" s="847"/>
      <c r="BG19" s="847"/>
      <c r="BH19" s="847"/>
      <c r="BI19" s="847"/>
      <c r="BJ19" s="847"/>
      <c r="BK19" s="847"/>
      <c r="BL19" s="847"/>
      <c r="BM19" s="847"/>
      <c r="BN19" s="847"/>
      <c r="BO19" s="847"/>
      <c r="BP19" s="847"/>
      <c r="BQ19" s="847"/>
      <c r="BR19" s="847"/>
      <c r="BS19" s="847"/>
      <c r="BT19" s="847"/>
      <c r="BU19" s="847"/>
      <c r="BV19" s="847"/>
      <c r="BW19" s="847"/>
      <c r="BX19" s="847"/>
      <c r="BY19" s="847"/>
      <c r="BZ19" s="847"/>
      <c r="CA19" s="847"/>
      <c r="CB19" s="847"/>
      <c r="CC19" s="847"/>
      <c r="CD19" s="847"/>
      <c r="CE19" s="847"/>
      <c r="CF19" s="847"/>
      <c r="CG19" s="847"/>
      <c r="CH19" s="847"/>
      <c r="CI19" s="847"/>
      <c r="CJ19" s="847"/>
      <c r="CK19" s="847"/>
      <c r="CL19" s="847"/>
      <c r="CM19" s="847"/>
      <c r="CN19" s="847"/>
      <c r="CO19" s="847"/>
      <c r="CP19" s="847"/>
      <c r="CQ19" s="847"/>
      <c r="CR19" s="847"/>
      <c r="CS19" s="847"/>
      <c r="CT19" s="847"/>
      <c r="CU19" s="847"/>
      <c r="CV19" s="847"/>
      <c r="CW19" s="847"/>
      <c r="CX19" s="847"/>
      <c r="CY19" s="847"/>
      <c r="CZ19" s="847"/>
      <c r="DA19" s="847"/>
      <c r="DB19" s="847"/>
      <c r="DC19" s="847"/>
      <c r="DD19" s="847"/>
      <c r="DE19" s="847"/>
      <c r="DF19" s="847"/>
    </row>
    <row r="20" spans="1:110" s="27" customFormat="1" ht="17.25" customHeight="1" thickBot="1">
      <c r="A20" s="24"/>
      <c r="B20" s="25"/>
      <c r="C20" s="36"/>
      <c r="D20" s="36"/>
      <c r="E20" s="57">
        <v>6</v>
      </c>
      <c r="F20" s="57">
        <v>0</v>
      </c>
      <c r="G20" s="57">
        <v>0</v>
      </c>
      <c r="H20" s="36"/>
      <c r="I20" s="57">
        <v>8</v>
      </c>
      <c r="J20" s="46">
        <v>10</v>
      </c>
      <c r="K20" s="46"/>
      <c r="L20" s="41"/>
      <c r="M20" s="41"/>
      <c r="N20" s="57"/>
      <c r="O20" s="41"/>
      <c r="P20" s="41"/>
      <c r="Q20" s="41">
        <v>7</v>
      </c>
      <c r="R20" s="41"/>
      <c r="S20" s="41"/>
      <c r="T20" s="36"/>
      <c r="U20" s="47"/>
      <c r="V20" s="32">
        <v>9</v>
      </c>
      <c r="W20" s="36">
        <v>8</v>
      </c>
      <c r="X20" s="36">
        <v>8</v>
      </c>
      <c r="Y20" s="36">
        <v>10</v>
      </c>
      <c r="Z20" s="60"/>
      <c r="AA20" s="36"/>
      <c r="AB20" s="36"/>
      <c r="AC20" s="26"/>
      <c r="AD20" s="36"/>
      <c r="AE20" s="47"/>
      <c r="AF20" s="103">
        <f>SUM(C20:AE20)</f>
        <v>66</v>
      </c>
      <c r="AG20" s="847"/>
      <c r="AH20" s="847"/>
      <c r="AI20" s="847"/>
      <c r="AJ20" s="847"/>
      <c r="AK20" s="847"/>
      <c r="AL20" s="847"/>
      <c r="AM20" s="847"/>
      <c r="AN20" s="847"/>
      <c r="AO20" s="847"/>
      <c r="AP20" s="847"/>
      <c r="AQ20" s="847"/>
      <c r="AR20" s="847"/>
      <c r="AS20" s="847"/>
      <c r="AT20" s="847"/>
      <c r="AU20" s="847"/>
      <c r="AV20" s="847"/>
      <c r="AW20" s="847"/>
      <c r="AX20" s="847"/>
      <c r="AY20" s="847"/>
      <c r="AZ20" s="847"/>
      <c r="BA20" s="847"/>
      <c r="BB20" s="847"/>
      <c r="BC20" s="847"/>
      <c r="BD20" s="847"/>
      <c r="BE20" s="847"/>
      <c r="BF20" s="847"/>
      <c r="BG20" s="847"/>
      <c r="BH20" s="847"/>
      <c r="BI20" s="847"/>
      <c r="BJ20" s="847"/>
      <c r="BK20" s="847"/>
      <c r="BL20" s="847"/>
      <c r="BM20" s="847"/>
      <c r="BN20" s="847"/>
      <c r="BO20" s="847"/>
      <c r="BP20" s="847"/>
      <c r="BQ20" s="847"/>
      <c r="BR20" s="847"/>
      <c r="BS20" s="847"/>
      <c r="BT20" s="847"/>
      <c r="BU20" s="847"/>
      <c r="BV20" s="847"/>
      <c r="BW20" s="847"/>
      <c r="BX20" s="847"/>
      <c r="BY20" s="847"/>
      <c r="BZ20" s="847"/>
      <c r="CA20" s="847"/>
      <c r="CB20" s="847"/>
      <c r="CC20" s="847"/>
      <c r="CD20" s="847"/>
      <c r="CE20" s="847"/>
      <c r="CF20" s="847"/>
      <c r="CG20" s="847"/>
      <c r="CH20" s="847"/>
      <c r="CI20" s="847"/>
      <c r="CJ20" s="847"/>
      <c r="CK20" s="847"/>
      <c r="CL20" s="847"/>
      <c r="CM20" s="847"/>
      <c r="CN20" s="847"/>
      <c r="CO20" s="847"/>
      <c r="CP20" s="847"/>
      <c r="CQ20" s="847"/>
      <c r="CR20" s="847"/>
      <c r="CS20" s="847"/>
      <c r="CT20" s="847"/>
      <c r="CU20" s="847"/>
      <c r="CV20" s="847"/>
      <c r="CW20" s="847"/>
      <c r="CX20" s="847"/>
      <c r="CY20" s="847"/>
      <c r="CZ20" s="847"/>
      <c r="DA20" s="847"/>
      <c r="DB20" s="847"/>
      <c r="DC20" s="847"/>
      <c r="DD20" s="847"/>
      <c r="DE20" s="847"/>
      <c r="DF20" s="847"/>
    </row>
    <row r="21" spans="1:110" s="3" customFormat="1" ht="18.75">
      <c r="A21" s="19">
        <v>7</v>
      </c>
      <c r="B21" s="20" t="s">
        <v>10</v>
      </c>
      <c r="C21" s="48">
        <v>20</v>
      </c>
      <c r="D21" s="42"/>
      <c r="E21" s="56">
        <v>0</v>
      </c>
      <c r="F21" s="56">
        <v>11</v>
      </c>
      <c r="G21" s="56">
        <v>8</v>
      </c>
      <c r="H21" s="72"/>
      <c r="I21" s="74">
        <v>0</v>
      </c>
      <c r="J21" s="112">
        <v>0</v>
      </c>
      <c r="K21" s="119"/>
      <c r="L21" s="37"/>
      <c r="M21" s="37"/>
      <c r="N21" s="56">
        <v>18</v>
      </c>
      <c r="O21" s="34"/>
      <c r="P21" s="34"/>
      <c r="Q21" s="40">
        <v>40.5</v>
      </c>
      <c r="R21" s="40"/>
      <c r="S21" s="40"/>
      <c r="T21" s="34"/>
      <c r="U21" s="45"/>
      <c r="V21" s="68">
        <v>95</v>
      </c>
      <c r="W21" s="69">
        <v>85</v>
      </c>
      <c r="X21" s="69">
        <v>85</v>
      </c>
      <c r="Y21" s="69">
        <v>100</v>
      </c>
      <c r="Z21" s="59"/>
      <c r="AA21" s="34"/>
      <c r="AB21" s="34"/>
      <c r="AC21" s="21"/>
      <c r="AD21" s="34"/>
      <c r="AE21" s="45"/>
      <c r="AF21" s="105"/>
      <c r="AG21" s="847"/>
      <c r="AH21" s="847"/>
      <c r="AI21" s="847"/>
      <c r="AJ21" s="847"/>
      <c r="AK21" s="847"/>
      <c r="AL21" s="847"/>
      <c r="AM21" s="847"/>
      <c r="AN21" s="847"/>
      <c r="AO21" s="847"/>
      <c r="AP21" s="847"/>
      <c r="AQ21" s="847"/>
      <c r="AR21" s="847"/>
      <c r="AS21" s="847"/>
      <c r="AT21" s="847"/>
      <c r="AU21" s="847"/>
      <c r="AV21" s="847"/>
      <c r="AW21" s="847"/>
      <c r="AX21" s="847"/>
      <c r="AY21" s="847"/>
      <c r="AZ21" s="847"/>
      <c r="BA21" s="847"/>
      <c r="BB21" s="847"/>
      <c r="BC21" s="847"/>
      <c r="BD21" s="847"/>
      <c r="BE21" s="847"/>
      <c r="BF21" s="847"/>
      <c r="BG21" s="847"/>
      <c r="BH21" s="847"/>
      <c r="BI21" s="847"/>
      <c r="BJ21" s="847"/>
      <c r="BK21" s="847"/>
      <c r="BL21" s="847"/>
      <c r="BM21" s="847"/>
      <c r="BN21" s="847"/>
      <c r="BO21" s="847"/>
      <c r="BP21" s="847"/>
      <c r="BQ21" s="847"/>
      <c r="BR21" s="847"/>
      <c r="BS21" s="847"/>
      <c r="BT21" s="847"/>
      <c r="BU21" s="847"/>
      <c r="BV21" s="847"/>
      <c r="BW21" s="847"/>
      <c r="BX21" s="847"/>
      <c r="BY21" s="847"/>
      <c r="BZ21" s="847"/>
      <c r="CA21" s="847"/>
      <c r="CB21" s="847"/>
      <c r="CC21" s="847"/>
      <c r="CD21" s="847"/>
      <c r="CE21" s="847"/>
      <c r="CF21" s="847"/>
      <c r="CG21" s="847"/>
      <c r="CH21" s="847"/>
      <c r="CI21" s="847"/>
      <c r="CJ21" s="847"/>
      <c r="CK21" s="847"/>
      <c r="CL21" s="847"/>
      <c r="CM21" s="847"/>
      <c r="CN21" s="847"/>
      <c r="CO21" s="847"/>
      <c r="CP21" s="847"/>
      <c r="CQ21" s="847"/>
      <c r="CR21" s="847"/>
      <c r="CS21" s="847"/>
      <c r="CT21" s="847"/>
      <c r="CU21" s="847"/>
      <c r="CV21" s="847"/>
      <c r="CW21" s="847"/>
      <c r="CX21" s="847"/>
      <c r="CY21" s="847"/>
      <c r="CZ21" s="847"/>
      <c r="DA21" s="847"/>
      <c r="DB21" s="847"/>
      <c r="DC21" s="847"/>
      <c r="DD21" s="847"/>
      <c r="DE21" s="847"/>
      <c r="DF21" s="847"/>
    </row>
    <row r="22" spans="1:110" s="76" customFormat="1" ht="15.75" customHeight="1" thickBot="1">
      <c r="A22" s="24"/>
      <c r="B22" s="77"/>
      <c r="C22" s="50"/>
      <c r="D22" s="41"/>
      <c r="E22" s="57">
        <v>10</v>
      </c>
      <c r="F22" s="57">
        <v>4</v>
      </c>
      <c r="G22" s="57">
        <v>6</v>
      </c>
      <c r="H22" s="41"/>
      <c r="I22" s="78">
        <v>10</v>
      </c>
      <c r="J22" s="113">
        <v>10</v>
      </c>
      <c r="K22" s="113"/>
      <c r="L22" s="36"/>
      <c r="M22" s="36"/>
      <c r="N22" s="57">
        <v>2</v>
      </c>
      <c r="O22" s="36"/>
      <c r="P22" s="36"/>
      <c r="Q22" s="41">
        <v>5</v>
      </c>
      <c r="R22" s="41"/>
      <c r="S22" s="41"/>
      <c r="T22" s="36"/>
      <c r="U22" s="47"/>
      <c r="V22" s="32">
        <v>10</v>
      </c>
      <c r="W22" s="36">
        <v>9</v>
      </c>
      <c r="X22" s="36">
        <v>9</v>
      </c>
      <c r="Y22" s="36">
        <v>10</v>
      </c>
      <c r="Z22" s="60"/>
      <c r="AA22" s="36"/>
      <c r="AB22" s="36"/>
      <c r="AC22" s="26"/>
      <c r="AD22" s="36"/>
      <c r="AE22" s="47"/>
      <c r="AF22" s="101">
        <f>SUM(C22:AE22)</f>
        <v>85</v>
      </c>
      <c r="AG22" s="847"/>
      <c r="AH22" s="847"/>
      <c r="AI22" s="847"/>
      <c r="AJ22" s="847"/>
      <c r="AK22" s="847"/>
      <c r="AL22" s="847"/>
      <c r="AM22" s="847"/>
      <c r="AN22" s="847"/>
      <c r="AO22" s="847"/>
      <c r="AP22" s="847"/>
      <c r="AQ22" s="847"/>
      <c r="AR22" s="847"/>
      <c r="AS22" s="847"/>
      <c r="AT22" s="847"/>
      <c r="AU22" s="847"/>
      <c r="AV22" s="847"/>
      <c r="AW22" s="847"/>
      <c r="AX22" s="847"/>
      <c r="AY22" s="847"/>
      <c r="AZ22" s="847"/>
      <c r="BA22" s="847"/>
      <c r="BB22" s="847"/>
      <c r="BC22" s="847"/>
      <c r="BD22" s="847"/>
      <c r="BE22" s="847"/>
      <c r="BF22" s="847"/>
      <c r="BG22" s="847"/>
      <c r="BH22" s="847"/>
      <c r="BI22" s="847"/>
      <c r="BJ22" s="847"/>
      <c r="BK22" s="847"/>
      <c r="BL22" s="847"/>
      <c r="BM22" s="847"/>
      <c r="BN22" s="847"/>
      <c r="BO22" s="847"/>
      <c r="BP22" s="847"/>
      <c r="BQ22" s="847"/>
      <c r="BR22" s="847"/>
      <c r="BS22" s="847"/>
      <c r="BT22" s="847"/>
      <c r="BU22" s="847"/>
      <c r="BV22" s="847"/>
      <c r="BW22" s="847"/>
      <c r="BX22" s="847"/>
      <c r="BY22" s="847"/>
      <c r="BZ22" s="847"/>
      <c r="CA22" s="847"/>
      <c r="CB22" s="847"/>
      <c r="CC22" s="847"/>
      <c r="CD22" s="847"/>
      <c r="CE22" s="847"/>
      <c r="CF22" s="847"/>
      <c r="CG22" s="847"/>
      <c r="CH22" s="847"/>
      <c r="CI22" s="847"/>
      <c r="CJ22" s="847"/>
      <c r="CK22" s="847"/>
      <c r="CL22" s="847"/>
      <c r="CM22" s="847"/>
      <c r="CN22" s="847"/>
      <c r="CO22" s="847"/>
      <c r="CP22" s="847"/>
      <c r="CQ22" s="847"/>
      <c r="CR22" s="847"/>
      <c r="CS22" s="847"/>
      <c r="CT22" s="847"/>
      <c r="CU22" s="847"/>
      <c r="CV22" s="847"/>
      <c r="CW22" s="847"/>
      <c r="CX22" s="847"/>
      <c r="CY22" s="847"/>
      <c r="CZ22" s="847"/>
      <c r="DA22" s="847"/>
      <c r="DB22" s="847"/>
      <c r="DC22" s="847"/>
      <c r="DD22" s="847"/>
      <c r="DE22" s="847"/>
      <c r="DF22" s="847"/>
    </row>
    <row r="23" spans="1:110" ht="21" customHeight="1">
      <c r="A23" s="19">
        <v>8</v>
      </c>
      <c r="B23" s="20" t="s">
        <v>58</v>
      </c>
      <c r="C23" s="48">
        <v>158</v>
      </c>
      <c r="D23" s="34"/>
      <c r="E23" s="56">
        <v>1</v>
      </c>
      <c r="F23" s="56">
        <v>39</v>
      </c>
      <c r="G23" s="56">
        <v>80</v>
      </c>
      <c r="H23" s="81"/>
      <c r="I23" s="56">
        <v>12</v>
      </c>
      <c r="J23" s="44">
        <v>0</v>
      </c>
      <c r="K23" s="116"/>
      <c r="L23" s="34"/>
      <c r="M23" s="34"/>
      <c r="N23" s="56">
        <v>80</v>
      </c>
      <c r="O23" s="34"/>
      <c r="P23" s="34"/>
      <c r="Q23" s="34">
        <v>0.69</v>
      </c>
      <c r="R23" s="34"/>
      <c r="S23" s="34"/>
      <c r="T23" s="34"/>
      <c r="U23" s="45"/>
      <c r="V23" s="69"/>
      <c r="W23" s="69"/>
      <c r="X23" s="69"/>
      <c r="Y23" s="69"/>
      <c r="Z23" s="59"/>
      <c r="AA23" s="34"/>
      <c r="AB23" s="34"/>
      <c r="AC23" s="21"/>
      <c r="AD23" s="34"/>
      <c r="AE23" s="45"/>
      <c r="AF23" s="102"/>
      <c r="AG23" s="847"/>
      <c r="AH23" s="847"/>
      <c r="AI23" s="847"/>
      <c r="AJ23" s="847"/>
      <c r="AK23" s="847"/>
      <c r="AL23" s="847"/>
      <c r="AM23" s="847"/>
      <c r="AN23" s="847"/>
      <c r="AO23" s="847"/>
      <c r="AP23" s="847"/>
      <c r="AQ23" s="847"/>
      <c r="AR23" s="847"/>
      <c r="AS23" s="847"/>
      <c r="AT23" s="847"/>
      <c r="AU23" s="847"/>
      <c r="AV23" s="847"/>
      <c r="AW23" s="847"/>
      <c r="AX23" s="847"/>
      <c r="AY23" s="847"/>
      <c r="AZ23" s="847"/>
      <c r="BA23" s="847"/>
      <c r="BB23" s="847"/>
      <c r="BC23" s="847"/>
      <c r="BD23" s="847"/>
      <c r="BE23" s="847"/>
      <c r="BF23" s="847"/>
      <c r="BG23" s="847"/>
      <c r="BH23" s="847"/>
      <c r="BI23" s="847"/>
      <c r="BJ23" s="847"/>
      <c r="BK23" s="847"/>
      <c r="BL23" s="847"/>
      <c r="BM23" s="847"/>
      <c r="BN23" s="847"/>
      <c r="BO23" s="847"/>
      <c r="BP23" s="847"/>
      <c r="BQ23" s="847"/>
      <c r="BR23" s="847"/>
      <c r="BS23" s="847"/>
      <c r="BT23" s="847"/>
      <c r="BU23" s="847"/>
      <c r="BV23" s="847"/>
      <c r="BW23" s="847"/>
      <c r="BX23" s="847"/>
      <c r="BY23" s="847"/>
      <c r="BZ23" s="847"/>
      <c r="CA23" s="847"/>
      <c r="CB23" s="847"/>
      <c r="CC23" s="847"/>
      <c r="CD23" s="847"/>
      <c r="CE23" s="847"/>
      <c r="CF23" s="847"/>
      <c r="CG23" s="847"/>
      <c r="CH23" s="847"/>
      <c r="CI23" s="847"/>
      <c r="CJ23" s="847"/>
      <c r="CK23" s="847"/>
      <c r="CL23" s="847"/>
      <c r="CM23" s="847"/>
      <c r="CN23" s="847"/>
      <c r="CO23" s="847"/>
      <c r="CP23" s="847"/>
      <c r="CQ23" s="847"/>
      <c r="CR23" s="847"/>
      <c r="CS23" s="847"/>
      <c r="CT23" s="847"/>
      <c r="CU23" s="847"/>
      <c r="CV23" s="847"/>
      <c r="CW23" s="847"/>
      <c r="CX23" s="847"/>
      <c r="CY23" s="847"/>
      <c r="CZ23" s="847"/>
      <c r="DA23" s="847"/>
      <c r="DB23" s="847"/>
      <c r="DC23" s="847"/>
      <c r="DD23" s="847"/>
      <c r="DE23" s="847"/>
      <c r="DF23" s="847"/>
    </row>
    <row r="24" spans="1:110" s="27" customFormat="1" ht="17.25" customHeight="1" thickBot="1">
      <c r="A24" s="28"/>
      <c r="B24" s="29"/>
      <c r="C24" s="52"/>
      <c r="D24" s="35"/>
      <c r="E24" s="73">
        <v>9</v>
      </c>
      <c r="F24" s="73">
        <v>0</v>
      </c>
      <c r="G24" s="73">
        <v>0</v>
      </c>
      <c r="H24" s="35"/>
      <c r="I24" s="73">
        <v>0</v>
      </c>
      <c r="J24" s="111">
        <v>10</v>
      </c>
      <c r="K24" s="111"/>
      <c r="L24" s="35"/>
      <c r="M24" s="35"/>
      <c r="N24" s="73">
        <v>9</v>
      </c>
      <c r="O24" s="35"/>
      <c r="P24" s="35"/>
      <c r="Q24" s="35">
        <v>0</v>
      </c>
      <c r="R24" s="35"/>
      <c r="S24" s="35"/>
      <c r="T24" s="35"/>
      <c r="U24" s="53"/>
      <c r="V24" s="35"/>
      <c r="W24" s="35"/>
      <c r="X24" s="35"/>
      <c r="Y24" s="35"/>
      <c r="Z24" s="62"/>
      <c r="AA24" s="35"/>
      <c r="AB24" s="35"/>
      <c r="AC24" s="30"/>
      <c r="AD24" s="35"/>
      <c r="AE24" s="53"/>
      <c r="AF24" s="103">
        <f>SUM(C24:AE24)</f>
        <v>28</v>
      </c>
      <c r="AG24" s="847"/>
      <c r="AH24" s="847"/>
      <c r="AI24" s="847"/>
      <c r="AJ24" s="847"/>
      <c r="AK24" s="847"/>
      <c r="AL24" s="847"/>
      <c r="AM24" s="847"/>
      <c r="AN24" s="847"/>
      <c r="AO24" s="847"/>
      <c r="AP24" s="847"/>
      <c r="AQ24" s="847"/>
      <c r="AR24" s="847"/>
      <c r="AS24" s="847"/>
      <c r="AT24" s="847"/>
      <c r="AU24" s="847"/>
      <c r="AV24" s="847"/>
      <c r="AW24" s="847"/>
      <c r="AX24" s="847"/>
      <c r="AY24" s="847"/>
      <c r="AZ24" s="847"/>
      <c r="BA24" s="847"/>
      <c r="BB24" s="847"/>
      <c r="BC24" s="847"/>
      <c r="BD24" s="847"/>
      <c r="BE24" s="847"/>
      <c r="BF24" s="847"/>
      <c r="BG24" s="847"/>
      <c r="BH24" s="847"/>
      <c r="BI24" s="847"/>
      <c r="BJ24" s="847"/>
      <c r="BK24" s="847"/>
      <c r="BL24" s="847"/>
      <c r="BM24" s="847"/>
      <c r="BN24" s="847"/>
      <c r="BO24" s="847"/>
      <c r="BP24" s="847"/>
      <c r="BQ24" s="847"/>
      <c r="BR24" s="847"/>
      <c r="BS24" s="847"/>
      <c r="BT24" s="847"/>
      <c r="BU24" s="847"/>
      <c r="BV24" s="847"/>
      <c r="BW24" s="847"/>
      <c r="BX24" s="847"/>
      <c r="BY24" s="847"/>
      <c r="BZ24" s="847"/>
      <c r="CA24" s="847"/>
      <c r="CB24" s="847"/>
      <c r="CC24" s="847"/>
      <c r="CD24" s="847"/>
      <c r="CE24" s="847"/>
      <c r="CF24" s="847"/>
      <c r="CG24" s="847"/>
      <c r="CH24" s="847"/>
      <c r="CI24" s="847"/>
      <c r="CJ24" s="847"/>
      <c r="CK24" s="847"/>
      <c r="CL24" s="847"/>
      <c r="CM24" s="847"/>
      <c r="CN24" s="847"/>
      <c r="CO24" s="847"/>
      <c r="CP24" s="847"/>
      <c r="CQ24" s="847"/>
      <c r="CR24" s="847"/>
      <c r="CS24" s="847"/>
      <c r="CT24" s="847"/>
      <c r="CU24" s="847"/>
      <c r="CV24" s="847"/>
      <c r="CW24" s="847"/>
      <c r="CX24" s="847"/>
      <c r="CY24" s="847"/>
      <c r="CZ24" s="847"/>
      <c r="DA24" s="847"/>
      <c r="DB24" s="847"/>
      <c r="DC24" s="847"/>
      <c r="DD24" s="847"/>
      <c r="DE24" s="847"/>
      <c r="DF24" s="847"/>
    </row>
    <row r="25" spans="1:110" ht="18.75">
      <c r="A25" s="19">
        <v>9</v>
      </c>
      <c r="B25" s="20" t="s">
        <v>14</v>
      </c>
      <c r="C25" s="48">
        <v>34</v>
      </c>
      <c r="D25" s="34"/>
      <c r="E25" s="56">
        <v>2</v>
      </c>
      <c r="F25" s="56">
        <v>25</v>
      </c>
      <c r="G25" s="56">
        <v>9</v>
      </c>
      <c r="H25" s="70"/>
      <c r="I25" s="56">
        <v>0</v>
      </c>
      <c r="J25" s="44">
        <v>0</v>
      </c>
      <c r="K25" s="116"/>
      <c r="L25" s="40"/>
      <c r="M25" s="40"/>
      <c r="N25" s="56">
        <v>27</v>
      </c>
      <c r="O25" s="40"/>
      <c r="P25" s="40"/>
      <c r="Q25" s="40">
        <v>0</v>
      </c>
      <c r="R25" s="40"/>
      <c r="S25" s="40"/>
      <c r="T25" s="34"/>
      <c r="U25" s="45"/>
      <c r="V25" s="69">
        <v>96.67</v>
      </c>
      <c r="W25" s="69">
        <v>93.33</v>
      </c>
      <c r="X25" s="69">
        <v>93.33</v>
      </c>
      <c r="Y25" s="69">
        <v>66.900000000000006</v>
      </c>
      <c r="Z25" s="59"/>
      <c r="AA25" s="34"/>
      <c r="AB25" s="34"/>
      <c r="AC25" s="21"/>
      <c r="AD25" s="34"/>
      <c r="AE25" s="45"/>
      <c r="AF25" s="105"/>
      <c r="AG25" s="847"/>
      <c r="AH25" s="847"/>
      <c r="AI25" s="847"/>
      <c r="AJ25" s="847"/>
      <c r="AK25" s="847"/>
      <c r="AL25" s="847"/>
      <c r="AM25" s="847"/>
      <c r="AN25" s="847"/>
      <c r="AO25" s="847"/>
      <c r="AP25" s="847"/>
      <c r="AQ25" s="847"/>
      <c r="AR25" s="847"/>
      <c r="AS25" s="847"/>
      <c r="AT25" s="847"/>
      <c r="AU25" s="847"/>
      <c r="AV25" s="847"/>
      <c r="AW25" s="847"/>
      <c r="AX25" s="847"/>
      <c r="AY25" s="847"/>
      <c r="AZ25" s="847"/>
      <c r="BA25" s="847"/>
      <c r="BB25" s="847"/>
      <c r="BC25" s="847"/>
      <c r="BD25" s="847"/>
      <c r="BE25" s="847"/>
      <c r="BF25" s="847"/>
      <c r="BG25" s="847"/>
      <c r="BH25" s="847"/>
      <c r="BI25" s="847"/>
      <c r="BJ25" s="847"/>
      <c r="BK25" s="847"/>
      <c r="BL25" s="847"/>
      <c r="BM25" s="847"/>
      <c r="BN25" s="847"/>
      <c r="BO25" s="847"/>
      <c r="BP25" s="847"/>
      <c r="BQ25" s="847"/>
      <c r="BR25" s="847"/>
      <c r="BS25" s="847"/>
      <c r="BT25" s="847"/>
      <c r="BU25" s="847"/>
      <c r="BV25" s="847"/>
      <c r="BW25" s="847"/>
      <c r="BX25" s="847"/>
      <c r="BY25" s="847"/>
      <c r="BZ25" s="847"/>
      <c r="CA25" s="847"/>
      <c r="CB25" s="847"/>
      <c r="CC25" s="847"/>
      <c r="CD25" s="847"/>
      <c r="CE25" s="847"/>
      <c r="CF25" s="847"/>
      <c r="CG25" s="847"/>
      <c r="CH25" s="847"/>
      <c r="CI25" s="847"/>
      <c r="CJ25" s="847"/>
      <c r="CK25" s="847"/>
      <c r="CL25" s="847"/>
      <c r="CM25" s="847"/>
      <c r="CN25" s="847"/>
      <c r="CO25" s="847"/>
      <c r="CP25" s="847"/>
      <c r="CQ25" s="847"/>
      <c r="CR25" s="847"/>
      <c r="CS25" s="847"/>
      <c r="CT25" s="847"/>
      <c r="CU25" s="847"/>
      <c r="CV25" s="847"/>
      <c r="CW25" s="847"/>
      <c r="CX25" s="847"/>
      <c r="CY25" s="847"/>
      <c r="CZ25" s="847"/>
      <c r="DA25" s="847"/>
      <c r="DB25" s="847"/>
      <c r="DC25" s="847"/>
      <c r="DD25" s="847"/>
      <c r="DE25" s="847"/>
      <c r="DF25" s="847"/>
    </row>
    <row r="26" spans="1:110" s="27" customFormat="1" ht="15.75" customHeight="1" thickBot="1">
      <c r="A26" s="24"/>
      <c r="B26" s="25"/>
      <c r="C26" s="50"/>
      <c r="D26" s="36"/>
      <c r="E26" s="57">
        <v>9</v>
      </c>
      <c r="F26" s="57">
        <v>0</v>
      </c>
      <c r="G26" s="57">
        <v>5</v>
      </c>
      <c r="H26" s="36"/>
      <c r="I26" s="57">
        <v>10</v>
      </c>
      <c r="J26" s="46">
        <v>10</v>
      </c>
      <c r="K26" s="46"/>
      <c r="L26" s="41"/>
      <c r="M26" s="41"/>
      <c r="N26" s="57">
        <v>3</v>
      </c>
      <c r="O26" s="41"/>
      <c r="P26" s="41"/>
      <c r="Q26" s="41"/>
      <c r="R26" s="41"/>
      <c r="S26" s="41"/>
      <c r="T26" s="36"/>
      <c r="U26" s="47"/>
      <c r="V26" s="36">
        <v>10</v>
      </c>
      <c r="W26" s="36">
        <v>10</v>
      </c>
      <c r="X26" s="36">
        <v>10</v>
      </c>
      <c r="Y26" s="36">
        <v>7</v>
      </c>
      <c r="Z26" s="60"/>
      <c r="AA26" s="36"/>
      <c r="AB26" s="36"/>
      <c r="AC26" s="26"/>
      <c r="AD26" s="36"/>
      <c r="AE26" s="47"/>
      <c r="AF26" s="101">
        <f>SUM(C26:AE26)</f>
        <v>74</v>
      </c>
      <c r="AG26" s="847"/>
      <c r="AH26" s="847"/>
      <c r="AI26" s="847"/>
      <c r="AJ26" s="847"/>
      <c r="AK26" s="847"/>
      <c r="AL26" s="847"/>
      <c r="AM26" s="847"/>
      <c r="AN26" s="847"/>
      <c r="AO26" s="847"/>
      <c r="AP26" s="847"/>
      <c r="AQ26" s="847"/>
      <c r="AR26" s="847"/>
      <c r="AS26" s="847"/>
      <c r="AT26" s="847"/>
      <c r="AU26" s="847"/>
      <c r="AV26" s="847"/>
      <c r="AW26" s="847"/>
      <c r="AX26" s="847"/>
      <c r="AY26" s="847"/>
      <c r="AZ26" s="847"/>
      <c r="BA26" s="847"/>
      <c r="BB26" s="847"/>
      <c r="BC26" s="847"/>
      <c r="BD26" s="847"/>
      <c r="BE26" s="847"/>
      <c r="BF26" s="847"/>
      <c r="BG26" s="847"/>
      <c r="BH26" s="847"/>
      <c r="BI26" s="847"/>
      <c r="BJ26" s="847"/>
      <c r="BK26" s="847"/>
      <c r="BL26" s="847"/>
      <c r="BM26" s="847"/>
      <c r="BN26" s="847"/>
      <c r="BO26" s="847"/>
      <c r="BP26" s="847"/>
      <c r="BQ26" s="847"/>
      <c r="BR26" s="847"/>
      <c r="BS26" s="847"/>
      <c r="BT26" s="847"/>
      <c r="BU26" s="847"/>
      <c r="BV26" s="847"/>
      <c r="BW26" s="847"/>
      <c r="BX26" s="847"/>
      <c r="BY26" s="847"/>
      <c r="BZ26" s="847"/>
      <c r="CA26" s="847"/>
      <c r="CB26" s="847"/>
      <c r="CC26" s="847"/>
      <c r="CD26" s="847"/>
      <c r="CE26" s="847"/>
      <c r="CF26" s="847"/>
      <c r="CG26" s="847"/>
      <c r="CH26" s="847"/>
      <c r="CI26" s="847"/>
      <c r="CJ26" s="847"/>
      <c r="CK26" s="847"/>
      <c r="CL26" s="847"/>
      <c r="CM26" s="847"/>
      <c r="CN26" s="847"/>
      <c r="CO26" s="847"/>
      <c r="CP26" s="847"/>
      <c r="CQ26" s="847"/>
      <c r="CR26" s="847"/>
      <c r="CS26" s="847"/>
      <c r="CT26" s="847"/>
      <c r="CU26" s="847"/>
      <c r="CV26" s="847"/>
      <c r="CW26" s="847"/>
      <c r="CX26" s="847"/>
      <c r="CY26" s="847"/>
      <c r="CZ26" s="847"/>
      <c r="DA26" s="847"/>
      <c r="DB26" s="847"/>
      <c r="DC26" s="847"/>
      <c r="DD26" s="847"/>
      <c r="DE26" s="847"/>
      <c r="DF26" s="847"/>
    </row>
    <row r="27" spans="1:110" s="3" customFormat="1" ht="18.75">
      <c r="A27" s="19">
        <v>10</v>
      </c>
      <c r="B27" s="20" t="s">
        <v>13</v>
      </c>
      <c r="C27" s="48">
        <v>8</v>
      </c>
      <c r="D27" s="37"/>
      <c r="E27" s="56">
        <v>0</v>
      </c>
      <c r="F27" s="56">
        <v>0</v>
      </c>
      <c r="G27" s="56">
        <v>7</v>
      </c>
      <c r="H27" s="37"/>
      <c r="I27" s="56">
        <v>0</v>
      </c>
      <c r="J27" s="44">
        <v>0</v>
      </c>
      <c r="K27" s="118"/>
      <c r="L27" s="42"/>
      <c r="M27" s="42"/>
      <c r="N27" s="56">
        <v>7</v>
      </c>
      <c r="O27" s="40"/>
      <c r="P27" s="40"/>
      <c r="Q27" s="34">
        <v>73.319999999999993</v>
      </c>
      <c r="R27" s="40"/>
      <c r="S27" s="40"/>
      <c r="T27" s="34"/>
      <c r="U27" s="45"/>
      <c r="V27" s="69">
        <v>100</v>
      </c>
      <c r="W27" s="69">
        <v>100</v>
      </c>
      <c r="X27" s="69">
        <v>100</v>
      </c>
      <c r="Y27" s="69">
        <v>100</v>
      </c>
      <c r="Z27" s="59"/>
      <c r="AA27" s="34"/>
      <c r="AB27" s="34"/>
      <c r="AC27" s="21"/>
      <c r="AD27" s="34"/>
      <c r="AE27" s="45"/>
      <c r="AF27" s="102"/>
      <c r="AG27" s="847"/>
      <c r="AH27" s="847"/>
      <c r="AI27" s="847"/>
      <c r="AJ27" s="847"/>
      <c r="AK27" s="847"/>
      <c r="AL27" s="847"/>
      <c r="AM27" s="847"/>
      <c r="AN27" s="847"/>
      <c r="AO27" s="847"/>
      <c r="AP27" s="847"/>
      <c r="AQ27" s="847"/>
      <c r="AR27" s="847"/>
      <c r="AS27" s="847"/>
      <c r="AT27" s="847"/>
      <c r="AU27" s="847"/>
      <c r="AV27" s="847"/>
      <c r="AW27" s="847"/>
      <c r="AX27" s="847"/>
      <c r="AY27" s="847"/>
      <c r="AZ27" s="847"/>
      <c r="BA27" s="847"/>
      <c r="BB27" s="847"/>
      <c r="BC27" s="847"/>
      <c r="BD27" s="847"/>
      <c r="BE27" s="847"/>
      <c r="BF27" s="847"/>
      <c r="BG27" s="847"/>
      <c r="BH27" s="847"/>
      <c r="BI27" s="847"/>
      <c r="BJ27" s="847"/>
      <c r="BK27" s="847"/>
      <c r="BL27" s="847"/>
      <c r="BM27" s="847"/>
      <c r="BN27" s="847"/>
      <c r="BO27" s="847"/>
      <c r="BP27" s="847"/>
      <c r="BQ27" s="847"/>
      <c r="BR27" s="847"/>
      <c r="BS27" s="847"/>
      <c r="BT27" s="847"/>
      <c r="BU27" s="847"/>
      <c r="BV27" s="847"/>
      <c r="BW27" s="847"/>
      <c r="BX27" s="847"/>
      <c r="BY27" s="847"/>
      <c r="BZ27" s="847"/>
      <c r="CA27" s="847"/>
      <c r="CB27" s="847"/>
      <c r="CC27" s="847"/>
      <c r="CD27" s="847"/>
      <c r="CE27" s="847"/>
      <c r="CF27" s="847"/>
      <c r="CG27" s="847"/>
      <c r="CH27" s="847"/>
      <c r="CI27" s="847"/>
      <c r="CJ27" s="847"/>
      <c r="CK27" s="847"/>
      <c r="CL27" s="847"/>
      <c r="CM27" s="847"/>
      <c r="CN27" s="847"/>
      <c r="CO27" s="847"/>
      <c r="CP27" s="847"/>
      <c r="CQ27" s="847"/>
      <c r="CR27" s="847"/>
      <c r="CS27" s="847"/>
      <c r="CT27" s="847"/>
      <c r="CU27" s="847"/>
      <c r="CV27" s="847"/>
      <c r="CW27" s="847"/>
      <c r="CX27" s="847"/>
      <c r="CY27" s="847"/>
      <c r="CZ27" s="847"/>
      <c r="DA27" s="847"/>
      <c r="DB27" s="847"/>
      <c r="DC27" s="847"/>
      <c r="DD27" s="847"/>
      <c r="DE27" s="847"/>
      <c r="DF27" s="847"/>
    </row>
    <row r="28" spans="1:110" s="31" customFormat="1" ht="15.75" customHeight="1" thickBot="1">
      <c r="A28" s="24"/>
      <c r="B28" s="25"/>
      <c r="C28" s="50"/>
      <c r="D28" s="38"/>
      <c r="E28" s="57">
        <v>10</v>
      </c>
      <c r="F28" s="57">
        <v>10</v>
      </c>
      <c r="G28" s="57">
        <v>6</v>
      </c>
      <c r="H28" s="38"/>
      <c r="I28" s="57">
        <v>10</v>
      </c>
      <c r="J28" s="46">
        <v>10</v>
      </c>
      <c r="K28" s="114"/>
      <c r="L28" s="43"/>
      <c r="M28" s="43"/>
      <c r="N28" s="57">
        <v>0</v>
      </c>
      <c r="O28" s="41"/>
      <c r="P28" s="41"/>
      <c r="Q28" s="36">
        <v>8</v>
      </c>
      <c r="R28" s="41"/>
      <c r="S28" s="41"/>
      <c r="T28" s="36"/>
      <c r="U28" s="47"/>
      <c r="V28" s="36">
        <v>10</v>
      </c>
      <c r="W28" s="36">
        <v>10</v>
      </c>
      <c r="X28" s="36">
        <v>10</v>
      </c>
      <c r="Y28" s="36">
        <v>10</v>
      </c>
      <c r="Z28" s="60"/>
      <c r="AA28" s="36"/>
      <c r="AB28" s="36"/>
      <c r="AC28" s="26"/>
      <c r="AD28" s="36"/>
      <c r="AE28" s="47"/>
      <c r="AF28" s="103">
        <f>SUM(C28:AE28)</f>
        <v>94</v>
      </c>
      <c r="AG28" s="847"/>
      <c r="AH28" s="847"/>
      <c r="AI28" s="847"/>
      <c r="AJ28" s="847"/>
      <c r="AK28" s="847"/>
      <c r="AL28" s="847"/>
      <c r="AM28" s="847"/>
      <c r="AN28" s="847"/>
      <c r="AO28" s="847"/>
      <c r="AP28" s="847"/>
      <c r="AQ28" s="847"/>
      <c r="AR28" s="847"/>
      <c r="AS28" s="847"/>
      <c r="AT28" s="847"/>
      <c r="AU28" s="847"/>
      <c r="AV28" s="847"/>
      <c r="AW28" s="847"/>
      <c r="AX28" s="847"/>
      <c r="AY28" s="847"/>
      <c r="AZ28" s="847"/>
      <c r="BA28" s="847"/>
      <c r="BB28" s="847"/>
      <c r="BC28" s="847"/>
      <c r="BD28" s="847"/>
      <c r="BE28" s="847"/>
      <c r="BF28" s="847"/>
      <c r="BG28" s="847"/>
      <c r="BH28" s="847"/>
      <c r="BI28" s="847"/>
      <c r="BJ28" s="847"/>
      <c r="BK28" s="847"/>
      <c r="BL28" s="847"/>
      <c r="BM28" s="847"/>
      <c r="BN28" s="847"/>
      <c r="BO28" s="847"/>
      <c r="BP28" s="847"/>
      <c r="BQ28" s="847"/>
      <c r="BR28" s="847"/>
      <c r="BS28" s="847"/>
      <c r="BT28" s="847"/>
      <c r="BU28" s="847"/>
      <c r="BV28" s="847"/>
      <c r="BW28" s="847"/>
      <c r="BX28" s="847"/>
      <c r="BY28" s="847"/>
      <c r="BZ28" s="847"/>
      <c r="CA28" s="847"/>
      <c r="CB28" s="847"/>
      <c r="CC28" s="847"/>
      <c r="CD28" s="847"/>
      <c r="CE28" s="847"/>
      <c r="CF28" s="847"/>
      <c r="CG28" s="847"/>
      <c r="CH28" s="847"/>
      <c r="CI28" s="847"/>
      <c r="CJ28" s="847"/>
      <c r="CK28" s="847"/>
      <c r="CL28" s="847"/>
      <c r="CM28" s="847"/>
      <c r="CN28" s="847"/>
      <c r="CO28" s="847"/>
      <c r="CP28" s="847"/>
      <c r="CQ28" s="847"/>
      <c r="CR28" s="847"/>
      <c r="CS28" s="847"/>
      <c r="CT28" s="847"/>
      <c r="CU28" s="847"/>
      <c r="CV28" s="847"/>
      <c r="CW28" s="847"/>
      <c r="CX28" s="847"/>
      <c r="CY28" s="847"/>
      <c r="CZ28" s="847"/>
      <c r="DA28" s="847"/>
      <c r="DB28" s="847"/>
      <c r="DC28" s="847"/>
      <c r="DD28" s="847"/>
      <c r="DE28" s="847"/>
      <c r="DF28" s="847"/>
    </row>
    <row r="29" spans="1:110" s="4" customFormat="1" ht="18.75">
      <c r="A29" s="19">
        <v>11</v>
      </c>
      <c r="B29" s="22" t="s">
        <v>11</v>
      </c>
      <c r="C29" s="54">
        <v>18</v>
      </c>
      <c r="D29" s="39"/>
      <c r="E29" s="64">
        <v>0</v>
      </c>
      <c r="F29" s="64">
        <v>11</v>
      </c>
      <c r="G29" s="64">
        <v>34</v>
      </c>
      <c r="H29" s="39"/>
      <c r="I29" s="64">
        <v>1</v>
      </c>
      <c r="J29" s="115">
        <v>0</v>
      </c>
      <c r="K29" s="116"/>
      <c r="L29" s="39"/>
      <c r="M29" s="39"/>
      <c r="N29" s="64">
        <v>0</v>
      </c>
      <c r="O29" s="39"/>
      <c r="P29" s="39"/>
      <c r="Q29" s="39">
        <v>0</v>
      </c>
      <c r="R29" s="39"/>
      <c r="S29" s="39"/>
      <c r="T29" s="39"/>
      <c r="U29" s="55"/>
      <c r="V29" s="66">
        <v>100</v>
      </c>
      <c r="W29" s="66">
        <v>66.599999999999994</v>
      </c>
      <c r="X29" s="66">
        <v>66.599999999999994</v>
      </c>
      <c r="Y29" s="66">
        <v>100</v>
      </c>
      <c r="Z29" s="63"/>
      <c r="AA29" s="39"/>
      <c r="AB29" s="39"/>
      <c r="AC29" s="23"/>
      <c r="AD29" s="39"/>
      <c r="AE29" s="55"/>
      <c r="AF29" s="106"/>
      <c r="AG29" s="847"/>
      <c r="AH29" s="847"/>
      <c r="AI29" s="847"/>
      <c r="AJ29" s="847"/>
      <c r="AK29" s="847"/>
      <c r="AL29" s="847"/>
      <c r="AM29" s="847"/>
      <c r="AN29" s="847"/>
      <c r="AO29" s="847"/>
      <c r="AP29" s="847"/>
      <c r="AQ29" s="847"/>
      <c r="AR29" s="847"/>
      <c r="AS29" s="847"/>
      <c r="AT29" s="847"/>
      <c r="AU29" s="847"/>
      <c r="AV29" s="847"/>
      <c r="AW29" s="847"/>
      <c r="AX29" s="847"/>
      <c r="AY29" s="847"/>
      <c r="AZ29" s="847"/>
      <c r="BA29" s="847"/>
      <c r="BB29" s="847"/>
      <c r="BC29" s="847"/>
      <c r="BD29" s="847"/>
      <c r="BE29" s="847"/>
      <c r="BF29" s="847"/>
      <c r="BG29" s="847"/>
      <c r="BH29" s="847"/>
      <c r="BI29" s="847"/>
      <c r="BJ29" s="847"/>
      <c r="BK29" s="847"/>
      <c r="BL29" s="847"/>
      <c r="BM29" s="847"/>
      <c r="BN29" s="847"/>
      <c r="BO29" s="847"/>
      <c r="BP29" s="847"/>
      <c r="BQ29" s="847"/>
      <c r="BR29" s="847"/>
      <c r="BS29" s="847"/>
      <c r="BT29" s="847"/>
      <c r="BU29" s="847"/>
      <c r="BV29" s="847"/>
      <c r="BW29" s="847"/>
      <c r="BX29" s="847"/>
      <c r="BY29" s="847"/>
      <c r="BZ29" s="847"/>
      <c r="CA29" s="847"/>
      <c r="CB29" s="847"/>
      <c r="CC29" s="847"/>
      <c r="CD29" s="847"/>
      <c r="CE29" s="847"/>
      <c r="CF29" s="847"/>
      <c r="CG29" s="847"/>
      <c r="CH29" s="847"/>
      <c r="CI29" s="847"/>
      <c r="CJ29" s="847"/>
      <c r="CK29" s="847"/>
      <c r="CL29" s="847"/>
      <c r="CM29" s="847"/>
      <c r="CN29" s="847"/>
      <c r="CO29" s="847"/>
      <c r="CP29" s="847"/>
      <c r="CQ29" s="847"/>
      <c r="CR29" s="847"/>
      <c r="CS29" s="847"/>
      <c r="CT29" s="847"/>
      <c r="CU29" s="847"/>
      <c r="CV29" s="847"/>
      <c r="CW29" s="847"/>
      <c r="CX29" s="847"/>
      <c r="CY29" s="847"/>
      <c r="CZ29" s="847"/>
      <c r="DA29" s="847"/>
      <c r="DB29" s="847"/>
      <c r="DC29" s="847"/>
      <c r="DD29" s="847"/>
      <c r="DE29" s="847"/>
      <c r="DF29" s="847"/>
    </row>
    <row r="30" spans="1:110" s="27" customFormat="1" ht="15" customHeight="1" thickBot="1">
      <c r="A30" s="28"/>
      <c r="B30" s="29"/>
      <c r="C30" s="52"/>
      <c r="D30" s="35"/>
      <c r="E30" s="73">
        <v>10</v>
      </c>
      <c r="F30" s="73">
        <v>4</v>
      </c>
      <c r="G30" s="73">
        <v>0</v>
      </c>
      <c r="H30" s="35"/>
      <c r="I30" s="73">
        <v>9</v>
      </c>
      <c r="J30" s="111">
        <v>10</v>
      </c>
      <c r="K30" s="111"/>
      <c r="L30" s="35"/>
      <c r="M30" s="35"/>
      <c r="N30" s="73">
        <v>0</v>
      </c>
      <c r="O30" s="35"/>
      <c r="P30" s="35"/>
      <c r="Q30" s="35"/>
      <c r="R30" s="35"/>
      <c r="S30" s="35"/>
      <c r="T30" s="35"/>
      <c r="U30" s="53"/>
      <c r="V30" s="35">
        <v>10</v>
      </c>
      <c r="W30" s="35">
        <v>7</v>
      </c>
      <c r="X30" s="35">
        <v>7</v>
      </c>
      <c r="Y30" s="35">
        <v>10</v>
      </c>
      <c r="Z30" s="62"/>
      <c r="AA30" s="35"/>
      <c r="AB30" s="35"/>
      <c r="AC30" s="30"/>
      <c r="AD30" s="35"/>
      <c r="AE30" s="53"/>
      <c r="AF30" s="101">
        <f>SUM(C30:AE30)</f>
        <v>67</v>
      </c>
      <c r="AG30" s="847"/>
      <c r="AH30" s="847"/>
      <c r="AI30" s="847"/>
      <c r="AJ30" s="847"/>
      <c r="AK30" s="847"/>
      <c r="AL30" s="847"/>
      <c r="AM30" s="847"/>
      <c r="AN30" s="847"/>
      <c r="AO30" s="847"/>
      <c r="AP30" s="847"/>
      <c r="AQ30" s="847"/>
      <c r="AR30" s="847"/>
      <c r="AS30" s="847"/>
      <c r="AT30" s="847"/>
      <c r="AU30" s="847"/>
      <c r="AV30" s="847"/>
      <c r="AW30" s="847"/>
      <c r="AX30" s="847"/>
      <c r="AY30" s="847"/>
      <c r="AZ30" s="847"/>
      <c r="BA30" s="847"/>
      <c r="BB30" s="847"/>
      <c r="BC30" s="847"/>
      <c r="BD30" s="847"/>
      <c r="BE30" s="847"/>
      <c r="BF30" s="847"/>
      <c r="BG30" s="847"/>
      <c r="BH30" s="847"/>
      <c r="BI30" s="847"/>
      <c r="BJ30" s="847"/>
      <c r="BK30" s="847"/>
      <c r="BL30" s="847"/>
      <c r="BM30" s="847"/>
      <c r="BN30" s="847"/>
      <c r="BO30" s="847"/>
      <c r="BP30" s="847"/>
      <c r="BQ30" s="847"/>
      <c r="BR30" s="847"/>
      <c r="BS30" s="847"/>
      <c r="BT30" s="847"/>
      <c r="BU30" s="847"/>
      <c r="BV30" s="847"/>
      <c r="BW30" s="847"/>
      <c r="BX30" s="847"/>
      <c r="BY30" s="847"/>
      <c r="BZ30" s="847"/>
      <c r="CA30" s="847"/>
      <c r="CB30" s="847"/>
      <c r="CC30" s="847"/>
      <c r="CD30" s="847"/>
      <c r="CE30" s="847"/>
      <c r="CF30" s="847"/>
      <c r="CG30" s="847"/>
      <c r="CH30" s="847"/>
      <c r="CI30" s="847"/>
      <c r="CJ30" s="847"/>
      <c r="CK30" s="847"/>
      <c r="CL30" s="847"/>
      <c r="CM30" s="847"/>
      <c r="CN30" s="847"/>
      <c r="CO30" s="847"/>
      <c r="CP30" s="847"/>
      <c r="CQ30" s="847"/>
      <c r="CR30" s="847"/>
      <c r="CS30" s="847"/>
      <c r="CT30" s="847"/>
      <c r="CU30" s="847"/>
      <c r="CV30" s="847"/>
      <c r="CW30" s="847"/>
      <c r="CX30" s="847"/>
      <c r="CY30" s="847"/>
      <c r="CZ30" s="847"/>
      <c r="DA30" s="847"/>
      <c r="DB30" s="847"/>
      <c r="DC30" s="847"/>
      <c r="DD30" s="847"/>
      <c r="DE30" s="847"/>
      <c r="DF30" s="847"/>
    </row>
    <row r="31" spans="1:110" ht="28.5">
      <c r="A31" s="19">
        <v>12</v>
      </c>
      <c r="B31" s="20" t="s">
        <v>59</v>
      </c>
      <c r="C31" s="48">
        <v>6</v>
      </c>
      <c r="D31" s="34"/>
      <c r="E31" s="56">
        <v>0</v>
      </c>
      <c r="F31" s="56">
        <v>5</v>
      </c>
      <c r="G31" s="56">
        <v>0</v>
      </c>
      <c r="H31" s="70"/>
      <c r="I31" s="56">
        <v>0</v>
      </c>
      <c r="J31" s="44">
        <v>0</v>
      </c>
      <c r="K31" s="116"/>
      <c r="L31" s="34"/>
      <c r="M31" s="34"/>
      <c r="N31" s="56">
        <v>2</v>
      </c>
      <c r="O31" s="34"/>
      <c r="P31" s="34"/>
      <c r="Q31" s="34">
        <v>87.6</v>
      </c>
      <c r="R31" s="34"/>
      <c r="S31" s="34"/>
      <c r="T31" s="34"/>
      <c r="U31" s="45"/>
      <c r="V31" s="69">
        <v>100</v>
      </c>
      <c r="W31" s="69">
        <v>33.299999999999997</v>
      </c>
      <c r="X31" s="69">
        <v>50</v>
      </c>
      <c r="Y31" s="69">
        <v>100</v>
      </c>
      <c r="Z31" s="59"/>
      <c r="AA31" s="34"/>
      <c r="AB31" s="34"/>
      <c r="AC31" s="21"/>
      <c r="AD31" s="34"/>
      <c r="AE31" s="45"/>
      <c r="AF31" s="102"/>
      <c r="AG31" s="847"/>
      <c r="AH31" s="847"/>
      <c r="AI31" s="847"/>
      <c r="AJ31" s="847"/>
      <c r="AK31" s="847"/>
      <c r="AL31" s="847"/>
      <c r="AM31" s="847"/>
      <c r="AN31" s="847"/>
      <c r="AO31" s="847"/>
      <c r="AP31" s="847"/>
      <c r="AQ31" s="847"/>
      <c r="AR31" s="847"/>
      <c r="AS31" s="847"/>
      <c r="AT31" s="847"/>
      <c r="AU31" s="847"/>
      <c r="AV31" s="847"/>
      <c r="AW31" s="847"/>
      <c r="AX31" s="847"/>
      <c r="AY31" s="847"/>
      <c r="AZ31" s="847"/>
      <c r="BA31" s="847"/>
      <c r="BB31" s="847"/>
      <c r="BC31" s="847"/>
      <c r="BD31" s="847"/>
      <c r="BE31" s="847"/>
      <c r="BF31" s="847"/>
      <c r="BG31" s="847"/>
      <c r="BH31" s="847"/>
      <c r="BI31" s="847"/>
      <c r="BJ31" s="847"/>
      <c r="BK31" s="847"/>
      <c r="BL31" s="847"/>
      <c r="BM31" s="847"/>
      <c r="BN31" s="847"/>
      <c r="BO31" s="847"/>
      <c r="BP31" s="847"/>
      <c r="BQ31" s="847"/>
      <c r="BR31" s="847"/>
      <c r="BS31" s="847"/>
      <c r="BT31" s="847"/>
      <c r="BU31" s="847"/>
      <c r="BV31" s="847"/>
      <c r="BW31" s="847"/>
      <c r="BX31" s="847"/>
      <c r="BY31" s="847"/>
      <c r="BZ31" s="847"/>
      <c r="CA31" s="847"/>
      <c r="CB31" s="847"/>
      <c r="CC31" s="847"/>
      <c r="CD31" s="847"/>
      <c r="CE31" s="847"/>
      <c r="CF31" s="847"/>
      <c r="CG31" s="847"/>
      <c r="CH31" s="847"/>
      <c r="CI31" s="847"/>
      <c r="CJ31" s="847"/>
      <c r="CK31" s="847"/>
      <c r="CL31" s="847"/>
      <c r="CM31" s="847"/>
      <c r="CN31" s="847"/>
      <c r="CO31" s="847"/>
      <c r="CP31" s="847"/>
      <c r="CQ31" s="847"/>
      <c r="CR31" s="847"/>
      <c r="CS31" s="847"/>
      <c r="CT31" s="847"/>
      <c r="CU31" s="847"/>
      <c r="CV31" s="847"/>
      <c r="CW31" s="847"/>
      <c r="CX31" s="847"/>
      <c r="CY31" s="847"/>
      <c r="CZ31" s="847"/>
      <c r="DA31" s="847"/>
      <c r="DB31" s="847"/>
      <c r="DC31" s="847"/>
      <c r="DD31" s="847"/>
      <c r="DE31" s="847"/>
      <c r="DF31" s="847"/>
    </row>
    <row r="32" spans="1:110" s="27" customFormat="1" ht="16.5" customHeight="1" thickBot="1">
      <c r="A32" s="24"/>
      <c r="B32" s="25"/>
      <c r="C32" s="50"/>
      <c r="D32" s="36"/>
      <c r="E32" s="57">
        <v>10</v>
      </c>
      <c r="F32" s="57">
        <v>7</v>
      </c>
      <c r="G32" s="57">
        <v>10</v>
      </c>
      <c r="H32" s="36"/>
      <c r="I32" s="57">
        <v>10</v>
      </c>
      <c r="J32" s="46">
        <v>10</v>
      </c>
      <c r="K32" s="46"/>
      <c r="L32" s="36"/>
      <c r="M32" s="36"/>
      <c r="N32" s="57">
        <v>0</v>
      </c>
      <c r="O32" s="36"/>
      <c r="P32" s="36"/>
      <c r="Q32" s="36">
        <v>9</v>
      </c>
      <c r="R32" s="36"/>
      <c r="S32" s="36"/>
      <c r="T32" s="36"/>
      <c r="U32" s="47"/>
      <c r="V32" s="36">
        <v>10</v>
      </c>
      <c r="W32" s="36">
        <v>4</v>
      </c>
      <c r="X32" s="36">
        <v>6</v>
      </c>
      <c r="Y32" s="36">
        <v>10</v>
      </c>
      <c r="Z32" s="60"/>
      <c r="AA32" s="36"/>
      <c r="AB32" s="36"/>
      <c r="AC32" s="26"/>
      <c r="AD32" s="36"/>
      <c r="AE32" s="47"/>
      <c r="AF32" s="103">
        <f>SUM(C32:AE32)</f>
        <v>86</v>
      </c>
      <c r="AG32" s="847"/>
      <c r="AH32" s="847"/>
      <c r="AI32" s="847"/>
      <c r="AJ32" s="847"/>
      <c r="AK32" s="847"/>
      <c r="AL32" s="847"/>
      <c r="AM32" s="847"/>
      <c r="AN32" s="847"/>
      <c r="AO32" s="847"/>
      <c r="AP32" s="847"/>
      <c r="AQ32" s="847"/>
      <c r="AR32" s="847"/>
      <c r="AS32" s="847"/>
      <c r="AT32" s="847"/>
      <c r="AU32" s="847"/>
      <c r="AV32" s="847"/>
      <c r="AW32" s="847"/>
      <c r="AX32" s="847"/>
      <c r="AY32" s="847"/>
      <c r="AZ32" s="847"/>
      <c r="BA32" s="847"/>
      <c r="BB32" s="847"/>
      <c r="BC32" s="847"/>
      <c r="BD32" s="847"/>
      <c r="BE32" s="847"/>
      <c r="BF32" s="847"/>
      <c r="BG32" s="847"/>
      <c r="BH32" s="847"/>
      <c r="BI32" s="847"/>
      <c r="BJ32" s="847"/>
      <c r="BK32" s="847"/>
      <c r="BL32" s="847"/>
      <c r="BM32" s="847"/>
      <c r="BN32" s="847"/>
      <c r="BO32" s="847"/>
      <c r="BP32" s="847"/>
      <c r="BQ32" s="847"/>
      <c r="BR32" s="847"/>
      <c r="BS32" s="847"/>
      <c r="BT32" s="847"/>
      <c r="BU32" s="847"/>
      <c r="BV32" s="847"/>
      <c r="BW32" s="847"/>
      <c r="BX32" s="847"/>
      <c r="BY32" s="847"/>
      <c r="BZ32" s="847"/>
      <c r="CA32" s="847"/>
      <c r="CB32" s="847"/>
      <c r="CC32" s="847"/>
      <c r="CD32" s="847"/>
      <c r="CE32" s="847"/>
      <c r="CF32" s="847"/>
      <c r="CG32" s="847"/>
      <c r="CH32" s="847"/>
      <c r="CI32" s="847"/>
      <c r="CJ32" s="847"/>
      <c r="CK32" s="847"/>
      <c r="CL32" s="847"/>
      <c r="CM32" s="847"/>
      <c r="CN32" s="847"/>
      <c r="CO32" s="847"/>
      <c r="CP32" s="847"/>
      <c r="CQ32" s="847"/>
      <c r="CR32" s="847"/>
      <c r="CS32" s="847"/>
      <c r="CT32" s="847"/>
      <c r="CU32" s="847"/>
      <c r="CV32" s="847"/>
      <c r="CW32" s="847"/>
      <c r="CX32" s="847"/>
      <c r="CY32" s="847"/>
      <c r="CZ32" s="847"/>
      <c r="DA32" s="847"/>
      <c r="DB32" s="847"/>
      <c r="DC32" s="847"/>
      <c r="DD32" s="847"/>
      <c r="DE32" s="847"/>
      <c r="DF32" s="847"/>
    </row>
    <row r="33" spans="1:110" s="3" customFormat="1" ht="25.5">
      <c r="A33" s="19">
        <v>13</v>
      </c>
      <c r="B33" s="20" t="s">
        <v>12</v>
      </c>
      <c r="C33" s="48">
        <v>30</v>
      </c>
      <c r="D33" s="42"/>
      <c r="E33" s="56">
        <v>2</v>
      </c>
      <c r="F33" s="56">
        <v>69</v>
      </c>
      <c r="G33" s="56">
        <v>14</v>
      </c>
      <c r="H33" s="71"/>
      <c r="I33" s="56">
        <v>20</v>
      </c>
      <c r="J33" s="44">
        <v>0</v>
      </c>
      <c r="K33" s="118"/>
      <c r="L33" s="82" t="s">
        <v>73</v>
      </c>
      <c r="M33" s="37"/>
      <c r="N33" s="56">
        <v>29</v>
      </c>
      <c r="O33" s="40"/>
      <c r="P33" s="40"/>
      <c r="Q33" s="40">
        <v>1.4</v>
      </c>
      <c r="R33" s="40"/>
      <c r="S33" s="40"/>
      <c r="T33" s="34"/>
      <c r="U33" s="45"/>
      <c r="V33" s="69"/>
      <c r="W33" s="69"/>
      <c r="X33" s="69"/>
      <c r="Y33" s="69"/>
      <c r="Z33" s="59"/>
      <c r="AA33" s="34"/>
      <c r="AB33" s="34"/>
      <c r="AC33" s="21"/>
      <c r="AD33" s="34"/>
      <c r="AE33" s="45"/>
      <c r="AF33" s="105"/>
      <c r="AG33" s="847"/>
      <c r="AH33" s="847"/>
      <c r="AI33" s="847"/>
      <c r="AJ33" s="847"/>
      <c r="AK33" s="847"/>
      <c r="AL33" s="847"/>
      <c r="AM33" s="847"/>
      <c r="AN33" s="847"/>
      <c r="AO33" s="847"/>
      <c r="AP33" s="847"/>
      <c r="AQ33" s="847"/>
      <c r="AR33" s="847"/>
      <c r="AS33" s="847"/>
      <c r="AT33" s="847"/>
      <c r="AU33" s="847"/>
      <c r="AV33" s="847"/>
      <c r="AW33" s="847"/>
      <c r="AX33" s="847"/>
      <c r="AY33" s="847"/>
      <c r="AZ33" s="847"/>
      <c r="BA33" s="847"/>
      <c r="BB33" s="847"/>
      <c r="BC33" s="847"/>
      <c r="BD33" s="847"/>
      <c r="BE33" s="847"/>
      <c r="BF33" s="847"/>
      <c r="BG33" s="847"/>
      <c r="BH33" s="847"/>
      <c r="BI33" s="847"/>
      <c r="BJ33" s="847"/>
      <c r="BK33" s="847"/>
      <c r="BL33" s="847"/>
      <c r="BM33" s="847"/>
      <c r="BN33" s="847"/>
      <c r="BO33" s="847"/>
      <c r="BP33" s="847"/>
      <c r="BQ33" s="847"/>
      <c r="BR33" s="847"/>
      <c r="BS33" s="847"/>
      <c r="BT33" s="847"/>
      <c r="BU33" s="847"/>
      <c r="BV33" s="847"/>
      <c r="BW33" s="847"/>
      <c r="BX33" s="847"/>
      <c r="BY33" s="847"/>
      <c r="BZ33" s="847"/>
      <c r="CA33" s="847"/>
      <c r="CB33" s="847"/>
      <c r="CC33" s="847"/>
      <c r="CD33" s="847"/>
      <c r="CE33" s="847"/>
      <c r="CF33" s="847"/>
      <c r="CG33" s="847"/>
      <c r="CH33" s="847"/>
      <c r="CI33" s="847"/>
      <c r="CJ33" s="847"/>
      <c r="CK33" s="847"/>
      <c r="CL33" s="847"/>
      <c r="CM33" s="847"/>
      <c r="CN33" s="847"/>
      <c r="CO33" s="847"/>
      <c r="CP33" s="847"/>
      <c r="CQ33" s="847"/>
      <c r="CR33" s="847"/>
      <c r="CS33" s="847"/>
      <c r="CT33" s="847"/>
      <c r="CU33" s="847"/>
      <c r="CV33" s="847"/>
      <c r="CW33" s="847"/>
      <c r="CX33" s="847"/>
      <c r="CY33" s="847"/>
      <c r="CZ33" s="847"/>
      <c r="DA33" s="847"/>
      <c r="DB33" s="847"/>
      <c r="DC33" s="847"/>
      <c r="DD33" s="847"/>
      <c r="DE33" s="847"/>
      <c r="DF33" s="847"/>
    </row>
    <row r="34" spans="1:110" s="31" customFormat="1" ht="17.25" customHeight="1" thickBot="1">
      <c r="A34" s="24"/>
      <c r="B34" s="25"/>
      <c r="C34" s="50"/>
      <c r="D34" s="43"/>
      <c r="E34" s="57">
        <v>9</v>
      </c>
      <c r="F34" s="57">
        <v>0</v>
      </c>
      <c r="G34" s="57">
        <v>3</v>
      </c>
      <c r="H34" s="41"/>
      <c r="I34" s="57">
        <v>0</v>
      </c>
      <c r="J34" s="46">
        <v>10</v>
      </c>
      <c r="K34" s="114"/>
      <c r="L34" s="36">
        <v>0</v>
      </c>
      <c r="M34" s="38"/>
      <c r="N34" s="57">
        <v>3</v>
      </c>
      <c r="O34" s="41"/>
      <c r="P34" s="41"/>
      <c r="Q34" s="41">
        <v>0</v>
      </c>
      <c r="R34" s="41"/>
      <c r="S34" s="41"/>
      <c r="T34" s="36"/>
      <c r="U34" s="47"/>
      <c r="V34" s="36"/>
      <c r="W34" s="36"/>
      <c r="X34" s="36"/>
      <c r="Y34" s="36"/>
      <c r="Z34" s="60"/>
      <c r="AA34" s="36"/>
      <c r="AB34" s="36"/>
      <c r="AC34" s="26"/>
      <c r="AD34" s="36"/>
      <c r="AE34" s="47"/>
      <c r="AF34" s="101">
        <f>SUM(C34:AE34)</f>
        <v>25</v>
      </c>
      <c r="AG34" s="847"/>
      <c r="AH34" s="847"/>
      <c r="AI34" s="847"/>
      <c r="AJ34" s="847"/>
      <c r="AK34" s="847"/>
      <c r="AL34" s="847"/>
      <c r="AM34" s="847"/>
      <c r="AN34" s="847"/>
      <c r="AO34" s="847"/>
      <c r="AP34" s="847"/>
      <c r="AQ34" s="847"/>
      <c r="AR34" s="847"/>
      <c r="AS34" s="847"/>
      <c r="AT34" s="847"/>
      <c r="AU34" s="847"/>
      <c r="AV34" s="847"/>
      <c r="AW34" s="847"/>
      <c r="AX34" s="847"/>
      <c r="AY34" s="847"/>
      <c r="AZ34" s="847"/>
      <c r="BA34" s="847"/>
      <c r="BB34" s="847"/>
      <c r="BC34" s="847"/>
      <c r="BD34" s="847"/>
      <c r="BE34" s="847"/>
      <c r="BF34" s="847"/>
      <c r="BG34" s="847"/>
      <c r="BH34" s="847"/>
      <c r="BI34" s="847"/>
      <c r="BJ34" s="847"/>
      <c r="BK34" s="847"/>
      <c r="BL34" s="847"/>
      <c r="BM34" s="847"/>
      <c r="BN34" s="847"/>
      <c r="BO34" s="847"/>
      <c r="BP34" s="847"/>
      <c r="BQ34" s="847"/>
      <c r="BR34" s="847"/>
      <c r="BS34" s="847"/>
      <c r="BT34" s="847"/>
      <c r="BU34" s="847"/>
      <c r="BV34" s="847"/>
      <c r="BW34" s="847"/>
      <c r="BX34" s="847"/>
      <c r="BY34" s="847"/>
      <c r="BZ34" s="847"/>
      <c r="CA34" s="847"/>
      <c r="CB34" s="847"/>
      <c r="CC34" s="847"/>
      <c r="CD34" s="847"/>
      <c r="CE34" s="847"/>
      <c r="CF34" s="847"/>
      <c r="CG34" s="847"/>
      <c r="CH34" s="847"/>
      <c r="CI34" s="847"/>
      <c r="CJ34" s="847"/>
      <c r="CK34" s="847"/>
      <c r="CL34" s="847"/>
      <c r="CM34" s="847"/>
      <c r="CN34" s="847"/>
      <c r="CO34" s="847"/>
      <c r="CP34" s="847"/>
      <c r="CQ34" s="847"/>
      <c r="CR34" s="847"/>
      <c r="CS34" s="847"/>
      <c r="CT34" s="847"/>
      <c r="CU34" s="847"/>
      <c r="CV34" s="847"/>
      <c r="CW34" s="847"/>
      <c r="CX34" s="847"/>
      <c r="CY34" s="847"/>
      <c r="CZ34" s="847"/>
      <c r="DA34" s="847"/>
      <c r="DB34" s="847"/>
      <c r="DC34" s="847"/>
      <c r="DD34" s="847"/>
      <c r="DE34" s="847"/>
      <c r="DF34" s="847"/>
    </row>
    <row r="35" spans="1:110" s="4" customFormat="1" ht="18.75">
      <c r="A35" s="19">
        <v>14</v>
      </c>
      <c r="B35" s="22" t="s">
        <v>15</v>
      </c>
      <c r="C35" s="54">
        <v>112</v>
      </c>
      <c r="D35" s="39"/>
      <c r="E35" s="64">
        <v>1</v>
      </c>
      <c r="F35" s="64">
        <v>22</v>
      </c>
      <c r="G35" s="64">
        <v>21</v>
      </c>
      <c r="H35" s="39"/>
      <c r="I35" s="64">
        <v>0</v>
      </c>
      <c r="J35" s="115">
        <v>0</v>
      </c>
      <c r="K35" s="116"/>
      <c r="L35" s="39"/>
      <c r="M35" s="39"/>
      <c r="N35" s="64">
        <v>76</v>
      </c>
      <c r="O35" s="39"/>
      <c r="P35" s="39"/>
      <c r="Q35" s="39">
        <v>82.01</v>
      </c>
      <c r="R35" s="39"/>
      <c r="S35" s="39"/>
      <c r="T35" s="39"/>
      <c r="U35" s="55"/>
      <c r="V35" s="66">
        <v>72.099999999999994</v>
      </c>
      <c r="W35" s="66">
        <v>91.6</v>
      </c>
      <c r="X35" s="66">
        <v>91.1</v>
      </c>
      <c r="Y35" s="66">
        <v>96.6</v>
      </c>
      <c r="Z35" s="63"/>
      <c r="AA35" s="39"/>
      <c r="AB35" s="39"/>
      <c r="AC35" s="23"/>
      <c r="AD35" s="39"/>
      <c r="AE35" s="55"/>
      <c r="AF35" s="107"/>
      <c r="AG35" s="847"/>
      <c r="AH35" s="847"/>
      <c r="AI35" s="847"/>
      <c r="AJ35" s="847"/>
      <c r="AK35" s="847"/>
      <c r="AL35" s="847"/>
      <c r="AM35" s="847"/>
      <c r="AN35" s="847"/>
      <c r="AO35" s="847"/>
      <c r="AP35" s="847"/>
      <c r="AQ35" s="847"/>
      <c r="AR35" s="847"/>
      <c r="AS35" s="847"/>
      <c r="AT35" s="847"/>
      <c r="AU35" s="847"/>
      <c r="AV35" s="847"/>
      <c r="AW35" s="847"/>
      <c r="AX35" s="847"/>
      <c r="AY35" s="847"/>
      <c r="AZ35" s="847"/>
      <c r="BA35" s="847"/>
      <c r="BB35" s="847"/>
      <c r="BC35" s="847"/>
      <c r="BD35" s="847"/>
      <c r="BE35" s="847"/>
      <c r="BF35" s="847"/>
      <c r="BG35" s="847"/>
      <c r="BH35" s="847"/>
      <c r="BI35" s="847"/>
      <c r="BJ35" s="847"/>
      <c r="BK35" s="847"/>
      <c r="BL35" s="847"/>
      <c r="BM35" s="847"/>
      <c r="BN35" s="847"/>
      <c r="BO35" s="847"/>
      <c r="BP35" s="847"/>
      <c r="BQ35" s="847"/>
      <c r="BR35" s="847"/>
      <c r="BS35" s="847"/>
      <c r="BT35" s="847"/>
      <c r="BU35" s="847"/>
      <c r="BV35" s="847"/>
      <c r="BW35" s="847"/>
      <c r="BX35" s="847"/>
      <c r="BY35" s="847"/>
      <c r="BZ35" s="847"/>
      <c r="CA35" s="847"/>
      <c r="CB35" s="847"/>
      <c r="CC35" s="847"/>
      <c r="CD35" s="847"/>
      <c r="CE35" s="847"/>
      <c r="CF35" s="847"/>
      <c r="CG35" s="847"/>
      <c r="CH35" s="847"/>
      <c r="CI35" s="847"/>
      <c r="CJ35" s="847"/>
      <c r="CK35" s="847"/>
      <c r="CL35" s="847"/>
      <c r="CM35" s="847"/>
      <c r="CN35" s="847"/>
      <c r="CO35" s="847"/>
      <c r="CP35" s="847"/>
      <c r="CQ35" s="847"/>
      <c r="CR35" s="847"/>
      <c r="CS35" s="847"/>
      <c r="CT35" s="847"/>
      <c r="CU35" s="847"/>
      <c r="CV35" s="847"/>
      <c r="CW35" s="847"/>
      <c r="CX35" s="847"/>
      <c r="CY35" s="847"/>
      <c r="CZ35" s="847"/>
      <c r="DA35" s="847"/>
      <c r="DB35" s="847"/>
      <c r="DC35" s="847"/>
      <c r="DD35" s="847"/>
      <c r="DE35" s="847"/>
      <c r="DF35" s="847"/>
    </row>
    <row r="36" spans="1:110" s="27" customFormat="1" ht="16.5" customHeight="1" thickBot="1">
      <c r="A36" s="24"/>
      <c r="B36" s="25"/>
      <c r="C36" s="50"/>
      <c r="D36" s="36"/>
      <c r="E36" s="57">
        <v>9</v>
      </c>
      <c r="F36" s="57">
        <v>0</v>
      </c>
      <c r="G36" s="57">
        <v>0</v>
      </c>
      <c r="H36" s="36"/>
      <c r="I36" s="57">
        <v>10</v>
      </c>
      <c r="J36" s="46">
        <v>10</v>
      </c>
      <c r="K36" s="46"/>
      <c r="L36" s="36"/>
      <c r="M36" s="36"/>
      <c r="N36" s="57">
        <v>8</v>
      </c>
      <c r="O36" s="36"/>
      <c r="P36" s="36"/>
      <c r="Q36" s="36">
        <v>9</v>
      </c>
      <c r="R36" s="36"/>
      <c r="S36" s="36"/>
      <c r="T36" s="36"/>
      <c r="U36" s="47"/>
      <c r="V36" s="36">
        <v>8</v>
      </c>
      <c r="W36" s="36">
        <v>10</v>
      </c>
      <c r="X36" s="36">
        <v>10</v>
      </c>
      <c r="Y36" s="36">
        <v>10</v>
      </c>
      <c r="Z36" s="67"/>
      <c r="AA36" s="36"/>
      <c r="AB36" s="36"/>
      <c r="AC36" s="26"/>
      <c r="AD36" s="36"/>
      <c r="AE36" s="47"/>
      <c r="AF36" s="103">
        <f>SUM(C36:AE36)</f>
        <v>84</v>
      </c>
      <c r="AG36" s="847"/>
      <c r="AH36" s="847"/>
      <c r="AI36" s="847"/>
      <c r="AJ36" s="847"/>
      <c r="AK36" s="847"/>
      <c r="AL36" s="847"/>
      <c r="AM36" s="847"/>
      <c r="AN36" s="847"/>
      <c r="AO36" s="847"/>
      <c r="AP36" s="847"/>
      <c r="AQ36" s="847"/>
      <c r="AR36" s="847"/>
      <c r="AS36" s="847"/>
      <c r="AT36" s="847"/>
      <c r="AU36" s="847"/>
      <c r="AV36" s="847"/>
      <c r="AW36" s="847"/>
      <c r="AX36" s="847"/>
      <c r="AY36" s="847"/>
      <c r="AZ36" s="847"/>
      <c r="BA36" s="847"/>
      <c r="BB36" s="847"/>
      <c r="BC36" s="847"/>
      <c r="BD36" s="847"/>
      <c r="BE36" s="847"/>
      <c r="BF36" s="847"/>
      <c r="BG36" s="847"/>
      <c r="BH36" s="847"/>
      <c r="BI36" s="847"/>
      <c r="BJ36" s="847"/>
      <c r="BK36" s="847"/>
      <c r="BL36" s="847"/>
      <c r="BM36" s="847"/>
      <c r="BN36" s="847"/>
      <c r="BO36" s="847"/>
      <c r="BP36" s="847"/>
      <c r="BQ36" s="847"/>
      <c r="BR36" s="847"/>
      <c r="BS36" s="847"/>
      <c r="BT36" s="847"/>
      <c r="BU36" s="847"/>
      <c r="BV36" s="847"/>
      <c r="BW36" s="847"/>
      <c r="BX36" s="847"/>
      <c r="BY36" s="847"/>
      <c r="BZ36" s="847"/>
      <c r="CA36" s="847"/>
      <c r="CB36" s="847"/>
      <c r="CC36" s="847"/>
      <c r="CD36" s="847"/>
      <c r="CE36" s="847"/>
      <c r="CF36" s="847"/>
      <c r="CG36" s="847"/>
      <c r="CH36" s="847"/>
      <c r="CI36" s="847"/>
      <c r="CJ36" s="847"/>
      <c r="CK36" s="847"/>
      <c r="CL36" s="847"/>
      <c r="CM36" s="847"/>
      <c r="CN36" s="847"/>
      <c r="CO36" s="847"/>
      <c r="CP36" s="847"/>
      <c r="CQ36" s="847"/>
      <c r="CR36" s="847"/>
      <c r="CS36" s="847"/>
      <c r="CT36" s="847"/>
      <c r="CU36" s="847"/>
      <c r="CV36" s="847"/>
      <c r="CW36" s="847"/>
      <c r="CX36" s="847"/>
      <c r="CY36" s="847"/>
      <c r="CZ36" s="847"/>
      <c r="DA36" s="847"/>
      <c r="DB36" s="847"/>
      <c r="DC36" s="847"/>
      <c r="DD36" s="847"/>
      <c r="DE36" s="847"/>
      <c r="DF36" s="847"/>
    </row>
    <row r="37" spans="1:110" ht="18.75">
      <c r="A37" s="19">
        <v>15</v>
      </c>
      <c r="B37" s="20" t="s">
        <v>60</v>
      </c>
      <c r="C37" s="48">
        <v>11</v>
      </c>
      <c r="D37" s="34"/>
      <c r="E37" s="56">
        <v>1</v>
      </c>
      <c r="F37" s="56">
        <v>5</v>
      </c>
      <c r="G37" s="56">
        <v>4</v>
      </c>
      <c r="H37" s="70"/>
      <c r="I37" s="56">
        <v>0</v>
      </c>
      <c r="J37" s="44">
        <v>0</v>
      </c>
      <c r="K37" s="116"/>
      <c r="L37" s="34"/>
      <c r="M37" s="34"/>
      <c r="N37" s="56">
        <v>10</v>
      </c>
      <c r="O37" s="34"/>
      <c r="P37" s="34"/>
      <c r="Q37" s="34">
        <v>0.87</v>
      </c>
      <c r="R37" s="34"/>
      <c r="S37" s="34"/>
      <c r="T37" s="34"/>
      <c r="U37" s="45"/>
      <c r="V37" s="69">
        <v>45</v>
      </c>
      <c r="W37" s="69">
        <v>18</v>
      </c>
      <c r="X37" s="69">
        <v>18</v>
      </c>
      <c r="Y37" s="69">
        <v>18</v>
      </c>
      <c r="Z37" s="59"/>
      <c r="AA37" s="34"/>
      <c r="AB37" s="34"/>
      <c r="AC37" s="21"/>
      <c r="AD37" s="34"/>
      <c r="AE37" s="45"/>
      <c r="AF37" s="105"/>
      <c r="AG37" s="847"/>
      <c r="AH37" s="847"/>
      <c r="AI37" s="847"/>
      <c r="AJ37" s="847"/>
      <c r="AK37" s="847"/>
      <c r="AL37" s="847"/>
      <c r="AM37" s="847"/>
      <c r="AN37" s="847"/>
      <c r="AO37" s="847"/>
      <c r="AP37" s="847"/>
      <c r="AQ37" s="847"/>
      <c r="AR37" s="847"/>
      <c r="AS37" s="847"/>
      <c r="AT37" s="847"/>
      <c r="AU37" s="847"/>
      <c r="AV37" s="847"/>
      <c r="AW37" s="847"/>
      <c r="AX37" s="847"/>
      <c r="AY37" s="847"/>
      <c r="AZ37" s="847"/>
      <c r="BA37" s="847"/>
      <c r="BB37" s="847"/>
      <c r="BC37" s="847"/>
      <c r="BD37" s="847"/>
      <c r="BE37" s="847"/>
      <c r="BF37" s="847"/>
      <c r="BG37" s="847"/>
      <c r="BH37" s="847"/>
      <c r="BI37" s="847"/>
      <c r="BJ37" s="847"/>
      <c r="BK37" s="847"/>
      <c r="BL37" s="847"/>
      <c r="BM37" s="847"/>
      <c r="BN37" s="847"/>
      <c r="BO37" s="847"/>
      <c r="BP37" s="847"/>
      <c r="BQ37" s="847"/>
      <c r="BR37" s="847"/>
      <c r="BS37" s="847"/>
      <c r="BT37" s="847"/>
      <c r="BU37" s="847"/>
      <c r="BV37" s="847"/>
      <c r="BW37" s="847"/>
      <c r="BX37" s="847"/>
      <c r="BY37" s="847"/>
      <c r="BZ37" s="847"/>
      <c r="CA37" s="847"/>
      <c r="CB37" s="847"/>
      <c r="CC37" s="847"/>
      <c r="CD37" s="847"/>
      <c r="CE37" s="847"/>
      <c r="CF37" s="847"/>
      <c r="CG37" s="847"/>
      <c r="CH37" s="847"/>
      <c r="CI37" s="847"/>
      <c r="CJ37" s="847"/>
      <c r="CK37" s="847"/>
      <c r="CL37" s="847"/>
      <c r="CM37" s="847"/>
      <c r="CN37" s="847"/>
      <c r="CO37" s="847"/>
      <c r="CP37" s="847"/>
      <c r="CQ37" s="847"/>
      <c r="CR37" s="847"/>
      <c r="CS37" s="847"/>
      <c r="CT37" s="847"/>
      <c r="CU37" s="847"/>
      <c r="CV37" s="847"/>
      <c r="CW37" s="847"/>
      <c r="CX37" s="847"/>
      <c r="CY37" s="847"/>
      <c r="CZ37" s="847"/>
      <c r="DA37" s="847"/>
      <c r="DB37" s="847"/>
      <c r="DC37" s="847"/>
      <c r="DD37" s="847"/>
      <c r="DE37" s="847"/>
      <c r="DF37" s="847"/>
    </row>
    <row r="38" spans="1:110" s="27" customFormat="1" ht="17.25" customHeight="1" thickBot="1">
      <c r="A38" s="28"/>
      <c r="B38" s="29"/>
      <c r="C38" s="52"/>
      <c r="D38" s="35"/>
      <c r="E38" s="73">
        <v>9</v>
      </c>
      <c r="F38" s="73">
        <v>7</v>
      </c>
      <c r="G38" s="73">
        <v>7</v>
      </c>
      <c r="H38" s="35"/>
      <c r="I38" s="73">
        <v>10</v>
      </c>
      <c r="J38" s="111">
        <v>10</v>
      </c>
      <c r="K38" s="111"/>
      <c r="L38" s="35"/>
      <c r="M38" s="35"/>
      <c r="N38" s="73">
        <v>1</v>
      </c>
      <c r="O38" s="35"/>
      <c r="P38" s="35"/>
      <c r="Q38" s="35">
        <v>0</v>
      </c>
      <c r="R38" s="35"/>
      <c r="S38" s="35"/>
      <c r="T38" s="35"/>
      <c r="U38" s="53"/>
      <c r="V38" s="35">
        <v>5</v>
      </c>
      <c r="W38" s="35">
        <v>2</v>
      </c>
      <c r="X38" s="35">
        <v>2</v>
      </c>
      <c r="Y38" s="35">
        <v>2</v>
      </c>
      <c r="Z38" s="62"/>
      <c r="AA38" s="35"/>
      <c r="AB38" s="35"/>
      <c r="AC38" s="30"/>
      <c r="AD38" s="35"/>
      <c r="AE38" s="53"/>
      <c r="AF38" s="101">
        <f>SUM(C38:AE38)</f>
        <v>55</v>
      </c>
      <c r="AG38" s="847"/>
      <c r="AH38" s="847"/>
      <c r="AI38" s="847"/>
      <c r="AJ38" s="847"/>
      <c r="AK38" s="847"/>
      <c r="AL38" s="847"/>
      <c r="AM38" s="847"/>
      <c r="AN38" s="847"/>
      <c r="AO38" s="847"/>
      <c r="AP38" s="847"/>
      <c r="AQ38" s="847"/>
      <c r="AR38" s="847"/>
      <c r="AS38" s="847"/>
      <c r="AT38" s="847"/>
      <c r="AU38" s="847"/>
      <c r="AV38" s="847"/>
      <c r="AW38" s="847"/>
      <c r="AX38" s="847"/>
      <c r="AY38" s="847"/>
      <c r="AZ38" s="847"/>
      <c r="BA38" s="847"/>
      <c r="BB38" s="847"/>
      <c r="BC38" s="847"/>
      <c r="BD38" s="847"/>
      <c r="BE38" s="847"/>
      <c r="BF38" s="847"/>
      <c r="BG38" s="847"/>
      <c r="BH38" s="847"/>
      <c r="BI38" s="847"/>
      <c r="BJ38" s="847"/>
      <c r="BK38" s="847"/>
      <c r="BL38" s="847"/>
      <c r="BM38" s="847"/>
      <c r="BN38" s="847"/>
      <c r="BO38" s="847"/>
      <c r="BP38" s="847"/>
      <c r="BQ38" s="847"/>
      <c r="BR38" s="847"/>
      <c r="BS38" s="847"/>
      <c r="BT38" s="847"/>
      <c r="BU38" s="847"/>
      <c r="BV38" s="847"/>
      <c r="BW38" s="847"/>
      <c r="BX38" s="847"/>
      <c r="BY38" s="847"/>
      <c r="BZ38" s="847"/>
      <c r="CA38" s="847"/>
      <c r="CB38" s="847"/>
      <c r="CC38" s="847"/>
      <c r="CD38" s="847"/>
      <c r="CE38" s="847"/>
      <c r="CF38" s="847"/>
      <c r="CG38" s="847"/>
      <c r="CH38" s="847"/>
      <c r="CI38" s="847"/>
      <c r="CJ38" s="847"/>
      <c r="CK38" s="847"/>
      <c r="CL38" s="847"/>
      <c r="CM38" s="847"/>
      <c r="CN38" s="847"/>
      <c r="CO38" s="847"/>
      <c r="CP38" s="847"/>
      <c r="CQ38" s="847"/>
      <c r="CR38" s="847"/>
      <c r="CS38" s="847"/>
      <c r="CT38" s="847"/>
      <c r="CU38" s="847"/>
      <c r="CV38" s="847"/>
      <c r="CW38" s="847"/>
      <c r="CX38" s="847"/>
      <c r="CY38" s="847"/>
      <c r="CZ38" s="847"/>
      <c r="DA38" s="847"/>
      <c r="DB38" s="847"/>
      <c r="DC38" s="847"/>
      <c r="DD38" s="847"/>
      <c r="DE38" s="847"/>
      <c r="DF38" s="847"/>
    </row>
    <row r="39" spans="1:110" ht="18.75">
      <c r="A39" s="19">
        <v>16</v>
      </c>
      <c r="B39" s="20" t="s">
        <v>17</v>
      </c>
      <c r="C39" s="48">
        <v>34</v>
      </c>
      <c r="D39" s="40"/>
      <c r="E39" s="56">
        <v>2</v>
      </c>
      <c r="F39" s="56">
        <v>6</v>
      </c>
      <c r="G39" s="56">
        <v>14</v>
      </c>
      <c r="H39" s="71"/>
      <c r="I39" s="56">
        <v>1</v>
      </c>
      <c r="J39" s="44">
        <v>0</v>
      </c>
      <c r="K39" s="116"/>
      <c r="L39" s="40" t="s">
        <v>71</v>
      </c>
      <c r="M39" s="40"/>
      <c r="N39" s="56">
        <v>21</v>
      </c>
      <c r="O39" s="40"/>
      <c r="P39" s="40"/>
      <c r="Q39" s="40">
        <v>34.549999999999997</v>
      </c>
      <c r="R39" s="40"/>
      <c r="S39" s="40"/>
      <c r="T39" s="40"/>
      <c r="U39" s="49"/>
      <c r="V39" s="69">
        <v>30.3</v>
      </c>
      <c r="W39" s="69">
        <v>3</v>
      </c>
      <c r="X39" s="69">
        <v>3</v>
      </c>
      <c r="Y39" s="69">
        <v>73</v>
      </c>
      <c r="Z39" s="59"/>
      <c r="AA39" s="40"/>
      <c r="AB39" s="40"/>
      <c r="AC39" s="21"/>
      <c r="AD39" s="40"/>
      <c r="AE39" s="49"/>
      <c r="AF39" s="108"/>
      <c r="AG39" s="847"/>
      <c r="AH39" s="847"/>
      <c r="AI39" s="847"/>
      <c r="AJ39" s="847"/>
      <c r="AK39" s="847"/>
      <c r="AL39" s="847"/>
      <c r="AM39" s="847"/>
      <c r="AN39" s="847"/>
      <c r="AO39" s="847"/>
      <c r="AP39" s="847"/>
      <c r="AQ39" s="847"/>
      <c r="AR39" s="847"/>
      <c r="AS39" s="847"/>
      <c r="AT39" s="847"/>
      <c r="AU39" s="847"/>
      <c r="AV39" s="847"/>
      <c r="AW39" s="847"/>
      <c r="AX39" s="847"/>
      <c r="AY39" s="847"/>
      <c r="AZ39" s="847"/>
      <c r="BA39" s="847"/>
      <c r="BB39" s="847"/>
      <c r="BC39" s="847"/>
      <c r="BD39" s="847"/>
      <c r="BE39" s="847"/>
      <c r="BF39" s="847"/>
      <c r="BG39" s="847"/>
      <c r="BH39" s="847"/>
      <c r="BI39" s="847"/>
      <c r="BJ39" s="847"/>
      <c r="BK39" s="847"/>
      <c r="BL39" s="847"/>
      <c r="BM39" s="847"/>
      <c r="BN39" s="847"/>
      <c r="BO39" s="847"/>
      <c r="BP39" s="847"/>
      <c r="BQ39" s="847"/>
      <c r="BR39" s="847"/>
      <c r="BS39" s="847"/>
      <c r="BT39" s="847"/>
      <c r="BU39" s="847"/>
      <c r="BV39" s="847"/>
      <c r="BW39" s="847"/>
      <c r="BX39" s="847"/>
      <c r="BY39" s="847"/>
      <c r="BZ39" s="847"/>
      <c r="CA39" s="847"/>
      <c r="CB39" s="847"/>
      <c r="CC39" s="847"/>
      <c r="CD39" s="847"/>
      <c r="CE39" s="847"/>
      <c r="CF39" s="847"/>
      <c r="CG39" s="847"/>
      <c r="CH39" s="847"/>
      <c r="CI39" s="847"/>
      <c r="CJ39" s="847"/>
      <c r="CK39" s="847"/>
      <c r="CL39" s="847"/>
      <c r="CM39" s="847"/>
      <c r="CN39" s="847"/>
      <c r="CO39" s="847"/>
      <c r="CP39" s="847"/>
      <c r="CQ39" s="847"/>
      <c r="CR39" s="847"/>
      <c r="CS39" s="847"/>
      <c r="CT39" s="847"/>
      <c r="CU39" s="847"/>
      <c r="CV39" s="847"/>
      <c r="CW39" s="847"/>
      <c r="CX39" s="847"/>
      <c r="CY39" s="847"/>
      <c r="CZ39" s="847"/>
      <c r="DA39" s="847"/>
      <c r="DB39" s="847"/>
      <c r="DC39" s="847"/>
      <c r="DD39" s="847"/>
      <c r="DE39" s="847"/>
      <c r="DF39" s="847"/>
    </row>
    <row r="40" spans="1:110" s="27" customFormat="1" ht="15.75" customHeight="1" thickBot="1">
      <c r="A40" s="24"/>
      <c r="B40" s="25"/>
      <c r="C40" s="50"/>
      <c r="D40" s="41"/>
      <c r="E40" s="57">
        <v>9</v>
      </c>
      <c r="F40" s="57">
        <v>7</v>
      </c>
      <c r="G40" s="57">
        <v>3</v>
      </c>
      <c r="H40" s="41"/>
      <c r="I40" s="57">
        <v>9</v>
      </c>
      <c r="J40" s="46">
        <v>10</v>
      </c>
      <c r="K40" s="46"/>
      <c r="L40" s="57">
        <v>6</v>
      </c>
      <c r="M40" s="41"/>
      <c r="N40" s="57">
        <v>3</v>
      </c>
      <c r="O40" s="41"/>
      <c r="P40" s="41"/>
      <c r="Q40" s="41">
        <v>4</v>
      </c>
      <c r="R40" s="41"/>
      <c r="S40" s="41"/>
      <c r="T40" s="41"/>
      <c r="U40" s="51"/>
      <c r="V40" s="57">
        <v>4</v>
      </c>
      <c r="W40" s="57">
        <v>0</v>
      </c>
      <c r="X40" s="57">
        <v>0</v>
      </c>
      <c r="Y40" s="57">
        <v>8</v>
      </c>
      <c r="Z40" s="60"/>
      <c r="AA40" s="41"/>
      <c r="AB40" s="41"/>
      <c r="AC40" s="26"/>
      <c r="AD40" s="41"/>
      <c r="AE40" s="51"/>
      <c r="AF40" s="103">
        <f>SUM(C40:AE40)</f>
        <v>63</v>
      </c>
      <c r="AG40" s="847"/>
      <c r="AH40" s="847"/>
      <c r="AI40" s="847"/>
      <c r="AJ40" s="847"/>
      <c r="AK40" s="847"/>
      <c r="AL40" s="847"/>
      <c r="AM40" s="847"/>
      <c r="AN40" s="847"/>
      <c r="AO40" s="847"/>
      <c r="AP40" s="847"/>
      <c r="AQ40" s="847"/>
      <c r="AR40" s="847"/>
      <c r="AS40" s="847"/>
      <c r="AT40" s="847"/>
      <c r="AU40" s="847"/>
      <c r="AV40" s="847"/>
      <c r="AW40" s="847"/>
      <c r="AX40" s="847"/>
      <c r="AY40" s="847"/>
      <c r="AZ40" s="847"/>
      <c r="BA40" s="847"/>
      <c r="BB40" s="847"/>
      <c r="BC40" s="847"/>
      <c r="BD40" s="847"/>
      <c r="BE40" s="847"/>
      <c r="BF40" s="847"/>
      <c r="BG40" s="847"/>
      <c r="BH40" s="847"/>
      <c r="BI40" s="847"/>
      <c r="BJ40" s="847"/>
      <c r="BK40" s="847"/>
      <c r="BL40" s="847"/>
      <c r="BM40" s="847"/>
      <c r="BN40" s="847"/>
      <c r="BO40" s="847"/>
      <c r="BP40" s="847"/>
      <c r="BQ40" s="847"/>
      <c r="BR40" s="847"/>
      <c r="BS40" s="847"/>
      <c r="BT40" s="847"/>
      <c r="BU40" s="847"/>
      <c r="BV40" s="847"/>
      <c r="BW40" s="847"/>
      <c r="BX40" s="847"/>
      <c r="BY40" s="847"/>
      <c r="BZ40" s="847"/>
      <c r="CA40" s="847"/>
      <c r="CB40" s="847"/>
      <c r="CC40" s="847"/>
      <c r="CD40" s="847"/>
      <c r="CE40" s="847"/>
      <c r="CF40" s="847"/>
      <c r="CG40" s="847"/>
      <c r="CH40" s="847"/>
      <c r="CI40" s="847"/>
      <c r="CJ40" s="847"/>
      <c r="CK40" s="847"/>
      <c r="CL40" s="847"/>
      <c r="CM40" s="847"/>
      <c r="CN40" s="847"/>
      <c r="CO40" s="847"/>
      <c r="CP40" s="847"/>
      <c r="CQ40" s="847"/>
      <c r="CR40" s="847"/>
      <c r="CS40" s="847"/>
      <c r="CT40" s="847"/>
      <c r="CU40" s="847"/>
      <c r="CV40" s="847"/>
      <c r="CW40" s="847"/>
      <c r="CX40" s="847"/>
      <c r="CY40" s="847"/>
      <c r="CZ40" s="847"/>
      <c r="DA40" s="847"/>
      <c r="DB40" s="847"/>
      <c r="DC40" s="847"/>
      <c r="DD40" s="847"/>
      <c r="DE40" s="847"/>
      <c r="DF40" s="847"/>
    </row>
    <row r="41" spans="1:110" s="3" customFormat="1" ht="18.75">
      <c r="A41" s="19">
        <v>17</v>
      </c>
      <c r="B41" s="20" t="s">
        <v>18</v>
      </c>
      <c r="C41" s="48">
        <v>15</v>
      </c>
      <c r="D41" s="42"/>
      <c r="E41" s="56">
        <v>0</v>
      </c>
      <c r="F41" s="56">
        <v>0</v>
      </c>
      <c r="G41" s="56">
        <v>3</v>
      </c>
      <c r="H41" s="42"/>
      <c r="I41" s="56">
        <v>0</v>
      </c>
      <c r="J41" s="44">
        <v>0</v>
      </c>
      <c r="K41" s="118"/>
      <c r="L41" s="37"/>
      <c r="M41" s="37"/>
      <c r="N41" s="56">
        <v>10</v>
      </c>
      <c r="O41" s="40"/>
      <c r="P41" s="40"/>
      <c r="Q41" s="40">
        <v>0.11</v>
      </c>
      <c r="R41" s="40"/>
      <c r="S41" s="40"/>
      <c r="T41" s="34"/>
      <c r="U41" s="45"/>
      <c r="V41" s="69"/>
      <c r="W41" s="69"/>
      <c r="X41" s="69"/>
      <c r="Y41" s="69"/>
      <c r="Z41" s="59"/>
      <c r="AA41" s="34"/>
      <c r="AB41" s="34"/>
      <c r="AC41" s="21"/>
      <c r="AD41" s="34"/>
      <c r="AE41" s="45"/>
      <c r="AF41" s="105"/>
      <c r="AG41" s="847"/>
      <c r="AH41" s="847"/>
      <c r="AI41" s="847"/>
      <c r="AJ41" s="847"/>
      <c r="AK41" s="847"/>
      <c r="AL41" s="847"/>
      <c r="AM41" s="847"/>
      <c r="AN41" s="847"/>
      <c r="AO41" s="847"/>
      <c r="AP41" s="847"/>
      <c r="AQ41" s="847"/>
      <c r="AR41" s="847"/>
      <c r="AS41" s="847"/>
      <c r="AT41" s="847"/>
      <c r="AU41" s="847"/>
      <c r="AV41" s="847"/>
      <c r="AW41" s="847"/>
      <c r="AX41" s="847"/>
      <c r="AY41" s="847"/>
      <c r="AZ41" s="847"/>
      <c r="BA41" s="847"/>
      <c r="BB41" s="847"/>
      <c r="BC41" s="847"/>
      <c r="BD41" s="847"/>
      <c r="BE41" s="847"/>
      <c r="BF41" s="847"/>
      <c r="BG41" s="847"/>
      <c r="BH41" s="847"/>
      <c r="BI41" s="847"/>
      <c r="BJ41" s="847"/>
      <c r="BK41" s="847"/>
      <c r="BL41" s="847"/>
      <c r="BM41" s="847"/>
      <c r="BN41" s="847"/>
      <c r="BO41" s="847"/>
      <c r="BP41" s="847"/>
      <c r="BQ41" s="847"/>
      <c r="BR41" s="847"/>
      <c r="BS41" s="847"/>
      <c r="BT41" s="847"/>
      <c r="BU41" s="847"/>
      <c r="BV41" s="847"/>
      <c r="BW41" s="847"/>
      <c r="BX41" s="847"/>
      <c r="BY41" s="847"/>
      <c r="BZ41" s="847"/>
      <c r="CA41" s="847"/>
      <c r="CB41" s="847"/>
      <c r="CC41" s="847"/>
      <c r="CD41" s="847"/>
      <c r="CE41" s="847"/>
      <c r="CF41" s="847"/>
      <c r="CG41" s="847"/>
      <c r="CH41" s="847"/>
      <c r="CI41" s="847"/>
      <c r="CJ41" s="847"/>
      <c r="CK41" s="847"/>
      <c r="CL41" s="847"/>
      <c r="CM41" s="847"/>
      <c r="CN41" s="847"/>
      <c r="CO41" s="847"/>
      <c r="CP41" s="847"/>
      <c r="CQ41" s="847"/>
      <c r="CR41" s="847"/>
      <c r="CS41" s="847"/>
      <c r="CT41" s="847"/>
      <c r="CU41" s="847"/>
      <c r="CV41" s="847"/>
      <c r="CW41" s="847"/>
      <c r="CX41" s="847"/>
      <c r="CY41" s="847"/>
      <c r="CZ41" s="847"/>
      <c r="DA41" s="847"/>
      <c r="DB41" s="847"/>
      <c r="DC41" s="847"/>
      <c r="DD41" s="847"/>
      <c r="DE41" s="847"/>
      <c r="DF41" s="847"/>
    </row>
    <row r="42" spans="1:110" s="31" customFormat="1" ht="15.75" customHeight="1" thickBot="1">
      <c r="A42" s="24"/>
      <c r="B42" s="25"/>
      <c r="C42" s="50"/>
      <c r="D42" s="43"/>
      <c r="E42" s="57">
        <v>10</v>
      </c>
      <c r="F42" s="57">
        <v>10</v>
      </c>
      <c r="G42" s="57">
        <v>8</v>
      </c>
      <c r="H42" s="43"/>
      <c r="I42" s="57">
        <v>10</v>
      </c>
      <c r="J42" s="46">
        <v>10</v>
      </c>
      <c r="K42" s="114"/>
      <c r="L42" s="38"/>
      <c r="M42" s="38"/>
      <c r="N42" s="57">
        <v>1</v>
      </c>
      <c r="O42" s="41"/>
      <c r="P42" s="41"/>
      <c r="Q42" s="41">
        <v>0</v>
      </c>
      <c r="R42" s="41"/>
      <c r="S42" s="41"/>
      <c r="T42" s="36"/>
      <c r="U42" s="47"/>
      <c r="V42" s="57"/>
      <c r="W42" s="57"/>
      <c r="X42" s="57"/>
      <c r="Y42" s="57"/>
      <c r="Z42" s="60"/>
      <c r="AA42" s="36"/>
      <c r="AB42" s="36"/>
      <c r="AC42" s="26"/>
      <c r="AD42" s="36"/>
      <c r="AE42" s="47"/>
      <c r="AF42" s="101">
        <f>SUM(C42:AE42)</f>
        <v>49</v>
      </c>
      <c r="AG42" s="847"/>
      <c r="AH42" s="847"/>
      <c r="AI42" s="847"/>
      <c r="AJ42" s="847"/>
      <c r="AK42" s="847"/>
      <c r="AL42" s="847"/>
      <c r="AM42" s="847"/>
      <c r="AN42" s="847"/>
      <c r="AO42" s="847"/>
      <c r="AP42" s="847"/>
      <c r="AQ42" s="847"/>
      <c r="AR42" s="847"/>
      <c r="AS42" s="847"/>
      <c r="AT42" s="847"/>
      <c r="AU42" s="847"/>
      <c r="AV42" s="847"/>
      <c r="AW42" s="847"/>
      <c r="AX42" s="847"/>
      <c r="AY42" s="847"/>
      <c r="AZ42" s="847"/>
      <c r="BA42" s="847"/>
      <c r="BB42" s="847"/>
      <c r="BC42" s="847"/>
      <c r="BD42" s="847"/>
      <c r="BE42" s="847"/>
      <c r="BF42" s="847"/>
      <c r="BG42" s="847"/>
      <c r="BH42" s="847"/>
      <c r="BI42" s="847"/>
      <c r="BJ42" s="847"/>
      <c r="BK42" s="847"/>
      <c r="BL42" s="847"/>
      <c r="BM42" s="847"/>
      <c r="BN42" s="847"/>
      <c r="BO42" s="847"/>
      <c r="BP42" s="847"/>
      <c r="BQ42" s="847"/>
      <c r="BR42" s="847"/>
      <c r="BS42" s="847"/>
      <c r="BT42" s="847"/>
      <c r="BU42" s="847"/>
      <c r="BV42" s="847"/>
      <c r="BW42" s="847"/>
      <c r="BX42" s="847"/>
      <c r="BY42" s="847"/>
      <c r="BZ42" s="847"/>
      <c r="CA42" s="847"/>
      <c r="CB42" s="847"/>
      <c r="CC42" s="847"/>
      <c r="CD42" s="847"/>
      <c r="CE42" s="847"/>
      <c r="CF42" s="847"/>
      <c r="CG42" s="847"/>
      <c r="CH42" s="847"/>
      <c r="CI42" s="847"/>
      <c r="CJ42" s="847"/>
      <c r="CK42" s="847"/>
      <c r="CL42" s="847"/>
      <c r="CM42" s="847"/>
      <c r="CN42" s="847"/>
      <c r="CO42" s="847"/>
      <c r="CP42" s="847"/>
      <c r="CQ42" s="847"/>
      <c r="CR42" s="847"/>
      <c r="CS42" s="847"/>
      <c r="CT42" s="847"/>
      <c r="CU42" s="847"/>
      <c r="CV42" s="847"/>
      <c r="CW42" s="847"/>
      <c r="CX42" s="847"/>
      <c r="CY42" s="847"/>
      <c r="CZ42" s="847"/>
      <c r="DA42" s="847"/>
      <c r="DB42" s="847"/>
      <c r="DC42" s="847"/>
      <c r="DD42" s="847"/>
      <c r="DE42" s="847"/>
      <c r="DF42" s="847"/>
    </row>
    <row r="43" spans="1:110" ht="29.25" hidden="1" thickBot="1">
      <c r="A43" s="19">
        <v>18</v>
      </c>
      <c r="B43" s="20" t="s">
        <v>61</v>
      </c>
      <c r="C43" s="48">
        <v>5</v>
      </c>
      <c r="D43" s="34"/>
      <c r="E43" s="56">
        <v>0</v>
      </c>
      <c r="F43" s="56"/>
      <c r="G43" s="56"/>
      <c r="H43" s="34"/>
      <c r="I43" s="56"/>
      <c r="J43" s="44"/>
      <c r="K43" s="116"/>
      <c r="L43" s="34"/>
      <c r="M43" s="34"/>
      <c r="N43" s="56">
        <v>5</v>
      </c>
      <c r="O43" s="34"/>
      <c r="P43" s="34"/>
      <c r="Q43" s="34">
        <v>0</v>
      </c>
      <c r="R43" s="34"/>
      <c r="S43" s="34"/>
      <c r="T43" s="34"/>
      <c r="U43" s="45"/>
      <c r="V43" s="69"/>
      <c r="W43" s="69"/>
      <c r="X43" s="69"/>
      <c r="Y43" s="69"/>
      <c r="Z43" s="59"/>
      <c r="AA43" s="34"/>
      <c r="AB43" s="34"/>
      <c r="AC43" s="21"/>
      <c r="AD43" s="34"/>
      <c r="AE43" s="45"/>
      <c r="AF43" s="102"/>
      <c r="AG43" s="847"/>
      <c r="AH43" s="847"/>
      <c r="AI43" s="847"/>
      <c r="AJ43" s="847"/>
      <c r="AK43" s="847"/>
      <c r="AL43" s="847"/>
      <c r="AM43" s="847"/>
      <c r="AN43" s="847"/>
      <c r="AO43" s="847"/>
      <c r="AP43" s="847"/>
      <c r="AQ43" s="847"/>
      <c r="AR43" s="847"/>
      <c r="AS43" s="847"/>
      <c r="AT43" s="847"/>
      <c r="AU43" s="847"/>
      <c r="AV43" s="847"/>
      <c r="AW43" s="847"/>
      <c r="AX43" s="847"/>
      <c r="AY43" s="847"/>
      <c r="AZ43" s="847"/>
      <c r="BA43" s="847"/>
      <c r="BB43" s="847"/>
      <c r="BC43" s="847"/>
      <c r="BD43" s="847"/>
      <c r="BE43" s="847"/>
      <c r="BF43" s="847"/>
      <c r="BG43" s="847"/>
      <c r="BH43" s="847"/>
      <c r="BI43" s="847"/>
      <c r="BJ43" s="847"/>
      <c r="BK43" s="847"/>
      <c r="BL43" s="847"/>
      <c r="BM43" s="847"/>
      <c r="BN43" s="847"/>
      <c r="BO43" s="847"/>
      <c r="BP43" s="847"/>
      <c r="BQ43" s="847"/>
      <c r="BR43" s="847"/>
      <c r="BS43" s="847"/>
      <c r="BT43" s="847"/>
      <c r="BU43" s="847"/>
      <c r="BV43" s="847"/>
      <c r="BW43" s="847"/>
      <c r="BX43" s="847"/>
      <c r="BY43" s="847"/>
      <c r="BZ43" s="847"/>
      <c r="CA43" s="847"/>
      <c r="CB43" s="847"/>
      <c r="CC43" s="847"/>
      <c r="CD43" s="847"/>
      <c r="CE43" s="847"/>
      <c r="CF43" s="847"/>
      <c r="CG43" s="847"/>
      <c r="CH43" s="847"/>
      <c r="CI43" s="847"/>
      <c r="CJ43" s="847"/>
      <c r="CK43" s="847"/>
      <c r="CL43" s="847"/>
      <c r="CM43" s="847"/>
      <c r="CN43" s="847"/>
      <c r="CO43" s="847"/>
      <c r="CP43" s="847"/>
      <c r="CQ43" s="847"/>
      <c r="CR43" s="847"/>
      <c r="CS43" s="847"/>
      <c r="CT43" s="847"/>
      <c r="CU43" s="847"/>
      <c r="CV43" s="847"/>
      <c r="CW43" s="847"/>
      <c r="CX43" s="847"/>
      <c r="CY43" s="847"/>
      <c r="CZ43" s="847"/>
      <c r="DA43" s="847"/>
      <c r="DB43" s="847"/>
      <c r="DC43" s="847"/>
      <c r="DD43" s="847"/>
      <c r="DE43" s="847"/>
      <c r="DF43" s="847"/>
    </row>
    <row r="44" spans="1:110" s="27" customFormat="1" ht="15.75" hidden="1" customHeight="1" thickBot="1">
      <c r="A44" s="24"/>
      <c r="B44" s="25"/>
      <c r="C44" s="50"/>
      <c r="D44" s="36"/>
      <c r="E44" s="57">
        <v>10</v>
      </c>
      <c r="F44" s="57"/>
      <c r="G44" s="57"/>
      <c r="H44" s="36"/>
      <c r="I44" s="57"/>
      <c r="J44" s="46"/>
      <c r="K44" s="117"/>
      <c r="L44" s="36"/>
      <c r="M44" s="36"/>
      <c r="N44" s="57"/>
      <c r="O44" s="36"/>
      <c r="P44" s="36"/>
      <c r="Q44" s="36"/>
      <c r="R44" s="36"/>
      <c r="S44" s="36"/>
      <c r="T44" s="36"/>
      <c r="U44" s="47"/>
      <c r="V44" s="57"/>
      <c r="W44" s="57"/>
      <c r="X44" s="57"/>
      <c r="Y44" s="57"/>
      <c r="Z44" s="60"/>
      <c r="AA44" s="36"/>
      <c r="AB44" s="36"/>
      <c r="AC44" s="26"/>
      <c r="AD44" s="36"/>
      <c r="AE44" s="47"/>
      <c r="AF44" s="103">
        <f>SUM(C44:AE44)</f>
        <v>10</v>
      </c>
      <c r="AG44" s="847"/>
      <c r="AH44" s="847"/>
      <c r="AI44" s="847"/>
      <c r="AJ44" s="847"/>
      <c r="AK44" s="847"/>
      <c r="AL44" s="847"/>
      <c r="AM44" s="847"/>
      <c r="AN44" s="847"/>
      <c r="AO44" s="847"/>
      <c r="AP44" s="847"/>
      <c r="AQ44" s="847"/>
      <c r="AR44" s="847"/>
      <c r="AS44" s="847"/>
      <c r="AT44" s="847"/>
      <c r="AU44" s="847"/>
      <c r="AV44" s="847"/>
      <c r="AW44" s="847"/>
      <c r="AX44" s="847"/>
      <c r="AY44" s="847"/>
      <c r="AZ44" s="847"/>
      <c r="BA44" s="847"/>
      <c r="BB44" s="847"/>
      <c r="BC44" s="847"/>
      <c r="BD44" s="847"/>
      <c r="BE44" s="847"/>
      <c r="BF44" s="847"/>
      <c r="BG44" s="847"/>
      <c r="BH44" s="847"/>
      <c r="BI44" s="847"/>
      <c r="BJ44" s="847"/>
      <c r="BK44" s="847"/>
      <c r="BL44" s="847"/>
      <c r="BM44" s="847"/>
      <c r="BN44" s="847"/>
      <c r="BO44" s="847"/>
      <c r="BP44" s="847"/>
      <c r="BQ44" s="847"/>
      <c r="BR44" s="847"/>
      <c r="BS44" s="847"/>
      <c r="BT44" s="847"/>
      <c r="BU44" s="847"/>
      <c r="BV44" s="847"/>
      <c r="BW44" s="847"/>
      <c r="BX44" s="847"/>
      <c r="BY44" s="847"/>
      <c r="BZ44" s="847"/>
      <c r="CA44" s="847"/>
      <c r="CB44" s="847"/>
      <c r="CC44" s="847"/>
      <c r="CD44" s="847"/>
      <c r="CE44" s="847"/>
      <c r="CF44" s="847"/>
      <c r="CG44" s="847"/>
      <c r="CH44" s="847"/>
      <c r="CI44" s="847"/>
      <c r="CJ44" s="847"/>
      <c r="CK44" s="847"/>
      <c r="CL44" s="847"/>
      <c r="CM44" s="847"/>
      <c r="CN44" s="847"/>
      <c r="CO44" s="847"/>
      <c r="CP44" s="847"/>
      <c r="CQ44" s="847"/>
      <c r="CR44" s="847"/>
      <c r="CS44" s="847"/>
      <c r="CT44" s="847"/>
      <c r="CU44" s="847"/>
      <c r="CV44" s="847"/>
      <c r="CW44" s="847"/>
      <c r="CX44" s="847"/>
      <c r="CY44" s="847"/>
      <c r="CZ44" s="847"/>
      <c r="DA44" s="847"/>
      <c r="DB44" s="847"/>
      <c r="DC44" s="847"/>
      <c r="DD44" s="847"/>
      <c r="DE44" s="847"/>
      <c r="DF44" s="847"/>
    </row>
    <row r="45" spans="1:110" ht="18.75">
      <c r="A45" s="19">
        <v>19</v>
      </c>
      <c r="B45" s="20" t="s">
        <v>62</v>
      </c>
      <c r="C45" s="48">
        <v>8</v>
      </c>
      <c r="D45" s="40"/>
      <c r="E45" s="56">
        <v>1</v>
      </c>
      <c r="F45" s="56">
        <v>0</v>
      </c>
      <c r="G45" s="56">
        <v>0</v>
      </c>
      <c r="H45" s="40"/>
      <c r="I45" s="56">
        <v>0</v>
      </c>
      <c r="J45" s="44">
        <v>0</v>
      </c>
      <c r="K45" s="116"/>
      <c r="L45" s="40"/>
      <c r="M45" s="40"/>
      <c r="N45" s="56">
        <v>0</v>
      </c>
      <c r="O45" s="40"/>
      <c r="P45" s="40"/>
      <c r="Q45" s="40">
        <v>0</v>
      </c>
      <c r="R45" s="40"/>
      <c r="S45" s="40"/>
      <c r="T45" s="40"/>
      <c r="U45" s="49"/>
      <c r="V45" s="69">
        <v>100</v>
      </c>
      <c r="W45" s="69">
        <v>100</v>
      </c>
      <c r="X45" s="69">
        <v>100</v>
      </c>
      <c r="Y45" s="69">
        <v>100</v>
      </c>
      <c r="Z45" s="59"/>
      <c r="AA45" s="40"/>
      <c r="AB45" s="40"/>
      <c r="AC45" s="21"/>
      <c r="AD45" s="40"/>
      <c r="AE45" s="49"/>
      <c r="AF45" s="104"/>
      <c r="AG45" s="847"/>
      <c r="AH45" s="847"/>
      <c r="AI45" s="847"/>
      <c r="AJ45" s="847"/>
      <c r="AK45" s="847"/>
      <c r="AL45" s="847"/>
      <c r="AM45" s="847"/>
      <c r="AN45" s="847"/>
      <c r="AO45" s="847"/>
      <c r="AP45" s="847"/>
      <c r="AQ45" s="847"/>
      <c r="AR45" s="847"/>
      <c r="AS45" s="847"/>
      <c r="AT45" s="847"/>
      <c r="AU45" s="847"/>
      <c r="AV45" s="847"/>
      <c r="AW45" s="847"/>
      <c r="AX45" s="847"/>
      <c r="AY45" s="847"/>
      <c r="AZ45" s="847"/>
      <c r="BA45" s="847"/>
      <c r="BB45" s="847"/>
      <c r="BC45" s="847"/>
      <c r="BD45" s="847"/>
      <c r="BE45" s="847"/>
      <c r="BF45" s="847"/>
      <c r="BG45" s="847"/>
      <c r="BH45" s="847"/>
      <c r="BI45" s="847"/>
      <c r="BJ45" s="847"/>
      <c r="BK45" s="847"/>
      <c r="BL45" s="847"/>
      <c r="BM45" s="847"/>
      <c r="BN45" s="847"/>
      <c r="BO45" s="847"/>
      <c r="BP45" s="847"/>
      <c r="BQ45" s="847"/>
      <c r="BR45" s="847"/>
      <c r="BS45" s="847"/>
      <c r="BT45" s="847"/>
      <c r="BU45" s="847"/>
      <c r="BV45" s="847"/>
      <c r="BW45" s="847"/>
      <c r="BX45" s="847"/>
      <c r="BY45" s="847"/>
      <c r="BZ45" s="847"/>
      <c r="CA45" s="847"/>
      <c r="CB45" s="847"/>
      <c r="CC45" s="847"/>
      <c r="CD45" s="847"/>
      <c r="CE45" s="847"/>
      <c r="CF45" s="847"/>
      <c r="CG45" s="847"/>
      <c r="CH45" s="847"/>
      <c r="CI45" s="847"/>
      <c r="CJ45" s="847"/>
      <c r="CK45" s="847"/>
      <c r="CL45" s="847"/>
      <c r="CM45" s="847"/>
      <c r="CN45" s="847"/>
      <c r="CO45" s="847"/>
      <c r="CP45" s="847"/>
      <c r="CQ45" s="847"/>
      <c r="CR45" s="847"/>
      <c r="CS45" s="847"/>
      <c r="CT45" s="847"/>
      <c r="CU45" s="847"/>
      <c r="CV45" s="847"/>
      <c r="CW45" s="847"/>
      <c r="CX45" s="847"/>
      <c r="CY45" s="847"/>
      <c r="CZ45" s="847"/>
      <c r="DA45" s="847"/>
      <c r="DB45" s="847"/>
      <c r="DC45" s="847"/>
      <c r="DD45" s="847"/>
      <c r="DE45" s="847"/>
      <c r="DF45" s="847"/>
    </row>
    <row r="46" spans="1:110" s="27" customFormat="1" ht="16.5" customHeight="1" thickBot="1">
      <c r="A46" s="24"/>
      <c r="B46" s="25"/>
      <c r="C46" s="50"/>
      <c r="D46" s="41"/>
      <c r="E46" s="57">
        <v>9</v>
      </c>
      <c r="F46" s="57">
        <v>10</v>
      </c>
      <c r="G46" s="57">
        <v>10</v>
      </c>
      <c r="H46" s="41"/>
      <c r="I46" s="57">
        <v>10</v>
      </c>
      <c r="J46" s="46">
        <v>10</v>
      </c>
      <c r="K46" s="46"/>
      <c r="L46" s="41"/>
      <c r="M46" s="41"/>
      <c r="N46" s="57"/>
      <c r="O46" s="41"/>
      <c r="P46" s="41"/>
      <c r="Q46" s="41"/>
      <c r="R46" s="41"/>
      <c r="S46" s="41"/>
      <c r="T46" s="41"/>
      <c r="U46" s="51"/>
      <c r="V46" s="57">
        <v>10</v>
      </c>
      <c r="W46" s="57">
        <v>10</v>
      </c>
      <c r="X46" s="57">
        <v>10</v>
      </c>
      <c r="Y46" s="57">
        <v>10</v>
      </c>
      <c r="Z46" s="60"/>
      <c r="AA46" s="41"/>
      <c r="AB46" s="41"/>
      <c r="AC46" s="26"/>
      <c r="AD46" s="41"/>
      <c r="AE46" s="51"/>
      <c r="AF46" s="101">
        <f>SUM(C46:AE46)</f>
        <v>89</v>
      </c>
      <c r="AG46" s="847"/>
      <c r="AH46" s="847"/>
      <c r="AI46" s="847"/>
      <c r="AJ46" s="847"/>
      <c r="AK46" s="847"/>
      <c r="AL46" s="847"/>
      <c r="AM46" s="847"/>
      <c r="AN46" s="847"/>
      <c r="AO46" s="847"/>
      <c r="AP46" s="847"/>
      <c r="AQ46" s="847"/>
      <c r="AR46" s="847"/>
      <c r="AS46" s="847"/>
      <c r="AT46" s="847"/>
      <c r="AU46" s="847"/>
      <c r="AV46" s="847"/>
      <c r="AW46" s="847"/>
      <c r="AX46" s="847"/>
      <c r="AY46" s="847"/>
      <c r="AZ46" s="847"/>
      <c r="BA46" s="847"/>
      <c r="BB46" s="847"/>
      <c r="BC46" s="847"/>
      <c r="BD46" s="847"/>
      <c r="BE46" s="847"/>
      <c r="BF46" s="847"/>
      <c r="BG46" s="847"/>
      <c r="BH46" s="847"/>
      <c r="BI46" s="847"/>
      <c r="BJ46" s="847"/>
      <c r="BK46" s="847"/>
      <c r="BL46" s="847"/>
      <c r="BM46" s="847"/>
      <c r="BN46" s="847"/>
      <c r="BO46" s="847"/>
      <c r="BP46" s="847"/>
      <c r="BQ46" s="847"/>
      <c r="BR46" s="847"/>
      <c r="BS46" s="847"/>
      <c r="BT46" s="847"/>
      <c r="BU46" s="847"/>
      <c r="BV46" s="847"/>
      <c r="BW46" s="847"/>
      <c r="BX46" s="847"/>
      <c r="BY46" s="847"/>
      <c r="BZ46" s="847"/>
      <c r="CA46" s="847"/>
      <c r="CB46" s="847"/>
      <c r="CC46" s="847"/>
      <c r="CD46" s="847"/>
      <c r="CE46" s="847"/>
      <c r="CF46" s="847"/>
      <c r="CG46" s="847"/>
      <c r="CH46" s="847"/>
      <c r="CI46" s="847"/>
      <c r="CJ46" s="847"/>
      <c r="CK46" s="847"/>
      <c r="CL46" s="847"/>
      <c r="CM46" s="847"/>
      <c r="CN46" s="847"/>
      <c r="CO46" s="847"/>
      <c r="CP46" s="847"/>
      <c r="CQ46" s="847"/>
      <c r="CR46" s="847"/>
      <c r="CS46" s="847"/>
      <c r="CT46" s="847"/>
      <c r="CU46" s="847"/>
      <c r="CV46" s="847"/>
      <c r="CW46" s="847"/>
      <c r="CX46" s="847"/>
      <c r="CY46" s="847"/>
      <c r="CZ46" s="847"/>
      <c r="DA46" s="847"/>
      <c r="DB46" s="847"/>
      <c r="DC46" s="847"/>
      <c r="DD46" s="847"/>
      <c r="DE46" s="847"/>
      <c r="DF46" s="847"/>
    </row>
    <row r="47" spans="1:110" s="3" customFormat="1" ht="18.75">
      <c r="A47" s="19">
        <v>20</v>
      </c>
      <c r="B47" s="20" t="s">
        <v>63</v>
      </c>
      <c r="C47" s="48">
        <v>107</v>
      </c>
      <c r="D47" s="42"/>
      <c r="E47" s="56">
        <v>5</v>
      </c>
      <c r="F47" s="56">
        <v>131</v>
      </c>
      <c r="G47" s="56">
        <v>47</v>
      </c>
      <c r="H47" s="71"/>
      <c r="I47" s="56">
        <v>9</v>
      </c>
      <c r="J47" s="110">
        <v>0</v>
      </c>
      <c r="K47" s="118"/>
      <c r="L47" s="42"/>
      <c r="M47" s="42"/>
      <c r="N47" s="56">
        <v>58</v>
      </c>
      <c r="O47" s="40"/>
      <c r="P47" s="40"/>
      <c r="Q47" s="40">
        <v>67.8</v>
      </c>
      <c r="R47" s="40"/>
      <c r="S47" s="40"/>
      <c r="T47" s="34"/>
      <c r="U47" s="45"/>
      <c r="V47" s="69"/>
      <c r="W47" s="69"/>
      <c r="X47" s="69"/>
      <c r="Y47" s="69"/>
      <c r="Z47" s="59"/>
      <c r="AA47" s="34"/>
      <c r="AB47" s="34"/>
      <c r="AC47" s="21"/>
      <c r="AD47" s="34"/>
      <c r="AE47" s="45"/>
      <c r="AF47" s="102"/>
      <c r="AG47" s="847"/>
      <c r="AH47" s="847"/>
      <c r="AI47" s="847"/>
      <c r="AJ47" s="847"/>
      <c r="AK47" s="847"/>
      <c r="AL47" s="847"/>
      <c r="AM47" s="847"/>
      <c r="AN47" s="847"/>
      <c r="AO47" s="847"/>
      <c r="AP47" s="847"/>
      <c r="AQ47" s="847"/>
      <c r="AR47" s="847"/>
      <c r="AS47" s="847"/>
      <c r="AT47" s="847"/>
      <c r="AU47" s="847"/>
      <c r="AV47" s="847"/>
      <c r="AW47" s="847"/>
      <c r="AX47" s="847"/>
      <c r="AY47" s="847"/>
      <c r="AZ47" s="847"/>
      <c r="BA47" s="847"/>
      <c r="BB47" s="847"/>
      <c r="BC47" s="847"/>
      <c r="BD47" s="847"/>
      <c r="BE47" s="847"/>
      <c r="BF47" s="847"/>
      <c r="BG47" s="847"/>
      <c r="BH47" s="847"/>
      <c r="BI47" s="847"/>
      <c r="BJ47" s="847"/>
      <c r="BK47" s="847"/>
      <c r="BL47" s="847"/>
      <c r="BM47" s="847"/>
      <c r="BN47" s="847"/>
      <c r="BO47" s="847"/>
      <c r="BP47" s="847"/>
      <c r="BQ47" s="847"/>
      <c r="BR47" s="847"/>
      <c r="BS47" s="847"/>
      <c r="BT47" s="847"/>
      <c r="BU47" s="847"/>
      <c r="BV47" s="847"/>
      <c r="BW47" s="847"/>
      <c r="BX47" s="847"/>
      <c r="BY47" s="847"/>
      <c r="BZ47" s="847"/>
      <c r="CA47" s="847"/>
      <c r="CB47" s="847"/>
      <c r="CC47" s="847"/>
      <c r="CD47" s="847"/>
      <c r="CE47" s="847"/>
      <c r="CF47" s="847"/>
      <c r="CG47" s="847"/>
      <c r="CH47" s="847"/>
      <c r="CI47" s="847"/>
      <c r="CJ47" s="847"/>
      <c r="CK47" s="847"/>
      <c r="CL47" s="847"/>
      <c r="CM47" s="847"/>
      <c r="CN47" s="847"/>
      <c r="CO47" s="847"/>
      <c r="CP47" s="847"/>
      <c r="CQ47" s="847"/>
      <c r="CR47" s="847"/>
      <c r="CS47" s="847"/>
      <c r="CT47" s="847"/>
      <c r="CU47" s="847"/>
      <c r="CV47" s="847"/>
      <c r="CW47" s="847"/>
      <c r="CX47" s="847"/>
      <c r="CY47" s="847"/>
      <c r="CZ47" s="847"/>
      <c r="DA47" s="847"/>
      <c r="DB47" s="847"/>
      <c r="DC47" s="847"/>
      <c r="DD47" s="847"/>
      <c r="DE47" s="847"/>
      <c r="DF47" s="847"/>
    </row>
    <row r="48" spans="1:110" s="31" customFormat="1" ht="17.25" customHeight="1" thickBot="1">
      <c r="A48" s="24"/>
      <c r="B48" s="25"/>
      <c r="C48" s="50"/>
      <c r="D48" s="43"/>
      <c r="E48" s="57">
        <v>7</v>
      </c>
      <c r="F48" s="57">
        <v>0</v>
      </c>
      <c r="G48" s="57">
        <v>0</v>
      </c>
      <c r="H48" s="41"/>
      <c r="I48" s="57">
        <v>2</v>
      </c>
      <c r="J48" s="114">
        <v>10</v>
      </c>
      <c r="K48" s="114"/>
      <c r="L48" s="43"/>
      <c r="M48" s="43"/>
      <c r="N48" s="57">
        <v>6</v>
      </c>
      <c r="O48" s="41"/>
      <c r="P48" s="41"/>
      <c r="Q48" s="41">
        <v>7</v>
      </c>
      <c r="R48" s="41"/>
      <c r="S48" s="41"/>
      <c r="T48" s="36"/>
      <c r="U48" s="47"/>
      <c r="V48" s="57"/>
      <c r="W48" s="57"/>
      <c r="X48" s="57"/>
      <c r="Y48" s="57"/>
      <c r="Z48" s="60"/>
      <c r="AA48" s="36"/>
      <c r="AB48" s="36"/>
      <c r="AC48" s="26"/>
      <c r="AD48" s="36"/>
      <c r="AE48" s="47"/>
      <c r="AF48" s="103">
        <f>SUM(C48:AE48)</f>
        <v>32</v>
      </c>
      <c r="AG48" s="847"/>
      <c r="AH48" s="847"/>
      <c r="AI48" s="847"/>
      <c r="AJ48" s="847"/>
      <c r="AK48" s="847"/>
      <c r="AL48" s="847"/>
      <c r="AM48" s="847"/>
      <c r="AN48" s="847"/>
      <c r="AO48" s="847"/>
      <c r="AP48" s="847"/>
      <c r="AQ48" s="847"/>
      <c r="AR48" s="847"/>
      <c r="AS48" s="847"/>
      <c r="AT48" s="847"/>
      <c r="AU48" s="847"/>
      <c r="AV48" s="847"/>
      <c r="AW48" s="847"/>
      <c r="AX48" s="847"/>
      <c r="AY48" s="847"/>
      <c r="AZ48" s="847"/>
      <c r="BA48" s="847"/>
      <c r="BB48" s="847"/>
      <c r="BC48" s="847"/>
      <c r="BD48" s="847"/>
      <c r="BE48" s="847"/>
      <c r="BF48" s="847"/>
      <c r="BG48" s="847"/>
      <c r="BH48" s="847"/>
      <c r="BI48" s="847"/>
      <c r="BJ48" s="847"/>
      <c r="BK48" s="847"/>
      <c r="BL48" s="847"/>
      <c r="BM48" s="847"/>
      <c r="BN48" s="847"/>
      <c r="BO48" s="847"/>
      <c r="BP48" s="847"/>
      <c r="BQ48" s="847"/>
      <c r="BR48" s="847"/>
      <c r="BS48" s="847"/>
      <c r="BT48" s="847"/>
      <c r="BU48" s="847"/>
      <c r="BV48" s="847"/>
      <c r="BW48" s="847"/>
      <c r="BX48" s="847"/>
      <c r="BY48" s="847"/>
      <c r="BZ48" s="847"/>
      <c r="CA48" s="847"/>
      <c r="CB48" s="847"/>
      <c r="CC48" s="847"/>
      <c r="CD48" s="847"/>
      <c r="CE48" s="847"/>
      <c r="CF48" s="847"/>
      <c r="CG48" s="847"/>
      <c r="CH48" s="847"/>
      <c r="CI48" s="847"/>
      <c r="CJ48" s="847"/>
      <c r="CK48" s="847"/>
      <c r="CL48" s="847"/>
      <c r="CM48" s="847"/>
      <c r="CN48" s="847"/>
      <c r="CO48" s="847"/>
      <c r="CP48" s="847"/>
      <c r="CQ48" s="847"/>
      <c r="CR48" s="847"/>
      <c r="CS48" s="847"/>
      <c r="CT48" s="847"/>
      <c r="CU48" s="847"/>
      <c r="CV48" s="847"/>
      <c r="CW48" s="847"/>
      <c r="CX48" s="847"/>
      <c r="CY48" s="847"/>
      <c r="CZ48" s="847"/>
      <c r="DA48" s="847"/>
      <c r="DB48" s="847"/>
      <c r="DC48" s="847"/>
      <c r="DD48" s="847"/>
      <c r="DE48" s="847"/>
      <c r="DF48" s="847"/>
    </row>
    <row r="49" spans="1:110" s="4" customFormat="1" ht="19.5" hidden="1" thickBot="1">
      <c r="A49" s="19">
        <v>21</v>
      </c>
      <c r="B49" s="22" t="s">
        <v>64</v>
      </c>
      <c r="C49" s="54">
        <v>6</v>
      </c>
      <c r="D49" s="39"/>
      <c r="E49" s="64">
        <v>0</v>
      </c>
      <c r="F49" s="64"/>
      <c r="G49" s="64"/>
      <c r="H49" s="39"/>
      <c r="I49" s="64"/>
      <c r="J49" s="115"/>
      <c r="K49" s="116"/>
      <c r="L49" s="39"/>
      <c r="M49" s="39"/>
      <c r="N49" s="64">
        <v>2</v>
      </c>
      <c r="O49" s="39"/>
      <c r="P49" s="39"/>
      <c r="Q49" s="39">
        <v>51.01</v>
      </c>
      <c r="R49" s="39"/>
      <c r="S49" s="39"/>
      <c r="T49" s="39"/>
      <c r="U49" s="55"/>
      <c r="V49" s="66"/>
      <c r="W49" s="66"/>
      <c r="X49" s="66"/>
      <c r="Y49" s="66"/>
      <c r="Z49" s="63"/>
      <c r="AA49" s="39"/>
      <c r="AB49" s="39"/>
      <c r="AC49" s="23"/>
      <c r="AD49" s="39"/>
      <c r="AE49" s="55"/>
      <c r="AF49" s="106"/>
      <c r="AG49" s="847"/>
      <c r="AH49" s="847"/>
      <c r="AI49" s="847"/>
      <c r="AJ49" s="847"/>
      <c r="AK49" s="847"/>
      <c r="AL49" s="847"/>
      <c r="AM49" s="847"/>
      <c r="AN49" s="847"/>
      <c r="AO49" s="847"/>
      <c r="AP49" s="847"/>
      <c r="AQ49" s="847"/>
      <c r="AR49" s="847"/>
      <c r="AS49" s="847"/>
      <c r="AT49" s="847"/>
      <c r="AU49" s="847"/>
      <c r="AV49" s="847"/>
      <c r="AW49" s="847"/>
      <c r="AX49" s="847"/>
      <c r="AY49" s="847"/>
      <c r="AZ49" s="847"/>
      <c r="BA49" s="847"/>
      <c r="BB49" s="847"/>
      <c r="BC49" s="847"/>
      <c r="BD49" s="847"/>
      <c r="BE49" s="847"/>
      <c r="BF49" s="847"/>
      <c r="BG49" s="847"/>
      <c r="BH49" s="847"/>
      <c r="BI49" s="847"/>
      <c r="BJ49" s="847"/>
      <c r="BK49" s="847"/>
      <c r="BL49" s="847"/>
      <c r="BM49" s="847"/>
      <c r="BN49" s="847"/>
      <c r="BO49" s="847"/>
      <c r="BP49" s="847"/>
      <c r="BQ49" s="847"/>
      <c r="BR49" s="847"/>
      <c r="BS49" s="847"/>
      <c r="BT49" s="847"/>
      <c r="BU49" s="847"/>
      <c r="BV49" s="847"/>
      <c r="BW49" s="847"/>
      <c r="BX49" s="847"/>
      <c r="BY49" s="847"/>
      <c r="BZ49" s="847"/>
      <c r="CA49" s="847"/>
      <c r="CB49" s="847"/>
      <c r="CC49" s="847"/>
      <c r="CD49" s="847"/>
      <c r="CE49" s="847"/>
      <c r="CF49" s="847"/>
      <c r="CG49" s="847"/>
      <c r="CH49" s="847"/>
      <c r="CI49" s="847"/>
      <c r="CJ49" s="847"/>
      <c r="CK49" s="847"/>
      <c r="CL49" s="847"/>
      <c r="CM49" s="847"/>
      <c r="CN49" s="847"/>
      <c r="CO49" s="847"/>
      <c r="CP49" s="847"/>
      <c r="CQ49" s="847"/>
      <c r="CR49" s="847"/>
      <c r="CS49" s="847"/>
      <c r="CT49" s="847"/>
      <c r="CU49" s="847"/>
      <c r="CV49" s="847"/>
      <c r="CW49" s="847"/>
      <c r="CX49" s="847"/>
      <c r="CY49" s="847"/>
      <c r="CZ49" s="847"/>
      <c r="DA49" s="847"/>
      <c r="DB49" s="847"/>
      <c r="DC49" s="847"/>
      <c r="DD49" s="847"/>
      <c r="DE49" s="847"/>
      <c r="DF49" s="847"/>
    </row>
    <row r="50" spans="1:110" s="27" customFormat="1" ht="16.5" hidden="1" customHeight="1" thickBot="1">
      <c r="A50" s="24"/>
      <c r="B50" s="25"/>
      <c r="C50" s="50"/>
      <c r="D50" s="36"/>
      <c r="E50" s="57">
        <v>10</v>
      </c>
      <c r="F50" s="57"/>
      <c r="G50" s="57"/>
      <c r="H50" s="36"/>
      <c r="I50" s="57"/>
      <c r="J50" s="46"/>
      <c r="K50" s="117"/>
      <c r="L50" s="36"/>
      <c r="M50" s="36"/>
      <c r="N50" s="57"/>
      <c r="O50" s="36"/>
      <c r="P50" s="36"/>
      <c r="Q50" s="36">
        <v>6</v>
      </c>
      <c r="R50" s="36"/>
      <c r="S50" s="36"/>
      <c r="T50" s="36"/>
      <c r="U50" s="47"/>
      <c r="V50" s="57"/>
      <c r="W50" s="57"/>
      <c r="X50" s="57"/>
      <c r="Y50" s="57"/>
      <c r="Z50" s="60"/>
      <c r="AA50" s="36"/>
      <c r="AB50" s="36"/>
      <c r="AC50" s="26"/>
      <c r="AD50" s="36"/>
      <c r="AE50" s="47"/>
      <c r="AF50" s="101">
        <f>SUM(C50:AE50)</f>
        <v>16</v>
      </c>
      <c r="AG50" s="847"/>
      <c r="AH50" s="847"/>
      <c r="AI50" s="847"/>
      <c r="AJ50" s="847"/>
      <c r="AK50" s="847"/>
      <c r="AL50" s="847"/>
      <c r="AM50" s="847"/>
      <c r="AN50" s="847"/>
      <c r="AO50" s="847"/>
      <c r="AP50" s="847"/>
      <c r="AQ50" s="847"/>
      <c r="AR50" s="847"/>
      <c r="AS50" s="847"/>
      <c r="AT50" s="847"/>
      <c r="AU50" s="847"/>
      <c r="AV50" s="847"/>
      <c r="AW50" s="847"/>
      <c r="AX50" s="847"/>
      <c r="AY50" s="847"/>
      <c r="AZ50" s="847"/>
      <c r="BA50" s="847"/>
      <c r="BB50" s="847"/>
      <c r="BC50" s="847"/>
      <c r="BD50" s="847"/>
      <c r="BE50" s="847"/>
      <c r="BF50" s="847"/>
      <c r="BG50" s="847"/>
      <c r="BH50" s="847"/>
      <c r="BI50" s="847"/>
      <c r="BJ50" s="847"/>
      <c r="BK50" s="847"/>
      <c r="BL50" s="847"/>
      <c r="BM50" s="847"/>
      <c r="BN50" s="847"/>
      <c r="BO50" s="847"/>
      <c r="BP50" s="847"/>
      <c r="BQ50" s="847"/>
      <c r="BR50" s="847"/>
      <c r="BS50" s="847"/>
      <c r="BT50" s="847"/>
      <c r="BU50" s="847"/>
      <c r="BV50" s="847"/>
      <c r="BW50" s="847"/>
      <c r="BX50" s="847"/>
      <c r="BY50" s="847"/>
      <c r="BZ50" s="847"/>
      <c r="CA50" s="847"/>
      <c r="CB50" s="847"/>
      <c r="CC50" s="847"/>
      <c r="CD50" s="847"/>
      <c r="CE50" s="847"/>
      <c r="CF50" s="847"/>
      <c r="CG50" s="847"/>
      <c r="CH50" s="847"/>
      <c r="CI50" s="847"/>
      <c r="CJ50" s="847"/>
      <c r="CK50" s="847"/>
      <c r="CL50" s="847"/>
      <c r="CM50" s="847"/>
      <c r="CN50" s="847"/>
      <c r="CO50" s="847"/>
      <c r="CP50" s="847"/>
      <c r="CQ50" s="847"/>
      <c r="CR50" s="847"/>
      <c r="CS50" s="847"/>
      <c r="CT50" s="847"/>
      <c r="CU50" s="847"/>
      <c r="CV50" s="847"/>
      <c r="CW50" s="847"/>
      <c r="CX50" s="847"/>
      <c r="CY50" s="847"/>
      <c r="CZ50" s="847"/>
      <c r="DA50" s="847"/>
      <c r="DB50" s="847"/>
      <c r="DC50" s="847"/>
      <c r="DD50" s="847"/>
      <c r="DE50" s="847"/>
      <c r="DF50" s="847"/>
    </row>
    <row r="51" spans="1:110" ht="19.5" hidden="1" thickBot="1">
      <c r="A51" s="19">
        <v>22</v>
      </c>
      <c r="B51" s="20" t="s">
        <v>65</v>
      </c>
      <c r="C51" s="48">
        <v>4</v>
      </c>
      <c r="D51" s="56"/>
      <c r="E51" s="56">
        <v>0</v>
      </c>
      <c r="F51" s="56"/>
      <c r="G51" s="56"/>
      <c r="H51" s="56"/>
      <c r="I51" s="56"/>
      <c r="J51" s="44"/>
      <c r="K51" s="116"/>
      <c r="L51" s="40"/>
      <c r="M51" s="40"/>
      <c r="N51" s="56">
        <v>0</v>
      </c>
      <c r="O51" s="40"/>
      <c r="P51" s="40"/>
      <c r="Q51" s="40">
        <v>100</v>
      </c>
      <c r="R51" s="40"/>
      <c r="S51" s="40"/>
      <c r="T51" s="34"/>
      <c r="U51" s="49"/>
      <c r="V51" s="69"/>
      <c r="W51" s="69"/>
      <c r="X51" s="69"/>
      <c r="Y51" s="69"/>
      <c r="Z51" s="59"/>
      <c r="AA51" s="40"/>
      <c r="AB51" s="40"/>
      <c r="AC51" s="21"/>
      <c r="AD51" s="40"/>
      <c r="AE51" s="49"/>
      <c r="AF51" s="108"/>
      <c r="AG51" s="847"/>
      <c r="AH51" s="847"/>
      <c r="AI51" s="847"/>
      <c r="AJ51" s="847"/>
      <c r="AK51" s="847"/>
      <c r="AL51" s="847"/>
      <c r="AM51" s="847"/>
      <c r="AN51" s="847"/>
      <c r="AO51" s="847"/>
      <c r="AP51" s="847"/>
      <c r="AQ51" s="847"/>
      <c r="AR51" s="847"/>
      <c r="AS51" s="847"/>
      <c r="AT51" s="847"/>
      <c r="AU51" s="847"/>
      <c r="AV51" s="847"/>
      <c r="AW51" s="847"/>
      <c r="AX51" s="847"/>
      <c r="AY51" s="847"/>
      <c r="AZ51" s="847"/>
      <c r="BA51" s="847"/>
      <c r="BB51" s="847"/>
      <c r="BC51" s="847"/>
      <c r="BD51" s="847"/>
      <c r="BE51" s="847"/>
      <c r="BF51" s="847"/>
      <c r="BG51" s="847"/>
      <c r="BH51" s="847"/>
      <c r="BI51" s="847"/>
      <c r="BJ51" s="847"/>
      <c r="BK51" s="847"/>
      <c r="BL51" s="847"/>
      <c r="BM51" s="847"/>
      <c r="BN51" s="847"/>
      <c r="BO51" s="847"/>
      <c r="BP51" s="847"/>
      <c r="BQ51" s="847"/>
      <c r="BR51" s="847"/>
      <c r="BS51" s="847"/>
      <c r="BT51" s="847"/>
      <c r="BU51" s="847"/>
      <c r="BV51" s="847"/>
      <c r="BW51" s="847"/>
      <c r="BX51" s="847"/>
      <c r="BY51" s="847"/>
      <c r="BZ51" s="847"/>
      <c r="CA51" s="847"/>
      <c r="CB51" s="847"/>
      <c r="CC51" s="847"/>
      <c r="CD51" s="847"/>
      <c r="CE51" s="847"/>
      <c r="CF51" s="847"/>
      <c r="CG51" s="847"/>
      <c r="CH51" s="847"/>
      <c r="CI51" s="847"/>
      <c r="CJ51" s="847"/>
      <c r="CK51" s="847"/>
      <c r="CL51" s="847"/>
      <c r="CM51" s="847"/>
      <c r="CN51" s="847"/>
      <c r="CO51" s="847"/>
      <c r="CP51" s="847"/>
      <c r="CQ51" s="847"/>
      <c r="CR51" s="847"/>
      <c r="CS51" s="847"/>
      <c r="CT51" s="847"/>
      <c r="CU51" s="847"/>
      <c r="CV51" s="847"/>
      <c r="CW51" s="847"/>
      <c r="CX51" s="847"/>
      <c r="CY51" s="847"/>
      <c r="CZ51" s="847"/>
      <c r="DA51" s="847"/>
      <c r="DB51" s="847"/>
      <c r="DC51" s="847"/>
      <c r="DD51" s="847"/>
      <c r="DE51" s="847"/>
      <c r="DF51" s="847"/>
    </row>
    <row r="52" spans="1:110" s="27" customFormat="1" ht="19.5" hidden="1" thickBot="1">
      <c r="A52" s="24"/>
      <c r="B52" s="25"/>
      <c r="C52" s="50"/>
      <c r="D52" s="57"/>
      <c r="E52" s="57">
        <v>10</v>
      </c>
      <c r="F52" s="57"/>
      <c r="G52" s="57"/>
      <c r="H52" s="57"/>
      <c r="I52" s="57"/>
      <c r="J52" s="46"/>
      <c r="K52" s="117"/>
      <c r="L52" s="41"/>
      <c r="M52" s="41"/>
      <c r="N52" s="57"/>
      <c r="O52" s="41"/>
      <c r="P52" s="41"/>
      <c r="Q52" s="41">
        <v>10</v>
      </c>
      <c r="R52" s="41"/>
      <c r="S52" s="41"/>
      <c r="T52" s="36"/>
      <c r="U52" s="51"/>
      <c r="V52" s="57"/>
      <c r="W52" s="57"/>
      <c r="X52" s="57"/>
      <c r="Y52" s="57"/>
      <c r="Z52" s="60"/>
      <c r="AA52" s="41"/>
      <c r="AB52" s="41"/>
      <c r="AC52" s="26"/>
      <c r="AD52" s="41"/>
      <c r="AE52" s="51"/>
      <c r="AF52" s="103">
        <f>SUM(C52:AE52)</f>
        <v>20</v>
      </c>
      <c r="AG52" s="847"/>
      <c r="AH52" s="847"/>
      <c r="AI52" s="847"/>
      <c r="AJ52" s="847"/>
      <c r="AK52" s="847"/>
      <c r="AL52" s="847"/>
      <c r="AM52" s="847"/>
      <c r="AN52" s="847"/>
      <c r="AO52" s="847"/>
      <c r="AP52" s="847"/>
      <c r="AQ52" s="847"/>
      <c r="AR52" s="847"/>
      <c r="AS52" s="847"/>
      <c r="AT52" s="847"/>
      <c r="AU52" s="847"/>
      <c r="AV52" s="847"/>
      <c r="AW52" s="847"/>
      <c r="AX52" s="847"/>
      <c r="AY52" s="847"/>
      <c r="AZ52" s="847"/>
      <c r="BA52" s="847"/>
      <c r="BB52" s="847"/>
      <c r="BC52" s="847"/>
      <c r="BD52" s="847"/>
      <c r="BE52" s="847"/>
      <c r="BF52" s="847"/>
      <c r="BG52" s="847"/>
      <c r="BH52" s="847"/>
      <c r="BI52" s="847"/>
      <c r="BJ52" s="847"/>
      <c r="BK52" s="847"/>
      <c r="BL52" s="847"/>
      <c r="BM52" s="847"/>
      <c r="BN52" s="847"/>
      <c r="BO52" s="847"/>
      <c r="BP52" s="847"/>
      <c r="BQ52" s="847"/>
      <c r="BR52" s="847"/>
      <c r="BS52" s="847"/>
      <c r="BT52" s="847"/>
      <c r="BU52" s="847"/>
      <c r="BV52" s="847"/>
      <c r="BW52" s="847"/>
      <c r="BX52" s="847"/>
      <c r="BY52" s="847"/>
      <c r="BZ52" s="847"/>
      <c r="CA52" s="847"/>
      <c r="CB52" s="847"/>
      <c r="CC52" s="847"/>
      <c r="CD52" s="847"/>
      <c r="CE52" s="847"/>
      <c r="CF52" s="847"/>
      <c r="CG52" s="847"/>
      <c r="CH52" s="847"/>
      <c r="CI52" s="847"/>
      <c r="CJ52" s="847"/>
      <c r="CK52" s="847"/>
      <c r="CL52" s="847"/>
      <c r="CM52" s="847"/>
      <c r="CN52" s="847"/>
      <c r="CO52" s="847"/>
      <c r="CP52" s="847"/>
      <c r="CQ52" s="847"/>
      <c r="CR52" s="847"/>
      <c r="CS52" s="847"/>
      <c r="CT52" s="847"/>
      <c r="CU52" s="847"/>
      <c r="CV52" s="847"/>
      <c r="CW52" s="847"/>
      <c r="CX52" s="847"/>
      <c r="CY52" s="847"/>
      <c r="CZ52" s="847"/>
      <c r="DA52" s="847"/>
      <c r="DB52" s="847"/>
      <c r="DC52" s="847"/>
      <c r="DD52" s="847"/>
      <c r="DE52" s="847"/>
      <c r="DF52" s="847"/>
    </row>
    <row r="53" spans="1:110" s="3" customFormat="1" ht="19.5" hidden="1" thickBot="1">
      <c r="A53" s="19">
        <v>23</v>
      </c>
      <c r="B53" s="20" t="s">
        <v>66</v>
      </c>
      <c r="C53" s="48">
        <v>1</v>
      </c>
      <c r="D53" s="42"/>
      <c r="E53" s="58"/>
      <c r="F53" s="58"/>
      <c r="G53" s="58"/>
      <c r="H53" s="42"/>
      <c r="I53" s="58"/>
      <c r="J53" s="110"/>
      <c r="K53" s="118"/>
      <c r="L53" s="37"/>
      <c r="M53" s="37"/>
      <c r="N53" s="56">
        <v>0</v>
      </c>
      <c r="O53" s="40"/>
      <c r="P53" s="40"/>
      <c r="Q53" s="40">
        <v>100</v>
      </c>
      <c r="R53" s="40"/>
      <c r="S53" s="40"/>
      <c r="T53" s="34"/>
      <c r="U53" s="45"/>
      <c r="V53" s="69"/>
      <c r="W53" s="69"/>
      <c r="X53" s="69"/>
      <c r="Y53" s="69"/>
      <c r="Z53" s="59"/>
      <c r="AA53" s="34"/>
      <c r="AB53" s="34"/>
      <c r="AC53" s="21"/>
      <c r="AD53" s="34"/>
      <c r="AE53" s="45"/>
      <c r="AF53" s="105"/>
      <c r="AG53" s="847"/>
      <c r="AH53" s="847"/>
      <c r="AI53" s="847"/>
      <c r="AJ53" s="847"/>
      <c r="AK53" s="847"/>
      <c r="AL53" s="847"/>
      <c r="AM53" s="847"/>
      <c r="AN53" s="847"/>
      <c r="AO53" s="847"/>
      <c r="AP53" s="847"/>
      <c r="AQ53" s="847"/>
      <c r="AR53" s="847"/>
      <c r="AS53" s="847"/>
      <c r="AT53" s="847"/>
      <c r="AU53" s="847"/>
      <c r="AV53" s="847"/>
      <c r="AW53" s="847"/>
      <c r="AX53" s="847"/>
      <c r="AY53" s="847"/>
      <c r="AZ53" s="847"/>
      <c r="BA53" s="847"/>
      <c r="BB53" s="847"/>
      <c r="BC53" s="847"/>
      <c r="BD53" s="847"/>
      <c r="BE53" s="847"/>
      <c r="BF53" s="847"/>
      <c r="BG53" s="847"/>
      <c r="BH53" s="847"/>
      <c r="BI53" s="847"/>
      <c r="BJ53" s="847"/>
      <c r="BK53" s="847"/>
      <c r="BL53" s="847"/>
      <c r="BM53" s="847"/>
      <c r="BN53" s="847"/>
      <c r="BO53" s="847"/>
      <c r="BP53" s="847"/>
      <c r="BQ53" s="847"/>
      <c r="BR53" s="847"/>
      <c r="BS53" s="847"/>
      <c r="BT53" s="847"/>
      <c r="BU53" s="847"/>
      <c r="BV53" s="847"/>
      <c r="BW53" s="847"/>
      <c r="BX53" s="847"/>
      <c r="BY53" s="847"/>
      <c r="BZ53" s="847"/>
      <c r="CA53" s="847"/>
      <c r="CB53" s="847"/>
      <c r="CC53" s="847"/>
      <c r="CD53" s="847"/>
      <c r="CE53" s="847"/>
      <c r="CF53" s="847"/>
      <c r="CG53" s="847"/>
      <c r="CH53" s="847"/>
      <c r="CI53" s="847"/>
      <c r="CJ53" s="847"/>
      <c r="CK53" s="847"/>
      <c r="CL53" s="847"/>
      <c r="CM53" s="847"/>
      <c r="CN53" s="847"/>
      <c r="CO53" s="847"/>
      <c r="CP53" s="847"/>
      <c r="CQ53" s="847"/>
      <c r="CR53" s="847"/>
      <c r="CS53" s="847"/>
      <c r="CT53" s="847"/>
      <c r="CU53" s="847"/>
      <c r="CV53" s="847"/>
      <c r="CW53" s="847"/>
      <c r="CX53" s="847"/>
      <c r="CY53" s="847"/>
      <c r="CZ53" s="847"/>
      <c r="DA53" s="847"/>
      <c r="DB53" s="847"/>
      <c r="DC53" s="847"/>
      <c r="DD53" s="847"/>
      <c r="DE53" s="847"/>
      <c r="DF53" s="847"/>
    </row>
    <row r="54" spans="1:110" s="31" customFormat="1" ht="17.25" hidden="1" customHeight="1" thickBot="1">
      <c r="A54" s="24"/>
      <c r="B54" s="25"/>
      <c r="C54" s="50"/>
      <c r="D54" s="43"/>
      <c r="E54" s="65"/>
      <c r="F54" s="65"/>
      <c r="G54" s="65"/>
      <c r="H54" s="43"/>
      <c r="I54" s="65"/>
      <c r="J54" s="114"/>
      <c r="K54" s="120"/>
      <c r="L54" s="38"/>
      <c r="M54" s="38"/>
      <c r="N54" s="57"/>
      <c r="O54" s="41"/>
      <c r="P54" s="41"/>
      <c r="Q54" s="41">
        <v>10</v>
      </c>
      <c r="R54" s="41"/>
      <c r="S54" s="41"/>
      <c r="T54" s="36"/>
      <c r="U54" s="47"/>
      <c r="V54" s="57"/>
      <c r="W54" s="57"/>
      <c r="X54" s="57"/>
      <c r="Y54" s="57"/>
      <c r="Z54" s="60"/>
      <c r="AA54" s="36"/>
      <c r="AB54" s="36"/>
      <c r="AC54" s="26"/>
      <c r="AD54" s="36"/>
      <c r="AE54" s="47"/>
      <c r="AF54" s="101">
        <f>SUM(C54:AE54)</f>
        <v>10</v>
      </c>
      <c r="AG54" s="847"/>
      <c r="AH54" s="847"/>
      <c r="AI54" s="847"/>
      <c r="AJ54" s="847"/>
      <c r="AK54" s="847"/>
      <c r="AL54" s="847"/>
      <c r="AM54" s="847"/>
      <c r="AN54" s="847"/>
      <c r="AO54" s="847"/>
      <c r="AP54" s="847"/>
      <c r="AQ54" s="847"/>
      <c r="AR54" s="847"/>
      <c r="AS54" s="847"/>
      <c r="AT54" s="847"/>
      <c r="AU54" s="847"/>
      <c r="AV54" s="847"/>
      <c r="AW54" s="847"/>
      <c r="AX54" s="847"/>
      <c r="AY54" s="847"/>
      <c r="AZ54" s="847"/>
      <c r="BA54" s="847"/>
      <c r="BB54" s="847"/>
      <c r="BC54" s="847"/>
      <c r="BD54" s="847"/>
      <c r="BE54" s="847"/>
      <c r="BF54" s="847"/>
      <c r="BG54" s="847"/>
      <c r="BH54" s="847"/>
      <c r="BI54" s="847"/>
      <c r="BJ54" s="847"/>
      <c r="BK54" s="847"/>
      <c r="BL54" s="847"/>
      <c r="BM54" s="847"/>
      <c r="BN54" s="847"/>
      <c r="BO54" s="847"/>
      <c r="BP54" s="847"/>
      <c r="BQ54" s="847"/>
      <c r="BR54" s="847"/>
      <c r="BS54" s="847"/>
      <c r="BT54" s="847"/>
      <c r="BU54" s="847"/>
      <c r="BV54" s="847"/>
      <c r="BW54" s="847"/>
      <c r="BX54" s="847"/>
      <c r="BY54" s="847"/>
      <c r="BZ54" s="847"/>
      <c r="CA54" s="847"/>
      <c r="CB54" s="847"/>
      <c r="CC54" s="847"/>
      <c r="CD54" s="847"/>
      <c r="CE54" s="847"/>
      <c r="CF54" s="847"/>
      <c r="CG54" s="847"/>
      <c r="CH54" s="847"/>
      <c r="CI54" s="847"/>
      <c r="CJ54" s="847"/>
      <c r="CK54" s="847"/>
      <c r="CL54" s="847"/>
      <c r="CM54" s="847"/>
      <c r="CN54" s="847"/>
      <c r="CO54" s="847"/>
      <c r="CP54" s="847"/>
      <c r="CQ54" s="847"/>
      <c r="CR54" s="847"/>
      <c r="CS54" s="847"/>
      <c r="CT54" s="847"/>
      <c r="CU54" s="847"/>
      <c r="CV54" s="847"/>
      <c r="CW54" s="847"/>
      <c r="CX54" s="847"/>
      <c r="CY54" s="847"/>
      <c r="CZ54" s="847"/>
      <c r="DA54" s="847"/>
      <c r="DB54" s="847"/>
      <c r="DC54" s="847"/>
      <c r="DD54" s="847"/>
      <c r="DE54" s="847"/>
      <c r="DF54" s="847"/>
    </row>
    <row r="55" spans="1:110" s="4" customFormat="1" ht="28.5">
      <c r="A55" s="19">
        <v>24</v>
      </c>
      <c r="B55" s="22" t="s">
        <v>20</v>
      </c>
      <c r="C55" s="54">
        <v>62</v>
      </c>
      <c r="D55" s="39"/>
      <c r="E55" s="64">
        <v>2</v>
      </c>
      <c r="F55" s="64">
        <v>6</v>
      </c>
      <c r="G55" s="64">
        <v>0</v>
      </c>
      <c r="H55" s="70"/>
      <c r="I55" s="64">
        <v>2</v>
      </c>
      <c r="J55" s="115">
        <v>0</v>
      </c>
      <c r="K55" s="116"/>
      <c r="L55" s="39"/>
      <c r="M55" s="39"/>
      <c r="N55" s="64">
        <v>23</v>
      </c>
      <c r="O55" s="39"/>
      <c r="P55" s="39"/>
      <c r="Q55" s="39">
        <v>11.54</v>
      </c>
      <c r="R55" s="39"/>
      <c r="S55" s="39">
        <v>1.61</v>
      </c>
      <c r="T55" s="39"/>
      <c r="U55" s="55"/>
      <c r="V55" s="66">
        <v>0.02</v>
      </c>
      <c r="W55" s="66">
        <v>0</v>
      </c>
      <c r="X55" s="66">
        <v>0</v>
      </c>
      <c r="Y55" s="66">
        <v>0.12</v>
      </c>
      <c r="Z55" s="63"/>
      <c r="AA55" s="39"/>
      <c r="AB55" s="39"/>
      <c r="AC55" s="23"/>
      <c r="AD55" s="39"/>
      <c r="AE55" s="55"/>
      <c r="AF55" s="107"/>
      <c r="AG55" s="847"/>
      <c r="AH55" s="847"/>
      <c r="AI55" s="847"/>
      <c r="AJ55" s="847"/>
      <c r="AK55" s="847"/>
      <c r="AL55" s="847"/>
      <c r="AM55" s="847"/>
      <c r="AN55" s="847"/>
      <c r="AO55" s="847"/>
      <c r="AP55" s="847"/>
      <c r="AQ55" s="847"/>
      <c r="AR55" s="847"/>
      <c r="AS55" s="847"/>
      <c r="AT55" s="847"/>
      <c r="AU55" s="847"/>
      <c r="AV55" s="847"/>
      <c r="AW55" s="847"/>
      <c r="AX55" s="847"/>
      <c r="AY55" s="847"/>
      <c r="AZ55" s="847"/>
      <c r="BA55" s="847"/>
      <c r="BB55" s="847"/>
      <c r="BC55" s="847"/>
      <c r="BD55" s="847"/>
      <c r="BE55" s="847"/>
      <c r="BF55" s="847"/>
      <c r="BG55" s="847"/>
      <c r="BH55" s="847"/>
      <c r="BI55" s="847"/>
      <c r="BJ55" s="847"/>
      <c r="BK55" s="847"/>
      <c r="BL55" s="847"/>
      <c r="BM55" s="847"/>
      <c r="BN55" s="847"/>
      <c r="BO55" s="847"/>
      <c r="BP55" s="847"/>
      <c r="BQ55" s="847"/>
      <c r="BR55" s="847"/>
      <c r="BS55" s="847"/>
      <c r="BT55" s="847"/>
      <c r="BU55" s="847"/>
      <c r="BV55" s="847"/>
      <c r="BW55" s="847"/>
      <c r="BX55" s="847"/>
      <c r="BY55" s="847"/>
      <c r="BZ55" s="847"/>
      <c r="CA55" s="847"/>
      <c r="CB55" s="847"/>
      <c r="CC55" s="847"/>
      <c r="CD55" s="847"/>
      <c r="CE55" s="847"/>
      <c r="CF55" s="847"/>
      <c r="CG55" s="847"/>
      <c r="CH55" s="847"/>
      <c r="CI55" s="847"/>
      <c r="CJ55" s="847"/>
      <c r="CK55" s="847"/>
      <c r="CL55" s="847"/>
      <c r="CM55" s="847"/>
      <c r="CN55" s="847"/>
      <c r="CO55" s="847"/>
      <c r="CP55" s="847"/>
      <c r="CQ55" s="847"/>
      <c r="CR55" s="847"/>
      <c r="CS55" s="847"/>
      <c r="CT55" s="847"/>
      <c r="CU55" s="847"/>
      <c r="CV55" s="847"/>
      <c r="CW55" s="847"/>
      <c r="CX55" s="847"/>
      <c r="CY55" s="847"/>
      <c r="CZ55" s="847"/>
      <c r="DA55" s="847"/>
      <c r="DB55" s="847"/>
      <c r="DC55" s="847"/>
      <c r="DD55" s="847"/>
      <c r="DE55" s="847"/>
      <c r="DF55" s="847"/>
    </row>
    <row r="56" spans="1:110" s="27" customFormat="1" ht="15" customHeight="1" thickBot="1">
      <c r="A56" s="24"/>
      <c r="B56" s="25"/>
      <c r="C56" s="50"/>
      <c r="D56" s="36"/>
      <c r="E56" s="57">
        <v>9</v>
      </c>
      <c r="F56" s="57">
        <v>7</v>
      </c>
      <c r="G56" s="57">
        <v>10</v>
      </c>
      <c r="H56" s="36"/>
      <c r="I56" s="57">
        <v>9</v>
      </c>
      <c r="J56" s="46">
        <v>10</v>
      </c>
      <c r="K56" s="46"/>
      <c r="L56" s="36"/>
      <c r="M56" s="36"/>
      <c r="N56" s="57">
        <v>3</v>
      </c>
      <c r="O56" s="36"/>
      <c r="P56" s="36"/>
      <c r="Q56" s="36">
        <v>1</v>
      </c>
      <c r="R56" s="36"/>
      <c r="S56" s="36">
        <v>0</v>
      </c>
      <c r="T56" s="36"/>
      <c r="U56" s="47"/>
      <c r="V56" s="57">
        <v>0</v>
      </c>
      <c r="W56" s="57">
        <v>0</v>
      </c>
      <c r="X56" s="57">
        <v>0</v>
      </c>
      <c r="Y56" s="57">
        <v>0</v>
      </c>
      <c r="Z56" s="60"/>
      <c r="AA56" s="36"/>
      <c r="AB56" s="36"/>
      <c r="AC56" s="26"/>
      <c r="AD56" s="36"/>
      <c r="AE56" s="47"/>
      <c r="AF56" s="103">
        <f>SUM(C56:AE56)</f>
        <v>49</v>
      </c>
      <c r="AG56" s="847"/>
      <c r="AH56" s="847"/>
      <c r="AI56" s="847"/>
      <c r="AJ56" s="847"/>
      <c r="AK56" s="847"/>
      <c r="AL56" s="847"/>
      <c r="AM56" s="847"/>
      <c r="AN56" s="847"/>
      <c r="AO56" s="847"/>
      <c r="AP56" s="847"/>
      <c r="AQ56" s="847"/>
      <c r="AR56" s="847"/>
      <c r="AS56" s="847"/>
      <c r="AT56" s="847"/>
      <c r="AU56" s="847"/>
      <c r="AV56" s="847"/>
      <c r="AW56" s="847"/>
      <c r="AX56" s="847"/>
      <c r="AY56" s="847"/>
      <c r="AZ56" s="847"/>
      <c r="BA56" s="847"/>
      <c r="BB56" s="847"/>
      <c r="BC56" s="847"/>
      <c r="BD56" s="847"/>
      <c r="BE56" s="847"/>
      <c r="BF56" s="847"/>
      <c r="BG56" s="847"/>
      <c r="BH56" s="847"/>
      <c r="BI56" s="847"/>
      <c r="BJ56" s="847"/>
      <c r="BK56" s="847"/>
      <c r="BL56" s="847"/>
      <c r="BM56" s="847"/>
      <c r="BN56" s="847"/>
      <c r="BO56" s="847"/>
      <c r="BP56" s="847"/>
      <c r="BQ56" s="847"/>
      <c r="BR56" s="847"/>
      <c r="BS56" s="847"/>
      <c r="BT56" s="847"/>
      <c r="BU56" s="847"/>
      <c r="BV56" s="847"/>
      <c r="BW56" s="847"/>
      <c r="BX56" s="847"/>
      <c r="BY56" s="847"/>
      <c r="BZ56" s="847"/>
      <c r="CA56" s="847"/>
      <c r="CB56" s="847"/>
      <c r="CC56" s="847"/>
      <c r="CD56" s="847"/>
      <c r="CE56" s="847"/>
      <c r="CF56" s="847"/>
      <c r="CG56" s="847"/>
      <c r="CH56" s="847"/>
      <c r="CI56" s="847"/>
      <c r="CJ56" s="847"/>
      <c r="CK56" s="847"/>
      <c r="CL56" s="847"/>
      <c r="CM56" s="847"/>
      <c r="CN56" s="847"/>
      <c r="CO56" s="847"/>
      <c r="CP56" s="847"/>
      <c r="CQ56" s="847"/>
      <c r="CR56" s="847"/>
      <c r="CS56" s="847"/>
      <c r="CT56" s="847"/>
      <c r="CU56" s="847"/>
      <c r="CV56" s="847"/>
      <c r="CW56" s="847"/>
      <c r="CX56" s="847"/>
      <c r="CY56" s="847"/>
      <c r="CZ56" s="847"/>
      <c r="DA56" s="847"/>
      <c r="DB56" s="847"/>
      <c r="DC56" s="847"/>
      <c r="DD56" s="847"/>
      <c r="DE56" s="847"/>
      <c r="DF56" s="847"/>
    </row>
    <row r="57" spans="1:110" ht="19.5" hidden="1" thickBot="1">
      <c r="A57" s="19">
        <v>25</v>
      </c>
      <c r="B57" s="20" t="s">
        <v>67</v>
      </c>
      <c r="C57" s="48">
        <v>2</v>
      </c>
      <c r="D57" s="34"/>
      <c r="E57" s="56">
        <v>0</v>
      </c>
      <c r="F57" s="56"/>
      <c r="G57" s="56"/>
      <c r="H57" s="34"/>
      <c r="I57" s="56"/>
      <c r="J57" s="44"/>
      <c r="K57" s="116"/>
      <c r="L57" s="34"/>
      <c r="M57" s="34"/>
      <c r="N57" s="56">
        <v>0</v>
      </c>
      <c r="O57" s="34"/>
      <c r="P57" s="34"/>
      <c r="Q57" s="34">
        <v>100</v>
      </c>
      <c r="R57" s="34"/>
      <c r="S57" s="34"/>
      <c r="T57" s="34"/>
      <c r="U57" s="45"/>
      <c r="V57" s="69"/>
      <c r="W57" s="69"/>
      <c r="X57" s="69"/>
      <c r="Y57" s="69"/>
      <c r="Z57" s="59"/>
      <c r="AA57" s="34"/>
      <c r="AB57" s="34"/>
      <c r="AC57" s="21"/>
      <c r="AD57" s="34"/>
      <c r="AE57" s="45"/>
      <c r="AF57" s="105"/>
      <c r="AG57" s="847"/>
      <c r="AH57" s="847"/>
      <c r="AI57" s="847"/>
      <c r="AJ57" s="847"/>
      <c r="AK57" s="847"/>
      <c r="AL57" s="847"/>
      <c r="AM57" s="847"/>
      <c r="AN57" s="847"/>
      <c r="AO57" s="847"/>
      <c r="AP57" s="847"/>
      <c r="AQ57" s="847"/>
      <c r="AR57" s="847"/>
      <c r="AS57" s="847"/>
      <c r="AT57" s="847"/>
      <c r="AU57" s="847"/>
      <c r="AV57" s="847"/>
      <c r="AW57" s="847"/>
      <c r="AX57" s="847"/>
      <c r="AY57" s="847"/>
      <c r="AZ57" s="847"/>
      <c r="BA57" s="847"/>
      <c r="BB57" s="847"/>
      <c r="BC57" s="847"/>
      <c r="BD57" s="847"/>
      <c r="BE57" s="847"/>
      <c r="BF57" s="847"/>
      <c r="BG57" s="847"/>
      <c r="BH57" s="847"/>
      <c r="BI57" s="847"/>
      <c r="BJ57" s="847"/>
      <c r="BK57" s="847"/>
      <c r="BL57" s="847"/>
      <c r="BM57" s="847"/>
      <c r="BN57" s="847"/>
      <c r="BO57" s="847"/>
      <c r="BP57" s="847"/>
      <c r="BQ57" s="847"/>
      <c r="BR57" s="847"/>
      <c r="BS57" s="847"/>
      <c r="BT57" s="847"/>
      <c r="BU57" s="847"/>
      <c r="BV57" s="847"/>
      <c r="BW57" s="847"/>
      <c r="BX57" s="847"/>
      <c r="BY57" s="847"/>
      <c r="BZ57" s="847"/>
      <c r="CA57" s="847"/>
      <c r="CB57" s="847"/>
      <c r="CC57" s="847"/>
      <c r="CD57" s="847"/>
      <c r="CE57" s="847"/>
      <c r="CF57" s="847"/>
      <c r="CG57" s="847"/>
      <c r="CH57" s="847"/>
      <c r="CI57" s="847"/>
      <c r="CJ57" s="847"/>
      <c r="CK57" s="847"/>
      <c r="CL57" s="847"/>
      <c r="CM57" s="847"/>
      <c r="CN57" s="847"/>
      <c r="CO57" s="847"/>
      <c r="CP57" s="847"/>
      <c r="CQ57" s="847"/>
      <c r="CR57" s="847"/>
      <c r="CS57" s="847"/>
      <c r="CT57" s="847"/>
      <c r="CU57" s="847"/>
      <c r="CV57" s="847"/>
      <c r="CW57" s="847"/>
      <c r="CX57" s="847"/>
      <c r="CY57" s="847"/>
      <c r="CZ57" s="847"/>
      <c r="DA57" s="847"/>
      <c r="DB57" s="847"/>
      <c r="DC57" s="847"/>
      <c r="DD57" s="847"/>
      <c r="DE57" s="847"/>
      <c r="DF57" s="847"/>
    </row>
    <row r="58" spans="1:110" s="27" customFormat="1" ht="15.75" hidden="1" customHeight="1" thickBot="1">
      <c r="A58" s="24"/>
      <c r="B58" s="25"/>
      <c r="C58" s="50"/>
      <c r="D58" s="36"/>
      <c r="E58" s="57">
        <v>10</v>
      </c>
      <c r="F58" s="57"/>
      <c r="G58" s="57"/>
      <c r="H58" s="36"/>
      <c r="I58" s="57"/>
      <c r="J58" s="46"/>
      <c r="K58" s="117"/>
      <c r="L58" s="36"/>
      <c r="M58" s="36"/>
      <c r="N58" s="57"/>
      <c r="O58" s="36"/>
      <c r="P58" s="36"/>
      <c r="Q58" s="36">
        <v>10</v>
      </c>
      <c r="R58" s="36"/>
      <c r="S58" s="36"/>
      <c r="T58" s="36"/>
      <c r="U58" s="47"/>
      <c r="V58" s="57"/>
      <c r="W58" s="57"/>
      <c r="X58" s="57"/>
      <c r="Y58" s="57"/>
      <c r="Z58" s="60"/>
      <c r="AA58" s="36"/>
      <c r="AB58" s="36"/>
      <c r="AC58" s="26"/>
      <c r="AD58" s="36"/>
      <c r="AE58" s="47"/>
      <c r="AF58" s="101">
        <f>SUM(C58:AE58)</f>
        <v>20</v>
      </c>
      <c r="AG58" s="847"/>
      <c r="AH58" s="847"/>
      <c r="AI58" s="847"/>
      <c r="AJ58" s="847"/>
      <c r="AK58" s="847"/>
      <c r="AL58" s="847"/>
      <c r="AM58" s="847"/>
      <c r="AN58" s="847"/>
      <c r="AO58" s="847"/>
      <c r="AP58" s="847"/>
      <c r="AQ58" s="847"/>
      <c r="AR58" s="847"/>
      <c r="AS58" s="847"/>
      <c r="AT58" s="847"/>
      <c r="AU58" s="847"/>
      <c r="AV58" s="847"/>
      <c r="AW58" s="847"/>
      <c r="AX58" s="847"/>
      <c r="AY58" s="847"/>
      <c r="AZ58" s="847"/>
      <c r="BA58" s="847"/>
      <c r="BB58" s="847"/>
      <c r="BC58" s="847"/>
      <c r="BD58" s="847"/>
      <c r="BE58" s="847"/>
      <c r="BF58" s="847"/>
      <c r="BG58" s="847"/>
      <c r="BH58" s="847"/>
      <c r="BI58" s="847"/>
      <c r="BJ58" s="847"/>
      <c r="BK58" s="847"/>
      <c r="BL58" s="847"/>
      <c r="BM58" s="847"/>
      <c r="BN58" s="847"/>
      <c r="BO58" s="847"/>
      <c r="BP58" s="847"/>
      <c r="BQ58" s="847"/>
      <c r="BR58" s="847"/>
      <c r="BS58" s="847"/>
      <c r="BT58" s="847"/>
      <c r="BU58" s="847"/>
      <c r="BV58" s="847"/>
      <c r="BW58" s="847"/>
      <c r="BX58" s="847"/>
      <c r="BY58" s="847"/>
      <c r="BZ58" s="847"/>
      <c r="CA58" s="847"/>
      <c r="CB58" s="847"/>
      <c r="CC58" s="847"/>
      <c r="CD58" s="847"/>
      <c r="CE58" s="847"/>
      <c r="CF58" s="847"/>
      <c r="CG58" s="847"/>
      <c r="CH58" s="847"/>
      <c r="CI58" s="847"/>
      <c r="CJ58" s="847"/>
      <c r="CK58" s="847"/>
      <c r="CL58" s="847"/>
      <c r="CM58" s="847"/>
      <c r="CN58" s="847"/>
      <c r="CO58" s="847"/>
      <c r="CP58" s="847"/>
      <c r="CQ58" s="847"/>
      <c r="CR58" s="847"/>
      <c r="CS58" s="847"/>
      <c r="CT58" s="847"/>
      <c r="CU58" s="847"/>
      <c r="CV58" s="847"/>
      <c r="CW58" s="847"/>
      <c r="CX58" s="847"/>
      <c r="CY58" s="847"/>
      <c r="CZ58" s="847"/>
      <c r="DA58" s="847"/>
      <c r="DB58" s="847"/>
      <c r="DC58" s="847"/>
      <c r="DD58" s="847"/>
      <c r="DE58" s="847"/>
      <c r="DF58" s="847"/>
    </row>
    <row r="59" spans="1:110" ht="18.75">
      <c r="A59" s="19">
        <v>26</v>
      </c>
      <c r="B59" s="20" t="s">
        <v>16</v>
      </c>
      <c r="C59" s="48">
        <v>188</v>
      </c>
      <c r="D59" s="34"/>
      <c r="E59" s="56">
        <v>5</v>
      </c>
      <c r="F59" s="56">
        <v>32</v>
      </c>
      <c r="G59" s="56">
        <v>7</v>
      </c>
      <c r="H59" s="71"/>
      <c r="I59" s="56">
        <v>32</v>
      </c>
      <c r="J59" s="44">
        <v>0</v>
      </c>
      <c r="K59" s="116"/>
      <c r="L59" s="34"/>
      <c r="M59" s="34"/>
      <c r="N59" s="56">
        <v>0</v>
      </c>
      <c r="O59" s="40"/>
      <c r="P59" s="40"/>
      <c r="Q59" s="40">
        <v>0</v>
      </c>
      <c r="R59" s="40"/>
      <c r="S59" s="40"/>
      <c r="T59" s="34"/>
      <c r="U59" s="45"/>
      <c r="V59" s="69"/>
      <c r="W59" s="69"/>
      <c r="X59" s="69"/>
      <c r="Y59" s="69"/>
      <c r="Z59" s="59"/>
      <c r="AA59" s="34"/>
      <c r="AB59" s="34"/>
      <c r="AC59" s="21"/>
      <c r="AD59" s="34"/>
      <c r="AE59" s="45"/>
      <c r="AF59" s="102"/>
      <c r="AG59" s="847"/>
      <c r="AH59" s="847"/>
      <c r="AI59" s="847"/>
      <c r="AJ59" s="847"/>
      <c r="AK59" s="847"/>
      <c r="AL59" s="847"/>
      <c r="AM59" s="847"/>
      <c r="AN59" s="847"/>
      <c r="AO59" s="847"/>
      <c r="AP59" s="847"/>
      <c r="AQ59" s="847"/>
      <c r="AR59" s="847"/>
      <c r="AS59" s="847"/>
      <c r="AT59" s="847"/>
      <c r="AU59" s="847"/>
      <c r="AV59" s="847"/>
      <c r="AW59" s="847"/>
      <c r="AX59" s="847"/>
      <c r="AY59" s="847"/>
      <c r="AZ59" s="847"/>
      <c r="BA59" s="847"/>
      <c r="BB59" s="847"/>
      <c r="BC59" s="847"/>
      <c r="BD59" s="847"/>
      <c r="BE59" s="847"/>
      <c r="BF59" s="847"/>
      <c r="BG59" s="847"/>
      <c r="BH59" s="847"/>
      <c r="BI59" s="847"/>
      <c r="BJ59" s="847"/>
      <c r="BK59" s="847"/>
      <c r="BL59" s="847"/>
      <c r="BM59" s="847"/>
      <c r="BN59" s="847"/>
      <c r="BO59" s="847"/>
      <c r="BP59" s="847"/>
      <c r="BQ59" s="847"/>
      <c r="BR59" s="847"/>
      <c r="BS59" s="847"/>
      <c r="BT59" s="847"/>
      <c r="BU59" s="847"/>
      <c r="BV59" s="847"/>
      <c r="BW59" s="847"/>
      <c r="BX59" s="847"/>
      <c r="BY59" s="847"/>
      <c r="BZ59" s="847"/>
      <c r="CA59" s="847"/>
      <c r="CB59" s="847"/>
      <c r="CC59" s="847"/>
      <c r="CD59" s="847"/>
      <c r="CE59" s="847"/>
      <c r="CF59" s="847"/>
      <c r="CG59" s="847"/>
      <c r="CH59" s="847"/>
      <c r="CI59" s="847"/>
      <c r="CJ59" s="847"/>
      <c r="CK59" s="847"/>
      <c r="CL59" s="847"/>
      <c r="CM59" s="847"/>
      <c r="CN59" s="847"/>
      <c r="CO59" s="847"/>
      <c r="CP59" s="847"/>
      <c r="CQ59" s="847"/>
      <c r="CR59" s="847"/>
      <c r="CS59" s="847"/>
      <c r="CT59" s="847"/>
      <c r="CU59" s="847"/>
      <c r="CV59" s="847"/>
      <c r="CW59" s="847"/>
      <c r="CX59" s="847"/>
      <c r="CY59" s="847"/>
      <c r="CZ59" s="847"/>
      <c r="DA59" s="847"/>
      <c r="DB59" s="847"/>
      <c r="DC59" s="847"/>
      <c r="DD59" s="847"/>
      <c r="DE59" s="847"/>
      <c r="DF59" s="847"/>
    </row>
    <row r="60" spans="1:110" s="27" customFormat="1" ht="19.5" thickBot="1">
      <c r="A60" s="24"/>
      <c r="B60" s="25"/>
      <c r="C60" s="50"/>
      <c r="D60" s="36"/>
      <c r="E60" s="57">
        <v>7</v>
      </c>
      <c r="F60" s="57">
        <v>0</v>
      </c>
      <c r="G60" s="57">
        <v>6</v>
      </c>
      <c r="H60" s="41"/>
      <c r="I60" s="57">
        <v>0</v>
      </c>
      <c r="J60" s="46">
        <v>10</v>
      </c>
      <c r="K60" s="46"/>
      <c r="L60" s="36"/>
      <c r="M60" s="36"/>
      <c r="N60" s="57"/>
      <c r="O60" s="41"/>
      <c r="P60" s="41"/>
      <c r="Q60" s="41"/>
      <c r="R60" s="41"/>
      <c r="S60" s="41"/>
      <c r="T60" s="36"/>
      <c r="U60" s="47"/>
      <c r="V60" s="57"/>
      <c r="W60" s="57"/>
      <c r="X60" s="57"/>
      <c r="Y60" s="57"/>
      <c r="Z60" s="60"/>
      <c r="AA60" s="36"/>
      <c r="AB60" s="36"/>
      <c r="AC60" s="26"/>
      <c r="AD60" s="36"/>
      <c r="AE60" s="47"/>
      <c r="AF60" s="103">
        <f>SUM(C60:AE60)</f>
        <v>23</v>
      </c>
      <c r="AG60" s="847"/>
      <c r="AH60" s="847"/>
      <c r="AI60" s="847"/>
      <c r="AJ60" s="847"/>
      <c r="AK60" s="847"/>
      <c r="AL60" s="847"/>
      <c r="AM60" s="847"/>
      <c r="AN60" s="847"/>
      <c r="AO60" s="847"/>
      <c r="AP60" s="847"/>
      <c r="AQ60" s="847"/>
      <c r="AR60" s="847"/>
      <c r="AS60" s="847"/>
      <c r="AT60" s="847"/>
      <c r="AU60" s="847"/>
      <c r="AV60" s="847"/>
      <c r="AW60" s="847"/>
      <c r="AX60" s="847"/>
      <c r="AY60" s="847"/>
      <c r="AZ60" s="847"/>
      <c r="BA60" s="847"/>
      <c r="BB60" s="847"/>
      <c r="BC60" s="847"/>
      <c r="BD60" s="847"/>
      <c r="BE60" s="847"/>
      <c r="BF60" s="847"/>
      <c r="BG60" s="847"/>
      <c r="BH60" s="847"/>
      <c r="BI60" s="847"/>
      <c r="BJ60" s="847"/>
      <c r="BK60" s="847"/>
      <c r="BL60" s="847"/>
      <c r="BM60" s="847"/>
      <c r="BN60" s="847"/>
      <c r="BO60" s="847"/>
      <c r="BP60" s="847"/>
      <c r="BQ60" s="847"/>
      <c r="BR60" s="847"/>
      <c r="BS60" s="847"/>
      <c r="BT60" s="847"/>
      <c r="BU60" s="847"/>
      <c r="BV60" s="847"/>
      <c r="BW60" s="847"/>
      <c r="BX60" s="847"/>
      <c r="BY60" s="847"/>
      <c r="BZ60" s="847"/>
      <c r="CA60" s="847"/>
      <c r="CB60" s="847"/>
      <c r="CC60" s="847"/>
      <c r="CD60" s="847"/>
      <c r="CE60" s="847"/>
      <c r="CF60" s="847"/>
      <c r="CG60" s="847"/>
      <c r="CH60" s="847"/>
      <c r="CI60" s="847"/>
      <c r="CJ60" s="847"/>
      <c r="CK60" s="847"/>
      <c r="CL60" s="847"/>
      <c r="CM60" s="847"/>
      <c r="CN60" s="847"/>
      <c r="CO60" s="847"/>
      <c r="CP60" s="847"/>
      <c r="CQ60" s="847"/>
      <c r="CR60" s="847"/>
      <c r="CS60" s="847"/>
      <c r="CT60" s="847"/>
      <c r="CU60" s="847"/>
      <c r="CV60" s="847"/>
      <c r="CW60" s="847"/>
      <c r="CX60" s="847"/>
      <c r="CY60" s="847"/>
      <c r="CZ60" s="847"/>
      <c r="DA60" s="847"/>
      <c r="DB60" s="847"/>
      <c r="DC60" s="847"/>
      <c r="DD60" s="847"/>
      <c r="DE60" s="847"/>
      <c r="DF60" s="847"/>
    </row>
    <row r="61" spans="1:110" s="3" customFormat="1" ht="18.75" hidden="1">
      <c r="A61" s="19">
        <v>27</v>
      </c>
      <c r="B61" s="20" t="s">
        <v>68</v>
      </c>
      <c r="C61" s="48">
        <v>1</v>
      </c>
      <c r="D61" s="37"/>
      <c r="E61" s="58"/>
      <c r="F61" s="58"/>
      <c r="G61" s="58"/>
      <c r="H61" s="37"/>
      <c r="I61" s="58"/>
      <c r="J61" s="110"/>
      <c r="K61" s="110"/>
      <c r="L61" s="37"/>
      <c r="M61" s="37"/>
      <c r="N61" s="56">
        <v>0</v>
      </c>
      <c r="O61" s="40"/>
      <c r="P61" s="40"/>
      <c r="Q61" s="40">
        <v>0</v>
      </c>
      <c r="R61" s="40"/>
      <c r="S61" s="40"/>
      <c r="T61" s="34"/>
      <c r="U61" s="49"/>
      <c r="V61" s="69"/>
      <c r="W61" s="69"/>
      <c r="X61" s="69"/>
      <c r="Y61" s="69"/>
      <c r="Z61" s="59"/>
      <c r="AA61" s="40"/>
      <c r="AB61" s="40"/>
      <c r="AC61" s="21"/>
      <c r="AD61" s="40"/>
      <c r="AE61" s="49"/>
      <c r="AF61" s="104"/>
      <c r="AG61" s="847"/>
      <c r="AH61" s="847"/>
      <c r="AI61" s="847"/>
      <c r="AJ61" s="847"/>
      <c r="AK61" s="847"/>
      <c r="AL61" s="847"/>
      <c r="AM61" s="847"/>
      <c r="AN61" s="847"/>
      <c r="AO61" s="847"/>
      <c r="AP61" s="847"/>
      <c r="AQ61" s="847"/>
      <c r="AR61" s="847"/>
      <c r="AS61" s="847"/>
      <c r="AT61" s="847"/>
      <c r="AU61" s="847"/>
      <c r="AV61" s="847"/>
      <c r="AW61" s="847"/>
      <c r="AX61" s="847"/>
      <c r="AY61" s="847"/>
      <c r="AZ61" s="847"/>
      <c r="BA61" s="847"/>
      <c r="BB61" s="847"/>
      <c r="BC61" s="847"/>
      <c r="BD61" s="847"/>
      <c r="BE61" s="847"/>
      <c r="BF61" s="847"/>
      <c r="BG61" s="847"/>
      <c r="BH61" s="847"/>
      <c r="BI61" s="847"/>
      <c r="BJ61" s="847"/>
      <c r="BK61" s="847"/>
      <c r="BL61" s="847"/>
      <c r="BM61" s="847"/>
      <c r="BN61" s="847"/>
      <c r="BO61" s="847"/>
      <c r="BP61" s="847"/>
      <c r="BQ61" s="847"/>
      <c r="BR61" s="847"/>
      <c r="BS61" s="847"/>
      <c r="BT61" s="847"/>
      <c r="BU61" s="847"/>
      <c r="BV61" s="847"/>
      <c r="BW61" s="847"/>
      <c r="BX61" s="847"/>
      <c r="BY61" s="847"/>
      <c r="BZ61" s="847"/>
      <c r="CA61" s="847"/>
      <c r="CB61" s="847"/>
      <c r="CC61" s="847"/>
      <c r="CD61" s="847"/>
      <c r="CE61" s="847"/>
      <c r="CF61" s="847"/>
      <c r="CG61" s="847"/>
      <c r="CH61" s="847"/>
      <c r="CI61" s="847"/>
      <c r="CJ61" s="847"/>
      <c r="CK61" s="847"/>
      <c r="CL61" s="847"/>
      <c r="CM61" s="847"/>
      <c r="CN61" s="847"/>
      <c r="CO61" s="847"/>
      <c r="CP61" s="847"/>
      <c r="CQ61" s="847"/>
      <c r="CR61" s="847"/>
      <c r="CS61" s="847"/>
      <c r="CT61" s="847"/>
      <c r="CU61" s="847"/>
      <c r="CV61" s="847"/>
      <c r="CW61" s="847"/>
      <c r="CX61" s="847"/>
      <c r="CY61" s="847"/>
      <c r="CZ61" s="847"/>
      <c r="DA61" s="847"/>
      <c r="DB61" s="847"/>
      <c r="DC61" s="847"/>
      <c r="DD61" s="847"/>
      <c r="DE61" s="847"/>
      <c r="DF61" s="847"/>
    </row>
    <row r="62" spans="1:110" s="31" customFormat="1" ht="17.25" hidden="1" customHeight="1" thickBot="1">
      <c r="A62" s="24"/>
      <c r="B62" s="25"/>
      <c r="C62" s="50"/>
      <c r="D62" s="38"/>
      <c r="E62" s="65"/>
      <c r="F62" s="65"/>
      <c r="G62" s="65"/>
      <c r="H62" s="38"/>
      <c r="I62" s="65"/>
      <c r="J62" s="114"/>
      <c r="K62" s="114"/>
      <c r="L62" s="38"/>
      <c r="M62" s="38"/>
      <c r="N62" s="57"/>
      <c r="O62" s="41"/>
      <c r="P62" s="41"/>
      <c r="Q62" s="41"/>
      <c r="R62" s="41"/>
      <c r="S62" s="41"/>
      <c r="T62" s="36"/>
      <c r="U62" s="51"/>
      <c r="V62" s="57"/>
      <c r="W62" s="57"/>
      <c r="X62" s="57"/>
      <c r="Y62" s="57"/>
      <c r="Z62" s="60"/>
      <c r="AA62" s="41"/>
      <c r="AB62" s="41"/>
      <c r="AC62" s="26"/>
      <c r="AD62" s="41"/>
      <c r="AE62" s="51"/>
      <c r="AF62" s="101">
        <f>SUM(C62:AE62)</f>
        <v>0</v>
      </c>
      <c r="AG62" s="847"/>
      <c r="AH62" s="847"/>
      <c r="AI62" s="847"/>
      <c r="AJ62" s="847"/>
      <c r="AK62" s="847"/>
      <c r="AL62" s="847"/>
      <c r="AM62" s="847"/>
      <c r="AN62" s="847"/>
      <c r="AO62" s="847"/>
      <c r="AP62" s="847"/>
      <c r="AQ62" s="847"/>
      <c r="AR62" s="847"/>
      <c r="AS62" s="847"/>
      <c r="AT62" s="847"/>
      <c r="AU62" s="847"/>
      <c r="AV62" s="847"/>
      <c r="AW62" s="847"/>
      <c r="AX62" s="847"/>
      <c r="AY62" s="847"/>
      <c r="AZ62" s="847"/>
      <c r="BA62" s="847"/>
      <c r="BB62" s="847"/>
      <c r="BC62" s="847"/>
      <c r="BD62" s="847"/>
      <c r="BE62" s="847"/>
      <c r="BF62" s="847"/>
      <c r="BG62" s="847"/>
      <c r="BH62" s="847"/>
      <c r="BI62" s="847"/>
      <c r="BJ62" s="847"/>
      <c r="BK62" s="847"/>
      <c r="BL62" s="847"/>
      <c r="BM62" s="847"/>
      <c r="BN62" s="847"/>
      <c r="BO62" s="847"/>
      <c r="BP62" s="847"/>
      <c r="BQ62" s="847"/>
      <c r="BR62" s="847"/>
      <c r="BS62" s="847"/>
      <c r="BT62" s="847"/>
      <c r="BU62" s="847"/>
      <c r="BV62" s="847"/>
      <c r="BW62" s="847"/>
      <c r="BX62" s="847"/>
      <c r="BY62" s="847"/>
      <c r="BZ62" s="847"/>
      <c r="CA62" s="847"/>
      <c r="CB62" s="847"/>
      <c r="CC62" s="847"/>
      <c r="CD62" s="847"/>
      <c r="CE62" s="847"/>
      <c r="CF62" s="847"/>
      <c r="CG62" s="847"/>
      <c r="CH62" s="847"/>
      <c r="CI62" s="847"/>
      <c r="CJ62" s="847"/>
      <c r="CK62" s="847"/>
      <c r="CL62" s="847"/>
      <c r="CM62" s="847"/>
      <c r="CN62" s="847"/>
      <c r="CO62" s="847"/>
      <c r="CP62" s="847"/>
      <c r="CQ62" s="847"/>
      <c r="CR62" s="847"/>
      <c r="CS62" s="847"/>
      <c r="CT62" s="847"/>
      <c r="CU62" s="847"/>
      <c r="CV62" s="847"/>
      <c r="CW62" s="847"/>
      <c r="CX62" s="847"/>
      <c r="CY62" s="847"/>
      <c r="CZ62" s="847"/>
      <c r="DA62" s="847"/>
      <c r="DB62" s="847"/>
      <c r="DC62" s="847"/>
      <c r="DD62" s="847"/>
      <c r="DE62" s="847"/>
      <c r="DF62" s="847"/>
    </row>
    <row r="63" spans="1:110" ht="28.5" hidden="1">
      <c r="A63" s="19">
        <v>28</v>
      </c>
      <c r="B63" s="20" t="s">
        <v>69</v>
      </c>
      <c r="C63" s="48">
        <v>2</v>
      </c>
      <c r="D63" s="34"/>
      <c r="E63" s="56">
        <v>0</v>
      </c>
      <c r="F63" s="56">
        <v>0</v>
      </c>
      <c r="G63" s="56">
        <v>0</v>
      </c>
      <c r="H63" s="34"/>
      <c r="I63" s="56">
        <v>0</v>
      </c>
      <c r="J63" s="44">
        <v>0</v>
      </c>
      <c r="K63" s="44"/>
      <c r="L63" s="34"/>
      <c r="M63" s="34"/>
      <c r="N63" s="56">
        <v>2</v>
      </c>
      <c r="O63" s="34"/>
      <c r="P63" s="34"/>
      <c r="Q63" s="34">
        <v>0</v>
      </c>
      <c r="R63" s="34"/>
      <c r="S63" s="34"/>
      <c r="T63" s="34"/>
      <c r="U63" s="45"/>
      <c r="V63" s="69"/>
      <c r="W63" s="69"/>
      <c r="X63" s="69"/>
      <c r="Y63" s="69"/>
      <c r="Z63" s="59"/>
      <c r="AA63" s="34"/>
      <c r="AB63" s="34"/>
      <c r="AC63" s="21"/>
      <c r="AD63" s="34"/>
      <c r="AE63" s="45"/>
      <c r="AF63" s="102"/>
      <c r="AG63" s="847"/>
      <c r="AH63" s="847"/>
      <c r="AI63" s="847"/>
      <c r="AJ63" s="847"/>
      <c r="AK63" s="847"/>
      <c r="AL63" s="847"/>
      <c r="AM63" s="847"/>
      <c r="AN63" s="847"/>
      <c r="AO63" s="847"/>
      <c r="AP63" s="847"/>
      <c r="AQ63" s="847"/>
      <c r="AR63" s="847"/>
      <c r="AS63" s="847"/>
      <c r="AT63" s="847"/>
      <c r="AU63" s="847"/>
      <c r="AV63" s="847"/>
      <c r="AW63" s="847"/>
      <c r="AX63" s="847"/>
      <c r="AY63" s="847"/>
      <c r="AZ63" s="847"/>
      <c r="BA63" s="847"/>
      <c r="BB63" s="847"/>
      <c r="BC63" s="847"/>
      <c r="BD63" s="847"/>
      <c r="BE63" s="847"/>
      <c r="BF63" s="847"/>
      <c r="BG63" s="847"/>
      <c r="BH63" s="847"/>
      <c r="BI63" s="847"/>
      <c r="BJ63" s="847"/>
      <c r="BK63" s="847"/>
      <c r="BL63" s="847"/>
      <c r="BM63" s="847"/>
      <c r="BN63" s="847"/>
      <c r="BO63" s="847"/>
      <c r="BP63" s="847"/>
      <c r="BQ63" s="847"/>
      <c r="BR63" s="847"/>
      <c r="BS63" s="847"/>
      <c r="BT63" s="847"/>
      <c r="BU63" s="847"/>
      <c r="BV63" s="847"/>
      <c r="BW63" s="847"/>
      <c r="BX63" s="847"/>
      <c r="BY63" s="847"/>
      <c r="BZ63" s="847"/>
      <c r="CA63" s="847"/>
      <c r="CB63" s="847"/>
      <c r="CC63" s="847"/>
      <c r="CD63" s="847"/>
      <c r="CE63" s="847"/>
      <c r="CF63" s="847"/>
      <c r="CG63" s="847"/>
      <c r="CH63" s="847"/>
      <c r="CI63" s="847"/>
      <c r="CJ63" s="847"/>
      <c r="CK63" s="847"/>
      <c r="CL63" s="847"/>
      <c r="CM63" s="847"/>
      <c r="CN63" s="847"/>
      <c r="CO63" s="847"/>
      <c r="CP63" s="847"/>
      <c r="CQ63" s="847"/>
      <c r="CR63" s="847"/>
      <c r="CS63" s="847"/>
      <c r="CT63" s="847"/>
      <c r="CU63" s="847"/>
      <c r="CV63" s="847"/>
      <c r="CW63" s="847"/>
      <c r="CX63" s="847"/>
      <c r="CY63" s="847"/>
      <c r="CZ63" s="847"/>
      <c r="DA63" s="847"/>
      <c r="DB63" s="847"/>
      <c r="DC63" s="847"/>
      <c r="DD63" s="847"/>
      <c r="DE63" s="847"/>
      <c r="DF63" s="847"/>
    </row>
    <row r="64" spans="1:110" s="27" customFormat="1" ht="16.5" hidden="1" customHeight="1" thickBot="1">
      <c r="A64" s="24"/>
      <c r="B64" s="25"/>
      <c r="C64" s="50"/>
      <c r="D64" s="36"/>
      <c r="E64" s="57">
        <v>10</v>
      </c>
      <c r="F64" s="57">
        <v>10</v>
      </c>
      <c r="G64" s="57">
        <v>10</v>
      </c>
      <c r="H64" s="36"/>
      <c r="I64" s="57">
        <v>10</v>
      </c>
      <c r="J64" s="46">
        <v>10</v>
      </c>
      <c r="K64" s="46"/>
      <c r="L64" s="36"/>
      <c r="M64" s="36"/>
      <c r="N64" s="57"/>
      <c r="O64" s="36"/>
      <c r="P64" s="36"/>
      <c r="Q64" s="36"/>
      <c r="R64" s="36"/>
      <c r="S64" s="36"/>
      <c r="T64" s="36"/>
      <c r="U64" s="47"/>
      <c r="V64" s="57"/>
      <c r="W64" s="57"/>
      <c r="X64" s="57"/>
      <c r="Y64" s="57"/>
      <c r="Z64" s="60"/>
      <c r="AA64" s="36"/>
      <c r="AB64" s="36"/>
      <c r="AC64" s="26"/>
      <c r="AD64" s="36"/>
      <c r="AE64" s="47"/>
      <c r="AF64" s="103">
        <f>SUM(C64:AE64)</f>
        <v>50</v>
      </c>
      <c r="AG64" s="847"/>
      <c r="AH64" s="847"/>
      <c r="AI64" s="847"/>
      <c r="AJ64" s="847"/>
      <c r="AK64" s="847"/>
      <c r="AL64" s="847"/>
      <c r="AM64" s="847"/>
      <c r="AN64" s="847"/>
      <c r="AO64" s="847"/>
      <c r="AP64" s="847"/>
      <c r="AQ64" s="847"/>
      <c r="AR64" s="847"/>
      <c r="AS64" s="847"/>
      <c r="AT64" s="847"/>
      <c r="AU64" s="847"/>
      <c r="AV64" s="847"/>
      <c r="AW64" s="847"/>
      <c r="AX64" s="847"/>
      <c r="AY64" s="847"/>
      <c r="AZ64" s="847"/>
      <c r="BA64" s="847"/>
      <c r="BB64" s="847"/>
      <c r="BC64" s="847"/>
      <c r="BD64" s="847"/>
      <c r="BE64" s="847"/>
      <c r="BF64" s="847"/>
      <c r="BG64" s="847"/>
      <c r="BH64" s="847"/>
      <c r="BI64" s="847"/>
      <c r="BJ64" s="847"/>
      <c r="BK64" s="847"/>
      <c r="BL64" s="847"/>
      <c r="BM64" s="847"/>
      <c r="BN64" s="847"/>
      <c r="BO64" s="847"/>
      <c r="BP64" s="847"/>
      <c r="BQ64" s="847"/>
      <c r="BR64" s="847"/>
      <c r="BS64" s="847"/>
      <c r="BT64" s="847"/>
      <c r="BU64" s="847"/>
      <c r="BV64" s="847"/>
      <c r="BW64" s="847"/>
      <c r="BX64" s="847"/>
      <c r="BY64" s="847"/>
      <c r="BZ64" s="847"/>
      <c r="CA64" s="847"/>
      <c r="CB64" s="847"/>
      <c r="CC64" s="847"/>
      <c r="CD64" s="847"/>
      <c r="CE64" s="847"/>
      <c r="CF64" s="847"/>
      <c r="CG64" s="847"/>
      <c r="CH64" s="847"/>
      <c r="CI64" s="847"/>
      <c r="CJ64" s="847"/>
      <c r="CK64" s="847"/>
      <c r="CL64" s="847"/>
      <c r="CM64" s="847"/>
      <c r="CN64" s="847"/>
      <c r="CO64" s="847"/>
      <c r="CP64" s="847"/>
      <c r="CQ64" s="847"/>
      <c r="CR64" s="847"/>
      <c r="CS64" s="847"/>
      <c r="CT64" s="847"/>
      <c r="CU64" s="847"/>
      <c r="CV64" s="847"/>
      <c r="CW64" s="847"/>
      <c r="CX64" s="847"/>
      <c r="CY64" s="847"/>
      <c r="CZ64" s="847"/>
      <c r="DA64" s="847"/>
      <c r="DB64" s="847"/>
      <c r="DC64" s="847"/>
      <c r="DD64" s="847"/>
      <c r="DE64" s="847"/>
      <c r="DF64" s="847"/>
    </row>
    <row r="65" spans="1:110" ht="18.75" hidden="1">
      <c r="A65" s="19">
        <v>29</v>
      </c>
      <c r="B65" s="20" t="s">
        <v>70</v>
      </c>
      <c r="C65" s="48">
        <v>145</v>
      </c>
      <c r="D65" s="40"/>
      <c r="E65" s="56"/>
      <c r="F65" s="56"/>
      <c r="G65" s="56"/>
      <c r="H65" s="40"/>
      <c r="I65" s="56"/>
      <c r="J65" s="40"/>
      <c r="K65" s="40"/>
      <c r="L65" s="40"/>
      <c r="M65" s="40"/>
      <c r="N65" s="56">
        <v>0</v>
      </c>
      <c r="O65" s="40"/>
      <c r="P65" s="40"/>
      <c r="Q65" s="40">
        <v>0</v>
      </c>
      <c r="R65" s="40"/>
      <c r="S65" s="40"/>
      <c r="T65" s="40"/>
      <c r="U65" s="49"/>
      <c r="V65" s="69"/>
      <c r="W65" s="69"/>
      <c r="X65" s="69"/>
      <c r="Y65" s="69"/>
      <c r="Z65" s="59"/>
      <c r="AA65" s="40"/>
      <c r="AB65" s="40"/>
      <c r="AC65" s="21"/>
      <c r="AD65" s="40"/>
      <c r="AE65" s="49"/>
      <c r="AF65" s="104"/>
      <c r="AG65" s="847"/>
      <c r="AH65" s="847"/>
      <c r="AI65" s="847"/>
      <c r="AJ65" s="847"/>
      <c r="AK65" s="847"/>
      <c r="AL65" s="847"/>
      <c r="AM65" s="847"/>
      <c r="AN65" s="847"/>
      <c r="AO65" s="847"/>
      <c r="AP65" s="847"/>
      <c r="AQ65" s="847"/>
      <c r="AR65" s="847"/>
      <c r="AS65" s="847"/>
      <c r="AT65" s="847"/>
      <c r="AU65" s="847"/>
      <c r="AV65" s="847"/>
      <c r="AW65" s="847"/>
      <c r="AX65" s="847"/>
      <c r="AY65" s="847"/>
      <c r="AZ65" s="847"/>
      <c r="BA65" s="847"/>
      <c r="BB65" s="847"/>
      <c r="BC65" s="847"/>
      <c r="BD65" s="847"/>
      <c r="BE65" s="847"/>
      <c r="BF65" s="847"/>
      <c r="BG65" s="847"/>
      <c r="BH65" s="847"/>
      <c r="BI65" s="847"/>
      <c r="BJ65" s="847"/>
      <c r="BK65" s="847"/>
      <c r="BL65" s="847"/>
      <c r="BM65" s="847"/>
      <c r="BN65" s="847"/>
      <c r="BO65" s="847"/>
      <c r="BP65" s="847"/>
      <c r="BQ65" s="847"/>
      <c r="BR65" s="847"/>
      <c r="BS65" s="847"/>
      <c r="BT65" s="847"/>
      <c r="BU65" s="847"/>
      <c r="BV65" s="847"/>
      <c r="BW65" s="847"/>
      <c r="BX65" s="847"/>
      <c r="BY65" s="847"/>
      <c r="BZ65" s="847"/>
      <c r="CA65" s="847"/>
      <c r="CB65" s="847"/>
      <c r="CC65" s="847"/>
      <c r="CD65" s="847"/>
      <c r="CE65" s="847"/>
      <c r="CF65" s="847"/>
      <c r="CG65" s="847"/>
      <c r="CH65" s="847"/>
      <c r="CI65" s="847"/>
      <c r="CJ65" s="847"/>
      <c r="CK65" s="847"/>
      <c r="CL65" s="847"/>
      <c r="CM65" s="847"/>
      <c r="CN65" s="847"/>
      <c r="CO65" s="847"/>
      <c r="CP65" s="847"/>
      <c r="CQ65" s="847"/>
      <c r="CR65" s="847"/>
      <c r="CS65" s="847"/>
      <c r="CT65" s="847"/>
      <c r="CU65" s="847"/>
      <c r="CV65" s="847"/>
      <c r="CW65" s="847"/>
      <c r="CX65" s="847"/>
      <c r="CY65" s="847"/>
      <c r="CZ65" s="847"/>
      <c r="DA65" s="847"/>
      <c r="DB65" s="847"/>
      <c r="DC65" s="847"/>
      <c r="DD65" s="847"/>
      <c r="DE65" s="847"/>
      <c r="DF65" s="847"/>
    </row>
    <row r="66" spans="1:110" s="31" customFormat="1" ht="16.5" hidden="1" customHeight="1" thickBot="1">
      <c r="A66" s="24"/>
      <c r="B66" s="25"/>
      <c r="C66" s="38"/>
      <c r="D66" s="43"/>
      <c r="E66" s="65"/>
      <c r="F66" s="65"/>
      <c r="G66" s="65"/>
      <c r="H66" s="38"/>
      <c r="I66" s="65"/>
      <c r="J66" s="38"/>
      <c r="K66" s="38"/>
      <c r="L66" s="38"/>
      <c r="M66" s="38"/>
      <c r="N66" s="57"/>
      <c r="O66" s="36"/>
      <c r="P66" s="36"/>
      <c r="Q66" s="41"/>
      <c r="R66" s="41"/>
      <c r="S66" s="41"/>
      <c r="T66" s="36"/>
      <c r="U66" s="47"/>
      <c r="V66" s="57"/>
      <c r="W66" s="57"/>
      <c r="X66" s="57"/>
      <c r="Y66" s="57"/>
      <c r="Z66" s="60"/>
      <c r="AA66" s="36"/>
      <c r="AB66" s="36"/>
      <c r="AC66" s="26"/>
      <c r="AD66" s="36"/>
      <c r="AE66" s="47"/>
      <c r="AF66" s="103">
        <f>SUM(C66:AE66)</f>
        <v>0</v>
      </c>
      <c r="AG66" s="847"/>
      <c r="AH66" s="847"/>
      <c r="AI66" s="847"/>
      <c r="AJ66" s="847"/>
      <c r="AK66" s="847"/>
      <c r="AL66" s="847"/>
      <c r="AM66" s="847"/>
      <c r="AN66" s="847"/>
      <c r="AO66" s="847"/>
      <c r="AP66" s="847"/>
      <c r="AQ66" s="847"/>
      <c r="AR66" s="847"/>
      <c r="AS66" s="847"/>
      <c r="AT66" s="847"/>
      <c r="AU66" s="847"/>
      <c r="AV66" s="847"/>
      <c r="AW66" s="847"/>
      <c r="AX66" s="847"/>
      <c r="AY66" s="847"/>
      <c r="AZ66" s="847"/>
      <c r="BA66" s="847"/>
      <c r="BB66" s="847"/>
      <c r="BC66" s="847"/>
      <c r="BD66" s="847"/>
      <c r="BE66" s="847"/>
      <c r="BF66" s="847"/>
      <c r="BG66" s="847"/>
      <c r="BH66" s="847"/>
      <c r="BI66" s="847"/>
      <c r="BJ66" s="847"/>
      <c r="BK66" s="847"/>
      <c r="BL66" s="847"/>
      <c r="BM66" s="847"/>
      <c r="BN66" s="847"/>
      <c r="BO66" s="847"/>
      <c r="BP66" s="847"/>
      <c r="BQ66" s="847"/>
      <c r="BR66" s="847"/>
      <c r="BS66" s="847"/>
      <c r="BT66" s="847"/>
      <c r="BU66" s="847"/>
      <c r="BV66" s="847"/>
      <c r="BW66" s="847"/>
      <c r="BX66" s="847"/>
      <c r="BY66" s="847"/>
      <c r="BZ66" s="847"/>
      <c r="CA66" s="847"/>
      <c r="CB66" s="847"/>
      <c r="CC66" s="847"/>
      <c r="CD66" s="847"/>
      <c r="CE66" s="847"/>
      <c r="CF66" s="847"/>
      <c r="CG66" s="847"/>
      <c r="CH66" s="847"/>
      <c r="CI66" s="847"/>
      <c r="CJ66" s="847"/>
      <c r="CK66" s="847"/>
      <c r="CL66" s="847"/>
      <c r="CM66" s="847"/>
      <c r="CN66" s="847"/>
      <c r="CO66" s="847"/>
      <c r="CP66" s="847"/>
      <c r="CQ66" s="847"/>
      <c r="CR66" s="847"/>
      <c r="CS66" s="847"/>
      <c r="CT66" s="847"/>
      <c r="CU66" s="847"/>
      <c r="CV66" s="847"/>
      <c r="CW66" s="847"/>
      <c r="CX66" s="847"/>
      <c r="CY66" s="847"/>
      <c r="CZ66" s="847"/>
      <c r="DA66" s="847"/>
      <c r="DB66" s="847"/>
      <c r="DC66" s="847"/>
      <c r="DD66" s="847"/>
      <c r="DE66" s="847"/>
      <c r="DF66" s="847"/>
    </row>
    <row r="67" spans="1:110" s="4" customFormat="1" ht="12.75">
      <c r="A67" s="857"/>
      <c r="B67" s="858"/>
      <c r="C67" s="858"/>
      <c r="D67" s="858"/>
      <c r="E67" s="858"/>
      <c r="F67" s="858"/>
      <c r="G67" s="858"/>
      <c r="H67" s="858"/>
      <c r="I67" s="858"/>
      <c r="J67" s="858"/>
      <c r="K67" s="858"/>
      <c r="L67" s="858"/>
      <c r="M67" s="858"/>
      <c r="N67" s="858"/>
      <c r="O67" s="858"/>
      <c r="P67" s="858"/>
      <c r="Q67" s="858"/>
      <c r="R67" s="858"/>
      <c r="S67" s="858"/>
      <c r="T67" s="858"/>
      <c r="U67" s="858"/>
      <c r="V67" s="858"/>
      <c r="W67" s="858"/>
      <c r="X67" s="858"/>
      <c r="Y67" s="858"/>
      <c r="Z67" s="858"/>
      <c r="AA67" s="858"/>
      <c r="AB67" s="858"/>
      <c r="AC67" s="858"/>
      <c r="AD67" s="858"/>
      <c r="AE67" s="859"/>
      <c r="AF67" s="83"/>
      <c r="AG67" s="848"/>
      <c r="AH67" s="848"/>
      <c r="AI67" s="848"/>
      <c r="AJ67" s="848"/>
      <c r="AK67" s="848"/>
      <c r="AL67" s="848"/>
      <c r="AM67" s="848"/>
      <c r="AN67" s="848"/>
      <c r="AO67" s="848"/>
      <c r="AP67" s="848"/>
      <c r="AQ67" s="848"/>
      <c r="AR67" s="848"/>
      <c r="AS67" s="848"/>
      <c r="AT67" s="848"/>
      <c r="AU67" s="848"/>
      <c r="AV67" s="848"/>
      <c r="AW67" s="848"/>
      <c r="AX67" s="848"/>
      <c r="AY67" s="848"/>
      <c r="AZ67" s="848"/>
      <c r="BA67" s="848"/>
      <c r="BB67" s="848"/>
      <c r="BC67" s="848"/>
      <c r="BD67" s="848"/>
      <c r="BE67" s="848"/>
      <c r="BF67" s="848"/>
      <c r="BG67" s="848"/>
      <c r="BH67" s="848"/>
      <c r="BI67" s="848"/>
      <c r="BJ67" s="848"/>
      <c r="BK67" s="848"/>
      <c r="BL67" s="848"/>
      <c r="BM67" s="848"/>
      <c r="BN67" s="848"/>
      <c r="BO67" s="848"/>
      <c r="BP67" s="848"/>
      <c r="BQ67" s="848"/>
      <c r="BR67" s="848"/>
      <c r="BS67" s="848"/>
      <c r="BT67" s="848"/>
      <c r="BU67" s="848"/>
      <c r="BV67" s="848"/>
      <c r="BW67" s="848"/>
      <c r="BX67" s="848"/>
      <c r="BY67" s="848"/>
      <c r="BZ67" s="848"/>
      <c r="CA67" s="848"/>
      <c r="CB67" s="848"/>
      <c r="CC67" s="848"/>
      <c r="CD67" s="848"/>
      <c r="CE67" s="848"/>
      <c r="CF67" s="848"/>
      <c r="CG67" s="848"/>
      <c r="CH67" s="848"/>
      <c r="CI67" s="848"/>
      <c r="CJ67" s="848"/>
      <c r="CK67" s="848"/>
      <c r="CL67" s="848"/>
      <c r="CM67" s="848"/>
      <c r="CN67" s="848"/>
      <c r="CO67" s="848"/>
      <c r="CP67" s="848"/>
      <c r="CQ67" s="848"/>
      <c r="CR67" s="848"/>
      <c r="CS67" s="848"/>
      <c r="CT67" s="848"/>
      <c r="CU67" s="848"/>
      <c r="CV67" s="848"/>
      <c r="CW67" s="848"/>
      <c r="CX67" s="848"/>
      <c r="CY67" s="848"/>
      <c r="CZ67" s="848"/>
      <c r="DA67" s="848"/>
      <c r="DB67" s="848"/>
      <c r="DC67" s="848"/>
      <c r="DD67" s="848"/>
      <c r="DE67" s="848"/>
      <c r="DF67" s="848"/>
    </row>
    <row r="68" spans="1:110" ht="12.75">
      <c r="A68" s="860"/>
      <c r="B68" s="858"/>
      <c r="C68" s="858"/>
      <c r="D68" s="858"/>
      <c r="E68" s="858"/>
      <c r="F68" s="858"/>
      <c r="G68" s="858"/>
      <c r="H68" s="858"/>
      <c r="I68" s="858"/>
      <c r="J68" s="858"/>
      <c r="K68" s="858"/>
      <c r="L68" s="858"/>
      <c r="M68" s="858"/>
      <c r="N68" s="858"/>
      <c r="O68" s="858"/>
      <c r="P68" s="858"/>
      <c r="Q68" s="858"/>
      <c r="R68" s="858"/>
      <c r="S68" s="858"/>
      <c r="T68" s="858"/>
      <c r="U68" s="858"/>
      <c r="V68" s="858"/>
      <c r="W68" s="858"/>
      <c r="X68" s="858"/>
      <c r="Y68" s="858"/>
      <c r="Z68" s="858"/>
      <c r="AA68" s="858"/>
      <c r="AB68" s="858"/>
      <c r="AC68" s="858"/>
      <c r="AD68" s="858"/>
      <c r="AE68" s="859"/>
      <c r="AF68" s="83"/>
      <c r="AG68" s="848"/>
      <c r="AH68" s="848"/>
      <c r="AI68" s="848"/>
      <c r="AJ68" s="848"/>
      <c r="AK68" s="848"/>
      <c r="AL68" s="848"/>
      <c r="AM68" s="848"/>
      <c r="AN68" s="848"/>
      <c r="AO68" s="848"/>
      <c r="AP68" s="848"/>
      <c r="AQ68" s="848"/>
      <c r="AR68" s="848"/>
      <c r="AS68" s="848"/>
      <c r="AT68" s="848"/>
      <c r="AU68" s="848"/>
      <c r="AV68" s="848"/>
      <c r="AW68" s="848"/>
      <c r="AX68" s="848"/>
      <c r="AY68" s="848"/>
      <c r="AZ68" s="848"/>
      <c r="BA68" s="848"/>
      <c r="BB68" s="848"/>
      <c r="BC68" s="848"/>
      <c r="BD68" s="848"/>
      <c r="BE68" s="848"/>
      <c r="BF68" s="848"/>
      <c r="BG68" s="848"/>
      <c r="BH68" s="848"/>
      <c r="BI68" s="848"/>
      <c r="BJ68" s="848"/>
      <c r="BK68" s="848"/>
      <c r="BL68" s="848"/>
      <c r="BM68" s="848"/>
      <c r="BN68" s="848"/>
      <c r="BO68" s="848"/>
      <c r="BP68" s="848"/>
      <c r="BQ68" s="848"/>
      <c r="BR68" s="848"/>
      <c r="BS68" s="848"/>
      <c r="BT68" s="848"/>
      <c r="BU68" s="848"/>
      <c r="BV68" s="848"/>
      <c r="BW68" s="848"/>
      <c r="BX68" s="848"/>
      <c r="BY68" s="848"/>
      <c r="BZ68" s="848"/>
      <c r="CA68" s="848"/>
      <c r="CB68" s="848"/>
      <c r="CC68" s="848"/>
      <c r="CD68" s="848"/>
      <c r="CE68" s="848"/>
      <c r="CF68" s="848"/>
      <c r="CG68" s="848"/>
      <c r="CH68" s="848"/>
      <c r="CI68" s="848"/>
      <c r="CJ68" s="848"/>
      <c r="CK68" s="848"/>
      <c r="CL68" s="848"/>
      <c r="CM68" s="848"/>
      <c r="CN68" s="848"/>
      <c r="CO68" s="848"/>
      <c r="CP68" s="848"/>
      <c r="CQ68" s="848"/>
      <c r="CR68" s="848"/>
      <c r="CS68" s="848"/>
      <c r="CT68" s="848"/>
      <c r="CU68" s="848"/>
      <c r="CV68" s="848"/>
      <c r="CW68" s="848"/>
      <c r="CX68" s="848"/>
      <c r="CY68" s="848"/>
      <c r="CZ68" s="848"/>
      <c r="DA68" s="848"/>
      <c r="DB68" s="848"/>
      <c r="DC68" s="848"/>
      <c r="DD68" s="848"/>
      <c r="DE68" s="848"/>
      <c r="DF68" s="848"/>
    </row>
    <row r="69" spans="1:110" ht="12.75">
      <c r="A69" s="860"/>
      <c r="B69" s="858"/>
      <c r="C69" s="858"/>
      <c r="D69" s="858"/>
      <c r="E69" s="858"/>
      <c r="F69" s="858"/>
      <c r="G69" s="858"/>
      <c r="H69" s="858"/>
      <c r="I69" s="858"/>
      <c r="J69" s="858"/>
      <c r="K69" s="858"/>
      <c r="L69" s="858"/>
      <c r="M69" s="858"/>
      <c r="N69" s="858"/>
      <c r="O69" s="858"/>
      <c r="P69" s="858"/>
      <c r="Q69" s="858"/>
      <c r="R69" s="858"/>
      <c r="S69" s="858"/>
      <c r="T69" s="858"/>
      <c r="U69" s="858"/>
      <c r="V69" s="858"/>
      <c r="W69" s="858"/>
      <c r="X69" s="858"/>
      <c r="Y69" s="858"/>
      <c r="Z69" s="858"/>
      <c r="AA69" s="858"/>
      <c r="AB69" s="858"/>
      <c r="AC69" s="858"/>
      <c r="AD69" s="858"/>
      <c r="AE69" s="859"/>
      <c r="AF69" s="83"/>
      <c r="AG69" s="848"/>
      <c r="AH69" s="848"/>
      <c r="AI69" s="848"/>
      <c r="AJ69" s="848"/>
      <c r="AK69" s="848"/>
      <c r="AL69" s="848"/>
      <c r="AM69" s="848"/>
      <c r="AN69" s="848"/>
      <c r="AO69" s="848"/>
      <c r="AP69" s="848"/>
      <c r="AQ69" s="848"/>
      <c r="AR69" s="848"/>
      <c r="AS69" s="848"/>
      <c r="AT69" s="848"/>
      <c r="AU69" s="848"/>
      <c r="AV69" s="848"/>
      <c r="AW69" s="848"/>
      <c r="AX69" s="848"/>
      <c r="AY69" s="848"/>
      <c r="AZ69" s="848"/>
      <c r="BA69" s="848"/>
      <c r="BB69" s="848"/>
      <c r="BC69" s="848"/>
      <c r="BD69" s="848"/>
      <c r="BE69" s="848"/>
      <c r="BF69" s="848"/>
      <c r="BG69" s="848"/>
      <c r="BH69" s="848"/>
      <c r="BI69" s="848"/>
      <c r="BJ69" s="848"/>
      <c r="BK69" s="848"/>
      <c r="BL69" s="848"/>
      <c r="BM69" s="848"/>
      <c r="BN69" s="848"/>
      <c r="BO69" s="848"/>
      <c r="BP69" s="848"/>
      <c r="BQ69" s="848"/>
      <c r="BR69" s="848"/>
      <c r="BS69" s="848"/>
      <c r="BT69" s="848"/>
      <c r="BU69" s="848"/>
      <c r="BV69" s="848"/>
      <c r="BW69" s="848"/>
      <c r="BX69" s="848"/>
      <c r="BY69" s="848"/>
      <c r="BZ69" s="848"/>
      <c r="CA69" s="848"/>
      <c r="CB69" s="848"/>
      <c r="CC69" s="848"/>
      <c r="CD69" s="848"/>
      <c r="CE69" s="848"/>
      <c r="CF69" s="848"/>
      <c r="CG69" s="848"/>
      <c r="CH69" s="848"/>
      <c r="CI69" s="848"/>
      <c r="CJ69" s="848"/>
      <c r="CK69" s="848"/>
      <c r="CL69" s="848"/>
      <c r="CM69" s="848"/>
      <c r="CN69" s="848"/>
      <c r="CO69" s="848"/>
      <c r="CP69" s="848"/>
      <c r="CQ69" s="848"/>
      <c r="CR69" s="848"/>
      <c r="CS69" s="848"/>
      <c r="CT69" s="848"/>
      <c r="CU69" s="848"/>
      <c r="CV69" s="848"/>
      <c r="CW69" s="848"/>
      <c r="CX69" s="848"/>
      <c r="CY69" s="848"/>
      <c r="CZ69" s="848"/>
      <c r="DA69" s="848"/>
      <c r="DB69" s="848"/>
      <c r="DC69" s="848"/>
      <c r="DD69" s="848"/>
      <c r="DE69" s="848"/>
      <c r="DF69" s="848"/>
    </row>
    <row r="70" spans="1:110" s="3" customFormat="1" ht="12.75">
      <c r="A70" s="860"/>
      <c r="B70" s="858"/>
      <c r="C70" s="858"/>
      <c r="D70" s="858"/>
      <c r="E70" s="858"/>
      <c r="F70" s="858"/>
      <c r="G70" s="858"/>
      <c r="H70" s="858"/>
      <c r="I70" s="858"/>
      <c r="J70" s="858"/>
      <c r="K70" s="858"/>
      <c r="L70" s="858"/>
      <c r="M70" s="858"/>
      <c r="N70" s="858"/>
      <c r="O70" s="858"/>
      <c r="P70" s="858"/>
      <c r="Q70" s="858"/>
      <c r="R70" s="858"/>
      <c r="S70" s="858"/>
      <c r="T70" s="858"/>
      <c r="U70" s="858"/>
      <c r="V70" s="858"/>
      <c r="W70" s="858"/>
      <c r="X70" s="858"/>
      <c r="Y70" s="858"/>
      <c r="Z70" s="858"/>
      <c r="AA70" s="858"/>
      <c r="AB70" s="858"/>
      <c r="AC70" s="858"/>
      <c r="AD70" s="858"/>
      <c r="AE70" s="859"/>
      <c r="AF70" s="83"/>
      <c r="AG70" s="848"/>
      <c r="AH70" s="848"/>
      <c r="AI70" s="848"/>
      <c r="AJ70" s="848"/>
      <c r="AK70" s="848"/>
      <c r="AL70" s="848"/>
      <c r="AM70" s="848"/>
      <c r="AN70" s="848"/>
      <c r="AO70" s="848"/>
      <c r="AP70" s="848"/>
      <c r="AQ70" s="848"/>
      <c r="AR70" s="848"/>
      <c r="AS70" s="848"/>
      <c r="AT70" s="848"/>
      <c r="AU70" s="848"/>
      <c r="AV70" s="848"/>
      <c r="AW70" s="848"/>
      <c r="AX70" s="848"/>
      <c r="AY70" s="848"/>
      <c r="AZ70" s="848"/>
      <c r="BA70" s="848"/>
      <c r="BB70" s="848"/>
      <c r="BC70" s="848"/>
      <c r="BD70" s="848"/>
      <c r="BE70" s="848"/>
      <c r="BF70" s="848"/>
      <c r="BG70" s="848"/>
      <c r="BH70" s="848"/>
      <c r="BI70" s="848"/>
      <c r="BJ70" s="848"/>
      <c r="BK70" s="848"/>
      <c r="BL70" s="848"/>
      <c r="BM70" s="848"/>
      <c r="BN70" s="848"/>
      <c r="BO70" s="848"/>
      <c r="BP70" s="848"/>
      <c r="BQ70" s="848"/>
      <c r="BR70" s="848"/>
      <c r="BS70" s="848"/>
      <c r="BT70" s="848"/>
      <c r="BU70" s="848"/>
      <c r="BV70" s="848"/>
      <c r="BW70" s="848"/>
      <c r="BX70" s="848"/>
      <c r="BY70" s="848"/>
      <c r="BZ70" s="848"/>
      <c r="CA70" s="848"/>
      <c r="CB70" s="848"/>
      <c r="CC70" s="848"/>
      <c r="CD70" s="848"/>
      <c r="CE70" s="848"/>
      <c r="CF70" s="848"/>
      <c r="CG70" s="848"/>
      <c r="CH70" s="848"/>
      <c r="CI70" s="848"/>
      <c r="CJ70" s="848"/>
      <c r="CK70" s="848"/>
      <c r="CL70" s="848"/>
      <c r="CM70" s="848"/>
      <c r="CN70" s="848"/>
      <c r="CO70" s="848"/>
      <c r="CP70" s="848"/>
      <c r="CQ70" s="848"/>
      <c r="CR70" s="848"/>
      <c r="CS70" s="848"/>
      <c r="CT70" s="848"/>
      <c r="CU70" s="848"/>
      <c r="CV70" s="848"/>
      <c r="CW70" s="848"/>
      <c r="CX70" s="848"/>
      <c r="CY70" s="848"/>
      <c r="CZ70" s="848"/>
      <c r="DA70" s="848"/>
      <c r="DB70" s="848"/>
      <c r="DC70" s="848"/>
      <c r="DD70" s="848"/>
      <c r="DE70" s="848"/>
      <c r="DF70" s="848"/>
    </row>
    <row r="71" spans="1:110" s="4" customFormat="1" ht="12.75">
      <c r="A71" s="860"/>
      <c r="B71" s="858"/>
      <c r="C71" s="858"/>
      <c r="D71" s="858"/>
      <c r="E71" s="858"/>
      <c r="F71" s="858"/>
      <c r="G71" s="858"/>
      <c r="H71" s="858"/>
      <c r="I71" s="858"/>
      <c r="J71" s="858"/>
      <c r="K71" s="858"/>
      <c r="L71" s="858"/>
      <c r="M71" s="858"/>
      <c r="N71" s="858"/>
      <c r="O71" s="858"/>
      <c r="P71" s="858"/>
      <c r="Q71" s="858"/>
      <c r="R71" s="858"/>
      <c r="S71" s="858"/>
      <c r="T71" s="858"/>
      <c r="U71" s="858"/>
      <c r="V71" s="858"/>
      <c r="W71" s="858"/>
      <c r="X71" s="858"/>
      <c r="Y71" s="858"/>
      <c r="Z71" s="858"/>
      <c r="AA71" s="858"/>
      <c r="AB71" s="858"/>
      <c r="AC71" s="858"/>
      <c r="AD71" s="858"/>
      <c r="AE71" s="859"/>
      <c r="AF71" s="83"/>
      <c r="AG71" s="848"/>
      <c r="AH71" s="848"/>
      <c r="AI71" s="848"/>
      <c r="AJ71" s="848"/>
      <c r="AK71" s="848"/>
      <c r="AL71" s="848"/>
      <c r="AM71" s="848"/>
      <c r="AN71" s="848"/>
      <c r="AO71" s="848"/>
      <c r="AP71" s="848"/>
      <c r="AQ71" s="848"/>
      <c r="AR71" s="848"/>
      <c r="AS71" s="848"/>
      <c r="AT71" s="848"/>
      <c r="AU71" s="848"/>
      <c r="AV71" s="848"/>
      <c r="AW71" s="848"/>
      <c r="AX71" s="848"/>
      <c r="AY71" s="848"/>
      <c r="AZ71" s="848"/>
      <c r="BA71" s="848"/>
      <c r="BB71" s="848"/>
      <c r="BC71" s="848"/>
      <c r="BD71" s="848"/>
      <c r="BE71" s="848"/>
      <c r="BF71" s="848"/>
      <c r="BG71" s="848"/>
      <c r="BH71" s="848"/>
      <c r="BI71" s="848"/>
      <c r="BJ71" s="848"/>
      <c r="BK71" s="848"/>
      <c r="BL71" s="848"/>
      <c r="BM71" s="848"/>
      <c r="BN71" s="848"/>
      <c r="BO71" s="848"/>
      <c r="BP71" s="848"/>
      <c r="BQ71" s="848"/>
      <c r="BR71" s="848"/>
      <c r="BS71" s="848"/>
      <c r="BT71" s="848"/>
      <c r="BU71" s="848"/>
      <c r="BV71" s="848"/>
      <c r="BW71" s="848"/>
      <c r="BX71" s="848"/>
      <c r="BY71" s="848"/>
      <c r="BZ71" s="848"/>
      <c r="CA71" s="848"/>
      <c r="CB71" s="848"/>
      <c r="CC71" s="848"/>
      <c r="CD71" s="848"/>
      <c r="CE71" s="848"/>
      <c r="CF71" s="848"/>
      <c r="CG71" s="848"/>
      <c r="CH71" s="848"/>
      <c r="CI71" s="848"/>
      <c r="CJ71" s="848"/>
      <c r="CK71" s="848"/>
      <c r="CL71" s="848"/>
      <c r="CM71" s="848"/>
      <c r="CN71" s="848"/>
      <c r="CO71" s="848"/>
      <c r="CP71" s="848"/>
      <c r="CQ71" s="848"/>
      <c r="CR71" s="848"/>
      <c r="CS71" s="848"/>
      <c r="CT71" s="848"/>
      <c r="CU71" s="848"/>
      <c r="CV71" s="848"/>
      <c r="CW71" s="848"/>
      <c r="CX71" s="848"/>
      <c r="CY71" s="848"/>
      <c r="CZ71" s="848"/>
      <c r="DA71" s="848"/>
      <c r="DB71" s="848"/>
      <c r="DC71" s="848"/>
      <c r="DD71" s="848"/>
      <c r="DE71" s="848"/>
      <c r="DF71" s="848"/>
    </row>
    <row r="72" spans="1:110" ht="12.75">
      <c r="A72" s="860"/>
      <c r="B72" s="858"/>
      <c r="C72" s="858"/>
      <c r="D72" s="858"/>
      <c r="E72" s="858"/>
      <c r="F72" s="858"/>
      <c r="G72" s="858"/>
      <c r="H72" s="858"/>
      <c r="I72" s="858"/>
      <c r="J72" s="858"/>
      <c r="K72" s="858"/>
      <c r="L72" s="858"/>
      <c r="M72" s="858"/>
      <c r="N72" s="858"/>
      <c r="O72" s="858"/>
      <c r="P72" s="858"/>
      <c r="Q72" s="858"/>
      <c r="R72" s="858"/>
      <c r="S72" s="858"/>
      <c r="T72" s="858"/>
      <c r="U72" s="858"/>
      <c r="V72" s="858"/>
      <c r="W72" s="858"/>
      <c r="X72" s="858"/>
      <c r="Y72" s="858"/>
      <c r="Z72" s="858"/>
      <c r="AA72" s="858"/>
      <c r="AB72" s="858"/>
      <c r="AC72" s="858"/>
      <c r="AD72" s="858"/>
      <c r="AE72" s="859"/>
      <c r="AF72" s="83"/>
      <c r="AG72" s="848"/>
      <c r="AH72" s="848"/>
      <c r="AI72" s="848"/>
      <c r="AJ72" s="848"/>
      <c r="AK72" s="848"/>
      <c r="AL72" s="848"/>
      <c r="AM72" s="848"/>
      <c r="AN72" s="848"/>
      <c r="AO72" s="848"/>
      <c r="AP72" s="848"/>
      <c r="AQ72" s="848"/>
      <c r="AR72" s="848"/>
      <c r="AS72" s="848"/>
      <c r="AT72" s="848"/>
      <c r="AU72" s="848"/>
      <c r="AV72" s="848"/>
      <c r="AW72" s="848"/>
      <c r="AX72" s="848"/>
      <c r="AY72" s="848"/>
      <c r="AZ72" s="848"/>
      <c r="BA72" s="848"/>
      <c r="BB72" s="848"/>
      <c r="BC72" s="848"/>
      <c r="BD72" s="848"/>
      <c r="BE72" s="848"/>
      <c r="BF72" s="848"/>
      <c r="BG72" s="848"/>
      <c r="BH72" s="848"/>
      <c r="BI72" s="848"/>
      <c r="BJ72" s="848"/>
      <c r="BK72" s="848"/>
      <c r="BL72" s="848"/>
      <c r="BM72" s="848"/>
      <c r="BN72" s="848"/>
      <c r="BO72" s="848"/>
      <c r="BP72" s="848"/>
      <c r="BQ72" s="848"/>
      <c r="BR72" s="848"/>
      <c r="BS72" s="848"/>
      <c r="BT72" s="848"/>
      <c r="BU72" s="848"/>
      <c r="BV72" s="848"/>
      <c r="BW72" s="848"/>
      <c r="BX72" s="848"/>
      <c r="BY72" s="848"/>
      <c r="BZ72" s="848"/>
      <c r="CA72" s="848"/>
      <c r="CB72" s="848"/>
      <c r="CC72" s="848"/>
      <c r="CD72" s="848"/>
      <c r="CE72" s="848"/>
      <c r="CF72" s="848"/>
      <c r="CG72" s="848"/>
      <c r="CH72" s="848"/>
      <c r="CI72" s="848"/>
      <c r="CJ72" s="848"/>
      <c r="CK72" s="848"/>
      <c r="CL72" s="848"/>
      <c r="CM72" s="848"/>
      <c r="CN72" s="848"/>
      <c r="CO72" s="848"/>
      <c r="CP72" s="848"/>
      <c r="CQ72" s="848"/>
      <c r="CR72" s="848"/>
      <c r="CS72" s="848"/>
      <c r="CT72" s="848"/>
      <c r="CU72" s="848"/>
      <c r="CV72" s="848"/>
      <c r="CW72" s="848"/>
      <c r="CX72" s="848"/>
      <c r="CY72" s="848"/>
      <c r="CZ72" s="848"/>
      <c r="DA72" s="848"/>
      <c r="DB72" s="848"/>
      <c r="DC72" s="848"/>
      <c r="DD72" s="848"/>
      <c r="DE72" s="848"/>
      <c r="DF72" s="848"/>
    </row>
    <row r="73" spans="1:110" ht="12.75">
      <c r="A73" s="860"/>
      <c r="B73" s="858"/>
      <c r="C73" s="858"/>
      <c r="D73" s="858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858"/>
      <c r="P73" s="858"/>
      <c r="Q73" s="858"/>
      <c r="R73" s="858"/>
      <c r="S73" s="858"/>
      <c r="T73" s="858"/>
      <c r="U73" s="858"/>
      <c r="V73" s="858"/>
      <c r="W73" s="858"/>
      <c r="X73" s="858"/>
      <c r="Y73" s="858"/>
      <c r="Z73" s="858"/>
      <c r="AA73" s="858"/>
      <c r="AB73" s="858"/>
      <c r="AC73" s="858"/>
      <c r="AD73" s="858"/>
      <c r="AE73" s="859"/>
      <c r="AF73" s="83"/>
      <c r="AG73" s="848"/>
      <c r="AH73" s="848"/>
      <c r="AI73" s="848"/>
      <c r="AJ73" s="848"/>
      <c r="AK73" s="848"/>
      <c r="AL73" s="848"/>
      <c r="AM73" s="848"/>
      <c r="AN73" s="848"/>
      <c r="AO73" s="848"/>
      <c r="AP73" s="848"/>
      <c r="AQ73" s="848"/>
      <c r="AR73" s="848"/>
      <c r="AS73" s="848"/>
      <c r="AT73" s="848"/>
      <c r="AU73" s="848"/>
      <c r="AV73" s="848"/>
      <c r="AW73" s="848"/>
      <c r="AX73" s="848"/>
      <c r="AY73" s="848"/>
      <c r="AZ73" s="848"/>
      <c r="BA73" s="848"/>
      <c r="BB73" s="848"/>
      <c r="BC73" s="848"/>
      <c r="BD73" s="848"/>
      <c r="BE73" s="848"/>
      <c r="BF73" s="848"/>
      <c r="BG73" s="848"/>
      <c r="BH73" s="848"/>
      <c r="BI73" s="848"/>
      <c r="BJ73" s="848"/>
      <c r="BK73" s="848"/>
      <c r="BL73" s="848"/>
      <c r="BM73" s="848"/>
      <c r="BN73" s="848"/>
      <c r="BO73" s="848"/>
      <c r="BP73" s="848"/>
      <c r="BQ73" s="848"/>
      <c r="BR73" s="848"/>
      <c r="BS73" s="848"/>
      <c r="BT73" s="848"/>
      <c r="BU73" s="848"/>
      <c r="BV73" s="848"/>
      <c r="BW73" s="848"/>
      <c r="BX73" s="848"/>
      <c r="BY73" s="848"/>
      <c r="BZ73" s="848"/>
      <c r="CA73" s="848"/>
      <c r="CB73" s="848"/>
      <c r="CC73" s="848"/>
      <c r="CD73" s="848"/>
      <c r="CE73" s="848"/>
      <c r="CF73" s="848"/>
      <c r="CG73" s="848"/>
      <c r="CH73" s="848"/>
      <c r="CI73" s="848"/>
      <c r="CJ73" s="848"/>
      <c r="CK73" s="848"/>
      <c r="CL73" s="848"/>
      <c r="CM73" s="848"/>
      <c r="CN73" s="848"/>
      <c r="CO73" s="848"/>
      <c r="CP73" s="848"/>
      <c r="CQ73" s="848"/>
      <c r="CR73" s="848"/>
      <c r="CS73" s="848"/>
      <c r="CT73" s="848"/>
      <c r="CU73" s="848"/>
      <c r="CV73" s="848"/>
      <c r="CW73" s="848"/>
      <c r="CX73" s="848"/>
      <c r="CY73" s="848"/>
      <c r="CZ73" s="848"/>
      <c r="DA73" s="848"/>
      <c r="DB73" s="848"/>
      <c r="DC73" s="848"/>
      <c r="DD73" s="848"/>
      <c r="DE73" s="848"/>
      <c r="DF73" s="848"/>
    </row>
    <row r="74" spans="1:110" s="3" customFormat="1" ht="12.75">
      <c r="A74" s="860"/>
      <c r="B74" s="858"/>
      <c r="C74" s="858"/>
      <c r="D74" s="858"/>
      <c r="E74" s="858"/>
      <c r="F74" s="858"/>
      <c r="G74" s="858"/>
      <c r="H74" s="858"/>
      <c r="I74" s="858"/>
      <c r="J74" s="858"/>
      <c r="K74" s="858"/>
      <c r="L74" s="858"/>
      <c r="M74" s="858"/>
      <c r="N74" s="858"/>
      <c r="O74" s="858"/>
      <c r="P74" s="858"/>
      <c r="Q74" s="858"/>
      <c r="R74" s="858"/>
      <c r="S74" s="858"/>
      <c r="T74" s="858"/>
      <c r="U74" s="858"/>
      <c r="V74" s="858"/>
      <c r="W74" s="858"/>
      <c r="X74" s="858"/>
      <c r="Y74" s="858"/>
      <c r="Z74" s="858"/>
      <c r="AA74" s="858"/>
      <c r="AB74" s="858"/>
      <c r="AC74" s="858"/>
      <c r="AD74" s="858"/>
      <c r="AE74" s="859"/>
      <c r="AF74" s="83"/>
      <c r="AG74" s="848"/>
      <c r="AH74" s="848"/>
      <c r="AI74" s="848"/>
      <c r="AJ74" s="848"/>
      <c r="AK74" s="848"/>
      <c r="AL74" s="848"/>
      <c r="AM74" s="848"/>
      <c r="AN74" s="848"/>
      <c r="AO74" s="848"/>
      <c r="AP74" s="848"/>
      <c r="AQ74" s="848"/>
      <c r="AR74" s="848"/>
      <c r="AS74" s="848"/>
      <c r="AT74" s="848"/>
      <c r="AU74" s="848"/>
      <c r="AV74" s="848"/>
      <c r="AW74" s="848"/>
      <c r="AX74" s="848"/>
      <c r="AY74" s="848"/>
      <c r="AZ74" s="848"/>
      <c r="BA74" s="848"/>
      <c r="BB74" s="848"/>
      <c r="BC74" s="848"/>
      <c r="BD74" s="848"/>
      <c r="BE74" s="848"/>
      <c r="BF74" s="848"/>
      <c r="BG74" s="848"/>
      <c r="BH74" s="848"/>
      <c r="BI74" s="848"/>
      <c r="BJ74" s="848"/>
      <c r="BK74" s="848"/>
      <c r="BL74" s="848"/>
      <c r="BM74" s="848"/>
      <c r="BN74" s="848"/>
      <c r="BO74" s="848"/>
      <c r="BP74" s="848"/>
      <c r="BQ74" s="848"/>
      <c r="BR74" s="848"/>
      <c r="BS74" s="848"/>
      <c r="BT74" s="848"/>
      <c r="BU74" s="848"/>
      <c r="BV74" s="848"/>
      <c r="BW74" s="848"/>
      <c r="BX74" s="848"/>
      <c r="BY74" s="848"/>
      <c r="BZ74" s="848"/>
      <c r="CA74" s="848"/>
      <c r="CB74" s="848"/>
      <c r="CC74" s="848"/>
      <c r="CD74" s="848"/>
      <c r="CE74" s="848"/>
      <c r="CF74" s="848"/>
      <c r="CG74" s="848"/>
      <c r="CH74" s="848"/>
      <c r="CI74" s="848"/>
      <c r="CJ74" s="848"/>
      <c r="CK74" s="848"/>
      <c r="CL74" s="848"/>
      <c r="CM74" s="848"/>
      <c r="CN74" s="848"/>
      <c r="CO74" s="848"/>
      <c r="CP74" s="848"/>
      <c r="CQ74" s="848"/>
      <c r="CR74" s="848"/>
      <c r="CS74" s="848"/>
      <c r="CT74" s="848"/>
      <c r="CU74" s="848"/>
      <c r="CV74" s="848"/>
      <c r="CW74" s="848"/>
      <c r="CX74" s="848"/>
      <c r="CY74" s="848"/>
      <c r="CZ74" s="848"/>
      <c r="DA74" s="848"/>
      <c r="DB74" s="848"/>
      <c r="DC74" s="848"/>
      <c r="DD74" s="848"/>
      <c r="DE74" s="848"/>
      <c r="DF74" s="848"/>
    </row>
    <row r="75" spans="1:110" s="4" customFormat="1" ht="12.75">
      <c r="A75" s="860"/>
      <c r="B75" s="858"/>
      <c r="C75" s="858"/>
      <c r="D75" s="858"/>
      <c r="E75" s="858"/>
      <c r="F75" s="858"/>
      <c r="G75" s="858"/>
      <c r="H75" s="858"/>
      <c r="I75" s="858"/>
      <c r="J75" s="858"/>
      <c r="K75" s="858"/>
      <c r="L75" s="858"/>
      <c r="M75" s="858"/>
      <c r="N75" s="858"/>
      <c r="O75" s="858"/>
      <c r="P75" s="858"/>
      <c r="Q75" s="858"/>
      <c r="R75" s="858"/>
      <c r="S75" s="858"/>
      <c r="T75" s="858"/>
      <c r="U75" s="858"/>
      <c r="V75" s="858"/>
      <c r="W75" s="858"/>
      <c r="X75" s="858"/>
      <c r="Y75" s="858"/>
      <c r="Z75" s="858"/>
      <c r="AA75" s="858"/>
      <c r="AB75" s="858"/>
      <c r="AC75" s="858"/>
      <c r="AD75" s="858"/>
      <c r="AE75" s="859"/>
      <c r="AF75" s="83"/>
      <c r="AG75" s="848"/>
      <c r="AH75" s="848"/>
      <c r="AI75" s="848"/>
      <c r="AJ75" s="848"/>
      <c r="AK75" s="848"/>
      <c r="AL75" s="848"/>
      <c r="AM75" s="848"/>
      <c r="AN75" s="848"/>
      <c r="AO75" s="848"/>
      <c r="AP75" s="848"/>
      <c r="AQ75" s="848"/>
      <c r="AR75" s="848"/>
      <c r="AS75" s="848"/>
      <c r="AT75" s="848"/>
      <c r="AU75" s="848"/>
      <c r="AV75" s="848"/>
      <c r="AW75" s="848"/>
      <c r="AX75" s="848"/>
      <c r="AY75" s="848"/>
      <c r="AZ75" s="848"/>
      <c r="BA75" s="848"/>
      <c r="BB75" s="848"/>
      <c r="BC75" s="848"/>
      <c r="BD75" s="848"/>
      <c r="BE75" s="848"/>
      <c r="BF75" s="848"/>
      <c r="BG75" s="848"/>
      <c r="BH75" s="848"/>
      <c r="BI75" s="848"/>
      <c r="BJ75" s="848"/>
      <c r="BK75" s="848"/>
      <c r="BL75" s="848"/>
      <c r="BM75" s="848"/>
      <c r="BN75" s="848"/>
      <c r="BO75" s="848"/>
      <c r="BP75" s="848"/>
      <c r="BQ75" s="848"/>
      <c r="BR75" s="848"/>
      <c r="BS75" s="848"/>
      <c r="BT75" s="848"/>
      <c r="BU75" s="848"/>
      <c r="BV75" s="848"/>
      <c r="BW75" s="848"/>
      <c r="BX75" s="848"/>
      <c r="BY75" s="848"/>
      <c r="BZ75" s="848"/>
      <c r="CA75" s="848"/>
      <c r="CB75" s="848"/>
      <c r="CC75" s="848"/>
      <c r="CD75" s="848"/>
      <c r="CE75" s="848"/>
      <c r="CF75" s="848"/>
      <c r="CG75" s="848"/>
      <c r="CH75" s="848"/>
      <c r="CI75" s="848"/>
      <c r="CJ75" s="848"/>
      <c r="CK75" s="848"/>
      <c r="CL75" s="848"/>
      <c r="CM75" s="848"/>
      <c r="CN75" s="848"/>
      <c r="CO75" s="848"/>
      <c r="CP75" s="848"/>
      <c r="CQ75" s="848"/>
      <c r="CR75" s="848"/>
      <c r="CS75" s="848"/>
      <c r="CT75" s="848"/>
      <c r="CU75" s="848"/>
      <c r="CV75" s="848"/>
      <c r="CW75" s="848"/>
      <c r="CX75" s="848"/>
      <c r="CY75" s="848"/>
      <c r="CZ75" s="848"/>
      <c r="DA75" s="848"/>
      <c r="DB75" s="848"/>
      <c r="DC75" s="848"/>
      <c r="DD75" s="848"/>
      <c r="DE75" s="848"/>
      <c r="DF75" s="848"/>
    </row>
    <row r="76" spans="1:110" ht="12.75">
      <c r="A76" s="860"/>
      <c r="B76" s="858"/>
      <c r="C76" s="858"/>
      <c r="D76" s="858"/>
      <c r="E76" s="858"/>
      <c r="F76" s="858"/>
      <c r="G76" s="858"/>
      <c r="H76" s="858"/>
      <c r="I76" s="858"/>
      <c r="J76" s="858"/>
      <c r="K76" s="858"/>
      <c r="L76" s="858"/>
      <c r="M76" s="858"/>
      <c r="N76" s="858"/>
      <c r="O76" s="858"/>
      <c r="P76" s="858"/>
      <c r="Q76" s="858"/>
      <c r="R76" s="858"/>
      <c r="S76" s="858"/>
      <c r="T76" s="858"/>
      <c r="U76" s="858"/>
      <c r="V76" s="858"/>
      <c r="W76" s="858"/>
      <c r="X76" s="858"/>
      <c r="Y76" s="858"/>
      <c r="Z76" s="858"/>
      <c r="AA76" s="858"/>
      <c r="AB76" s="858"/>
      <c r="AC76" s="858"/>
      <c r="AD76" s="858"/>
      <c r="AE76" s="859"/>
      <c r="AF76" s="83"/>
      <c r="AG76" s="848"/>
      <c r="AH76" s="848"/>
      <c r="AI76" s="848"/>
      <c r="AJ76" s="848"/>
      <c r="AK76" s="848"/>
      <c r="AL76" s="848"/>
      <c r="AM76" s="848"/>
      <c r="AN76" s="848"/>
      <c r="AO76" s="848"/>
      <c r="AP76" s="848"/>
      <c r="AQ76" s="848"/>
      <c r="AR76" s="848"/>
      <c r="AS76" s="848"/>
      <c r="AT76" s="848"/>
      <c r="AU76" s="848"/>
      <c r="AV76" s="848"/>
      <c r="AW76" s="848"/>
      <c r="AX76" s="848"/>
      <c r="AY76" s="848"/>
      <c r="AZ76" s="848"/>
      <c r="BA76" s="848"/>
      <c r="BB76" s="848"/>
      <c r="BC76" s="848"/>
      <c r="BD76" s="848"/>
      <c r="BE76" s="848"/>
      <c r="BF76" s="848"/>
      <c r="BG76" s="848"/>
      <c r="BH76" s="848"/>
      <c r="BI76" s="848"/>
      <c r="BJ76" s="848"/>
      <c r="BK76" s="848"/>
      <c r="BL76" s="848"/>
      <c r="BM76" s="848"/>
      <c r="BN76" s="848"/>
      <c r="BO76" s="848"/>
      <c r="BP76" s="848"/>
      <c r="BQ76" s="848"/>
      <c r="BR76" s="848"/>
      <c r="BS76" s="848"/>
      <c r="BT76" s="848"/>
      <c r="BU76" s="848"/>
      <c r="BV76" s="848"/>
      <c r="BW76" s="848"/>
      <c r="BX76" s="848"/>
      <c r="BY76" s="848"/>
      <c r="BZ76" s="848"/>
      <c r="CA76" s="848"/>
      <c r="CB76" s="848"/>
      <c r="CC76" s="848"/>
      <c r="CD76" s="848"/>
      <c r="CE76" s="848"/>
      <c r="CF76" s="848"/>
      <c r="CG76" s="848"/>
      <c r="CH76" s="848"/>
      <c r="CI76" s="848"/>
      <c r="CJ76" s="848"/>
      <c r="CK76" s="848"/>
      <c r="CL76" s="848"/>
      <c r="CM76" s="848"/>
      <c r="CN76" s="848"/>
      <c r="CO76" s="848"/>
      <c r="CP76" s="848"/>
      <c r="CQ76" s="848"/>
      <c r="CR76" s="848"/>
      <c r="CS76" s="848"/>
      <c r="CT76" s="848"/>
      <c r="CU76" s="848"/>
      <c r="CV76" s="848"/>
      <c r="CW76" s="848"/>
      <c r="CX76" s="848"/>
      <c r="CY76" s="848"/>
      <c r="CZ76" s="848"/>
      <c r="DA76" s="848"/>
      <c r="DB76" s="848"/>
      <c r="DC76" s="848"/>
      <c r="DD76" s="848"/>
      <c r="DE76" s="848"/>
      <c r="DF76" s="848"/>
    </row>
    <row r="77" spans="1:110" ht="12.75">
      <c r="A77" s="860"/>
      <c r="B77" s="858"/>
      <c r="C77" s="858"/>
      <c r="D77" s="858"/>
      <c r="E77" s="858"/>
      <c r="F77" s="858"/>
      <c r="G77" s="858"/>
      <c r="H77" s="858"/>
      <c r="I77" s="858"/>
      <c r="J77" s="858"/>
      <c r="K77" s="858"/>
      <c r="L77" s="858"/>
      <c r="M77" s="858"/>
      <c r="N77" s="858"/>
      <c r="O77" s="858"/>
      <c r="P77" s="858"/>
      <c r="Q77" s="858"/>
      <c r="R77" s="858"/>
      <c r="S77" s="858"/>
      <c r="T77" s="858"/>
      <c r="U77" s="858"/>
      <c r="V77" s="858"/>
      <c r="W77" s="858"/>
      <c r="X77" s="858"/>
      <c r="Y77" s="858"/>
      <c r="Z77" s="858"/>
      <c r="AA77" s="858"/>
      <c r="AB77" s="858"/>
      <c r="AC77" s="858"/>
      <c r="AD77" s="858"/>
      <c r="AE77" s="859"/>
      <c r="AF77" s="83"/>
      <c r="AG77" s="848"/>
      <c r="AH77" s="848"/>
      <c r="AI77" s="848"/>
      <c r="AJ77" s="848"/>
      <c r="AK77" s="848"/>
      <c r="AL77" s="848"/>
      <c r="AM77" s="848"/>
      <c r="AN77" s="848"/>
      <c r="AO77" s="848"/>
      <c r="AP77" s="848"/>
      <c r="AQ77" s="848"/>
      <c r="AR77" s="848"/>
      <c r="AS77" s="848"/>
      <c r="AT77" s="848"/>
      <c r="AU77" s="848"/>
      <c r="AV77" s="848"/>
      <c r="AW77" s="848"/>
      <c r="AX77" s="848"/>
      <c r="AY77" s="848"/>
      <c r="AZ77" s="848"/>
      <c r="BA77" s="848"/>
      <c r="BB77" s="848"/>
      <c r="BC77" s="848"/>
      <c r="BD77" s="848"/>
      <c r="BE77" s="848"/>
      <c r="BF77" s="848"/>
      <c r="BG77" s="848"/>
      <c r="BH77" s="848"/>
      <c r="BI77" s="848"/>
      <c r="BJ77" s="848"/>
      <c r="BK77" s="848"/>
      <c r="BL77" s="848"/>
      <c r="BM77" s="848"/>
      <c r="BN77" s="848"/>
      <c r="BO77" s="848"/>
      <c r="BP77" s="848"/>
      <c r="BQ77" s="848"/>
      <c r="BR77" s="848"/>
      <c r="BS77" s="848"/>
      <c r="BT77" s="848"/>
      <c r="BU77" s="848"/>
      <c r="BV77" s="848"/>
      <c r="BW77" s="848"/>
      <c r="BX77" s="848"/>
      <c r="BY77" s="848"/>
      <c r="BZ77" s="848"/>
      <c r="CA77" s="848"/>
      <c r="CB77" s="848"/>
      <c r="CC77" s="848"/>
      <c r="CD77" s="848"/>
      <c r="CE77" s="848"/>
      <c r="CF77" s="848"/>
      <c r="CG77" s="848"/>
      <c r="CH77" s="848"/>
      <c r="CI77" s="848"/>
      <c r="CJ77" s="848"/>
      <c r="CK77" s="848"/>
      <c r="CL77" s="848"/>
      <c r="CM77" s="848"/>
      <c r="CN77" s="848"/>
      <c r="CO77" s="848"/>
      <c r="CP77" s="848"/>
      <c r="CQ77" s="848"/>
      <c r="CR77" s="848"/>
      <c r="CS77" s="848"/>
      <c r="CT77" s="848"/>
      <c r="CU77" s="848"/>
      <c r="CV77" s="848"/>
      <c r="CW77" s="848"/>
      <c r="CX77" s="848"/>
      <c r="CY77" s="848"/>
      <c r="CZ77" s="848"/>
      <c r="DA77" s="848"/>
      <c r="DB77" s="848"/>
      <c r="DC77" s="848"/>
      <c r="DD77" s="848"/>
      <c r="DE77" s="848"/>
      <c r="DF77" s="848"/>
    </row>
    <row r="78" spans="1:110" ht="12.75">
      <c r="A78" s="860"/>
      <c r="B78" s="858"/>
      <c r="C78" s="858"/>
      <c r="D78" s="858"/>
      <c r="E78" s="858"/>
      <c r="F78" s="858"/>
      <c r="G78" s="858"/>
      <c r="H78" s="858"/>
      <c r="I78" s="858"/>
      <c r="J78" s="858"/>
      <c r="K78" s="858"/>
      <c r="L78" s="858"/>
      <c r="M78" s="858"/>
      <c r="N78" s="858"/>
      <c r="O78" s="858"/>
      <c r="P78" s="858"/>
      <c r="Q78" s="858"/>
      <c r="R78" s="858"/>
      <c r="S78" s="858"/>
      <c r="T78" s="858"/>
      <c r="U78" s="858"/>
      <c r="V78" s="858"/>
      <c r="W78" s="858"/>
      <c r="X78" s="858"/>
      <c r="Y78" s="858"/>
      <c r="Z78" s="858"/>
      <c r="AA78" s="858"/>
      <c r="AB78" s="858"/>
      <c r="AC78" s="858"/>
      <c r="AD78" s="858"/>
      <c r="AE78" s="859"/>
      <c r="AF78" s="83"/>
      <c r="AG78" s="848"/>
      <c r="AH78" s="848"/>
      <c r="AI78" s="848"/>
      <c r="AJ78" s="848"/>
      <c r="AK78" s="848"/>
      <c r="AL78" s="848"/>
      <c r="AM78" s="848"/>
      <c r="AN78" s="848"/>
      <c r="AO78" s="848"/>
      <c r="AP78" s="848"/>
      <c r="AQ78" s="848"/>
      <c r="AR78" s="848"/>
      <c r="AS78" s="848"/>
      <c r="AT78" s="848"/>
      <c r="AU78" s="848"/>
      <c r="AV78" s="848"/>
      <c r="AW78" s="848"/>
      <c r="AX78" s="848"/>
      <c r="AY78" s="848"/>
      <c r="AZ78" s="848"/>
      <c r="BA78" s="848"/>
      <c r="BB78" s="848"/>
      <c r="BC78" s="848"/>
      <c r="BD78" s="848"/>
      <c r="BE78" s="848"/>
      <c r="BF78" s="848"/>
      <c r="BG78" s="848"/>
      <c r="BH78" s="848"/>
      <c r="BI78" s="848"/>
      <c r="BJ78" s="848"/>
      <c r="BK78" s="848"/>
      <c r="BL78" s="848"/>
      <c r="BM78" s="848"/>
      <c r="BN78" s="848"/>
      <c r="BO78" s="848"/>
      <c r="BP78" s="848"/>
      <c r="BQ78" s="848"/>
      <c r="BR78" s="848"/>
      <c r="BS78" s="848"/>
      <c r="BT78" s="848"/>
      <c r="BU78" s="848"/>
      <c r="BV78" s="848"/>
      <c r="BW78" s="848"/>
      <c r="BX78" s="848"/>
      <c r="BY78" s="848"/>
      <c r="BZ78" s="848"/>
      <c r="CA78" s="848"/>
      <c r="CB78" s="848"/>
      <c r="CC78" s="848"/>
      <c r="CD78" s="848"/>
      <c r="CE78" s="848"/>
      <c r="CF78" s="848"/>
      <c r="CG78" s="848"/>
      <c r="CH78" s="848"/>
      <c r="CI78" s="848"/>
      <c r="CJ78" s="848"/>
      <c r="CK78" s="848"/>
      <c r="CL78" s="848"/>
      <c r="CM78" s="848"/>
      <c r="CN78" s="848"/>
      <c r="CO78" s="848"/>
      <c r="CP78" s="848"/>
      <c r="CQ78" s="848"/>
      <c r="CR78" s="848"/>
      <c r="CS78" s="848"/>
      <c r="CT78" s="848"/>
      <c r="CU78" s="848"/>
      <c r="CV78" s="848"/>
      <c r="CW78" s="848"/>
      <c r="CX78" s="848"/>
      <c r="CY78" s="848"/>
      <c r="CZ78" s="848"/>
      <c r="DA78" s="848"/>
      <c r="DB78" s="848"/>
      <c r="DC78" s="848"/>
      <c r="DD78" s="848"/>
      <c r="DE78" s="848"/>
      <c r="DF78" s="848"/>
    </row>
    <row r="79" spans="1:110" s="3" customFormat="1" ht="12.75">
      <c r="A79" s="860"/>
      <c r="B79" s="858"/>
      <c r="C79" s="858"/>
      <c r="D79" s="858"/>
      <c r="E79" s="858"/>
      <c r="F79" s="858"/>
      <c r="G79" s="858"/>
      <c r="H79" s="858"/>
      <c r="I79" s="858"/>
      <c r="J79" s="858"/>
      <c r="K79" s="858"/>
      <c r="L79" s="858"/>
      <c r="M79" s="858"/>
      <c r="N79" s="858"/>
      <c r="O79" s="858"/>
      <c r="P79" s="858"/>
      <c r="Q79" s="858"/>
      <c r="R79" s="858"/>
      <c r="S79" s="858"/>
      <c r="T79" s="858"/>
      <c r="U79" s="858"/>
      <c r="V79" s="858"/>
      <c r="W79" s="858"/>
      <c r="X79" s="858"/>
      <c r="Y79" s="858"/>
      <c r="Z79" s="858"/>
      <c r="AA79" s="858"/>
      <c r="AB79" s="858"/>
      <c r="AC79" s="858"/>
      <c r="AD79" s="858"/>
      <c r="AE79" s="859"/>
      <c r="AF79" s="83"/>
      <c r="AG79" s="848"/>
      <c r="AH79" s="848"/>
      <c r="AI79" s="848"/>
      <c r="AJ79" s="848"/>
      <c r="AK79" s="848"/>
      <c r="AL79" s="848"/>
      <c r="AM79" s="848"/>
      <c r="AN79" s="848"/>
      <c r="AO79" s="848"/>
      <c r="AP79" s="848"/>
      <c r="AQ79" s="848"/>
      <c r="AR79" s="848"/>
      <c r="AS79" s="848"/>
      <c r="AT79" s="848"/>
      <c r="AU79" s="848"/>
      <c r="AV79" s="848"/>
      <c r="AW79" s="848"/>
      <c r="AX79" s="848"/>
      <c r="AY79" s="848"/>
      <c r="AZ79" s="848"/>
      <c r="BA79" s="848"/>
      <c r="BB79" s="848"/>
      <c r="BC79" s="848"/>
      <c r="BD79" s="848"/>
      <c r="BE79" s="848"/>
      <c r="BF79" s="848"/>
      <c r="BG79" s="848"/>
      <c r="BH79" s="848"/>
      <c r="BI79" s="848"/>
      <c r="BJ79" s="848"/>
      <c r="BK79" s="848"/>
      <c r="BL79" s="848"/>
      <c r="BM79" s="848"/>
      <c r="BN79" s="848"/>
      <c r="BO79" s="848"/>
      <c r="BP79" s="848"/>
      <c r="BQ79" s="848"/>
      <c r="BR79" s="848"/>
      <c r="BS79" s="848"/>
      <c r="BT79" s="848"/>
      <c r="BU79" s="848"/>
      <c r="BV79" s="848"/>
      <c r="BW79" s="848"/>
      <c r="BX79" s="848"/>
      <c r="BY79" s="848"/>
      <c r="BZ79" s="848"/>
      <c r="CA79" s="848"/>
      <c r="CB79" s="848"/>
      <c r="CC79" s="848"/>
      <c r="CD79" s="848"/>
      <c r="CE79" s="848"/>
      <c r="CF79" s="848"/>
      <c r="CG79" s="848"/>
      <c r="CH79" s="848"/>
      <c r="CI79" s="848"/>
      <c r="CJ79" s="848"/>
      <c r="CK79" s="848"/>
      <c r="CL79" s="848"/>
      <c r="CM79" s="848"/>
      <c r="CN79" s="848"/>
      <c r="CO79" s="848"/>
      <c r="CP79" s="848"/>
      <c r="CQ79" s="848"/>
      <c r="CR79" s="848"/>
      <c r="CS79" s="848"/>
      <c r="CT79" s="848"/>
      <c r="CU79" s="848"/>
      <c r="CV79" s="848"/>
      <c r="CW79" s="848"/>
      <c r="CX79" s="848"/>
      <c r="CY79" s="848"/>
      <c r="CZ79" s="848"/>
      <c r="DA79" s="848"/>
      <c r="DB79" s="848"/>
      <c r="DC79" s="848"/>
      <c r="DD79" s="848"/>
      <c r="DE79" s="848"/>
      <c r="DF79" s="848"/>
    </row>
    <row r="80" spans="1:110" ht="12.75">
      <c r="A80" s="860"/>
      <c r="B80" s="858"/>
      <c r="C80" s="858"/>
      <c r="D80" s="858"/>
      <c r="E80" s="858"/>
      <c r="F80" s="858"/>
      <c r="G80" s="858"/>
      <c r="H80" s="858"/>
      <c r="I80" s="858"/>
      <c r="J80" s="858"/>
      <c r="K80" s="858"/>
      <c r="L80" s="858"/>
      <c r="M80" s="858"/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58"/>
      <c r="Y80" s="858"/>
      <c r="Z80" s="858"/>
      <c r="AA80" s="858"/>
      <c r="AB80" s="858"/>
      <c r="AC80" s="858"/>
      <c r="AD80" s="858"/>
      <c r="AE80" s="859"/>
      <c r="AF80" s="83"/>
      <c r="AG80" s="848"/>
      <c r="AH80" s="848"/>
      <c r="AI80" s="848"/>
      <c r="AJ80" s="848"/>
      <c r="AK80" s="848"/>
      <c r="AL80" s="848"/>
      <c r="AM80" s="848"/>
      <c r="AN80" s="848"/>
      <c r="AO80" s="848"/>
      <c r="AP80" s="848"/>
      <c r="AQ80" s="848"/>
      <c r="AR80" s="848"/>
      <c r="AS80" s="848"/>
      <c r="AT80" s="848"/>
      <c r="AU80" s="848"/>
      <c r="AV80" s="848"/>
      <c r="AW80" s="848"/>
      <c r="AX80" s="848"/>
      <c r="AY80" s="848"/>
      <c r="AZ80" s="848"/>
      <c r="BA80" s="848"/>
      <c r="BB80" s="848"/>
      <c r="BC80" s="848"/>
      <c r="BD80" s="848"/>
      <c r="BE80" s="848"/>
      <c r="BF80" s="848"/>
      <c r="BG80" s="848"/>
      <c r="BH80" s="848"/>
      <c r="BI80" s="848"/>
      <c r="BJ80" s="848"/>
      <c r="BK80" s="848"/>
      <c r="BL80" s="848"/>
      <c r="BM80" s="848"/>
      <c r="BN80" s="848"/>
      <c r="BO80" s="848"/>
      <c r="BP80" s="848"/>
      <c r="BQ80" s="848"/>
      <c r="BR80" s="848"/>
      <c r="BS80" s="848"/>
      <c r="BT80" s="848"/>
      <c r="BU80" s="848"/>
      <c r="BV80" s="848"/>
      <c r="BW80" s="848"/>
      <c r="BX80" s="848"/>
      <c r="BY80" s="848"/>
      <c r="BZ80" s="848"/>
      <c r="CA80" s="848"/>
      <c r="CB80" s="848"/>
      <c r="CC80" s="848"/>
      <c r="CD80" s="848"/>
      <c r="CE80" s="848"/>
      <c r="CF80" s="848"/>
      <c r="CG80" s="848"/>
      <c r="CH80" s="848"/>
      <c r="CI80" s="848"/>
      <c r="CJ80" s="848"/>
      <c r="CK80" s="848"/>
      <c r="CL80" s="848"/>
      <c r="CM80" s="848"/>
      <c r="CN80" s="848"/>
      <c r="CO80" s="848"/>
      <c r="CP80" s="848"/>
      <c r="CQ80" s="848"/>
      <c r="CR80" s="848"/>
      <c r="CS80" s="848"/>
      <c r="CT80" s="848"/>
      <c r="CU80" s="848"/>
      <c r="CV80" s="848"/>
      <c r="CW80" s="848"/>
      <c r="CX80" s="848"/>
      <c r="CY80" s="848"/>
      <c r="CZ80" s="848"/>
      <c r="DA80" s="848"/>
      <c r="DB80" s="848"/>
      <c r="DC80" s="848"/>
      <c r="DD80" s="848"/>
      <c r="DE80" s="848"/>
      <c r="DF80" s="848"/>
    </row>
    <row r="81" spans="1:110" ht="12.75">
      <c r="A81" s="860"/>
      <c r="B81" s="858"/>
      <c r="C81" s="858"/>
      <c r="D81" s="858"/>
      <c r="E81" s="858"/>
      <c r="F81" s="858"/>
      <c r="G81" s="858"/>
      <c r="H81" s="858"/>
      <c r="I81" s="858"/>
      <c r="J81" s="858"/>
      <c r="K81" s="858"/>
      <c r="L81" s="858"/>
      <c r="M81" s="858"/>
      <c r="N81" s="858"/>
      <c r="O81" s="858"/>
      <c r="P81" s="858"/>
      <c r="Q81" s="858"/>
      <c r="R81" s="858"/>
      <c r="S81" s="858"/>
      <c r="T81" s="858"/>
      <c r="U81" s="858"/>
      <c r="V81" s="858"/>
      <c r="W81" s="858"/>
      <c r="X81" s="858"/>
      <c r="Y81" s="858"/>
      <c r="Z81" s="858"/>
      <c r="AA81" s="858"/>
      <c r="AB81" s="858"/>
      <c r="AC81" s="858"/>
      <c r="AD81" s="858"/>
      <c r="AE81" s="859"/>
      <c r="AF81" s="83"/>
      <c r="AG81" s="848"/>
      <c r="AH81" s="848"/>
      <c r="AI81" s="848"/>
      <c r="AJ81" s="848"/>
      <c r="AK81" s="848"/>
      <c r="AL81" s="848"/>
      <c r="AM81" s="848"/>
      <c r="AN81" s="848"/>
      <c r="AO81" s="848"/>
      <c r="AP81" s="848"/>
      <c r="AQ81" s="848"/>
      <c r="AR81" s="848"/>
      <c r="AS81" s="848"/>
      <c r="AT81" s="848"/>
      <c r="AU81" s="848"/>
      <c r="AV81" s="848"/>
      <c r="AW81" s="848"/>
      <c r="AX81" s="848"/>
      <c r="AY81" s="848"/>
      <c r="AZ81" s="848"/>
      <c r="BA81" s="848"/>
      <c r="BB81" s="848"/>
      <c r="BC81" s="848"/>
      <c r="BD81" s="848"/>
      <c r="BE81" s="848"/>
      <c r="BF81" s="848"/>
      <c r="BG81" s="848"/>
      <c r="BH81" s="848"/>
      <c r="BI81" s="848"/>
      <c r="BJ81" s="848"/>
      <c r="BK81" s="848"/>
      <c r="BL81" s="848"/>
      <c r="BM81" s="848"/>
      <c r="BN81" s="848"/>
      <c r="BO81" s="848"/>
      <c r="BP81" s="848"/>
      <c r="BQ81" s="848"/>
      <c r="BR81" s="848"/>
      <c r="BS81" s="848"/>
      <c r="BT81" s="848"/>
      <c r="BU81" s="848"/>
      <c r="BV81" s="848"/>
      <c r="BW81" s="848"/>
      <c r="BX81" s="848"/>
      <c r="BY81" s="848"/>
      <c r="BZ81" s="848"/>
      <c r="CA81" s="848"/>
      <c r="CB81" s="848"/>
      <c r="CC81" s="848"/>
      <c r="CD81" s="848"/>
      <c r="CE81" s="848"/>
      <c r="CF81" s="848"/>
      <c r="CG81" s="848"/>
      <c r="CH81" s="848"/>
      <c r="CI81" s="848"/>
      <c r="CJ81" s="848"/>
      <c r="CK81" s="848"/>
      <c r="CL81" s="848"/>
      <c r="CM81" s="848"/>
      <c r="CN81" s="848"/>
      <c r="CO81" s="848"/>
      <c r="CP81" s="848"/>
      <c r="CQ81" s="848"/>
      <c r="CR81" s="848"/>
      <c r="CS81" s="848"/>
      <c r="CT81" s="848"/>
      <c r="CU81" s="848"/>
      <c r="CV81" s="848"/>
      <c r="CW81" s="848"/>
      <c r="CX81" s="848"/>
      <c r="CY81" s="848"/>
      <c r="CZ81" s="848"/>
      <c r="DA81" s="848"/>
      <c r="DB81" s="848"/>
      <c r="DC81" s="848"/>
      <c r="DD81" s="848"/>
      <c r="DE81" s="848"/>
      <c r="DF81" s="848"/>
    </row>
    <row r="82" spans="1:110" ht="12.75">
      <c r="A82" s="860"/>
      <c r="B82" s="858"/>
      <c r="C82" s="858"/>
      <c r="D82" s="858"/>
      <c r="E82" s="858"/>
      <c r="F82" s="858"/>
      <c r="G82" s="858"/>
      <c r="H82" s="858"/>
      <c r="I82" s="858"/>
      <c r="J82" s="858"/>
      <c r="K82" s="858"/>
      <c r="L82" s="858"/>
      <c r="M82" s="858"/>
      <c r="N82" s="858"/>
      <c r="O82" s="858"/>
      <c r="P82" s="858"/>
      <c r="Q82" s="858"/>
      <c r="R82" s="858"/>
      <c r="S82" s="858"/>
      <c r="T82" s="858"/>
      <c r="U82" s="858"/>
      <c r="V82" s="858"/>
      <c r="W82" s="858"/>
      <c r="X82" s="858"/>
      <c r="Y82" s="858"/>
      <c r="Z82" s="858"/>
      <c r="AA82" s="858"/>
      <c r="AB82" s="858"/>
      <c r="AC82" s="858"/>
      <c r="AD82" s="858"/>
      <c r="AE82" s="859"/>
      <c r="AF82" s="83"/>
      <c r="AG82" s="848"/>
      <c r="AH82" s="848"/>
      <c r="AI82" s="848"/>
      <c r="AJ82" s="848"/>
      <c r="AK82" s="848"/>
      <c r="AL82" s="848"/>
      <c r="AM82" s="848"/>
      <c r="AN82" s="848"/>
      <c r="AO82" s="848"/>
      <c r="AP82" s="848"/>
      <c r="AQ82" s="848"/>
      <c r="AR82" s="848"/>
      <c r="AS82" s="848"/>
      <c r="AT82" s="848"/>
      <c r="AU82" s="848"/>
      <c r="AV82" s="848"/>
      <c r="AW82" s="848"/>
      <c r="AX82" s="848"/>
      <c r="AY82" s="848"/>
      <c r="AZ82" s="848"/>
      <c r="BA82" s="848"/>
      <c r="BB82" s="848"/>
      <c r="BC82" s="848"/>
      <c r="BD82" s="848"/>
      <c r="BE82" s="848"/>
      <c r="BF82" s="848"/>
      <c r="BG82" s="848"/>
      <c r="BH82" s="848"/>
      <c r="BI82" s="848"/>
      <c r="BJ82" s="848"/>
      <c r="BK82" s="848"/>
      <c r="BL82" s="848"/>
      <c r="BM82" s="848"/>
      <c r="BN82" s="848"/>
      <c r="BO82" s="848"/>
      <c r="BP82" s="848"/>
      <c r="BQ82" s="848"/>
      <c r="BR82" s="848"/>
      <c r="BS82" s="848"/>
      <c r="BT82" s="848"/>
      <c r="BU82" s="848"/>
      <c r="BV82" s="848"/>
      <c r="BW82" s="848"/>
      <c r="BX82" s="848"/>
      <c r="BY82" s="848"/>
      <c r="BZ82" s="848"/>
      <c r="CA82" s="848"/>
      <c r="CB82" s="848"/>
      <c r="CC82" s="848"/>
      <c r="CD82" s="848"/>
      <c r="CE82" s="848"/>
      <c r="CF82" s="848"/>
      <c r="CG82" s="848"/>
      <c r="CH82" s="848"/>
      <c r="CI82" s="848"/>
      <c r="CJ82" s="848"/>
      <c r="CK82" s="848"/>
      <c r="CL82" s="848"/>
      <c r="CM82" s="848"/>
      <c r="CN82" s="848"/>
      <c r="CO82" s="848"/>
      <c r="CP82" s="848"/>
      <c r="CQ82" s="848"/>
      <c r="CR82" s="848"/>
      <c r="CS82" s="848"/>
      <c r="CT82" s="848"/>
      <c r="CU82" s="848"/>
      <c r="CV82" s="848"/>
      <c r="CW82" s="848"/>
      <c r="CX82" s="848"/>
      <c r="CY82" s="848"/>
      <c r="CZ82" s="848"/>
      <c r="DA82" s="848"/>
      <c r="DB82" s="848"/>
      <c r="DC82" s="848"/>
      <c r="DD82" s="848"/>
      <c r="DE82" s="848"/>
      <c r="DF82" s="848"/>
    </row>
    <row r="83" spans="1:110" s="3" customFormat="1" ht="12.75">
      <c r="A83" s="860"/>
      <c r="B83" s="858"/>
      <c r="C83" s="858"/>
      <c r="D83" s="858"/>
      <c r="E83" s="858"/>
      <c r="F83" s="858"/>
      <c r="G83" s="858"/>
      <c r="H83" s="858"/>
      <c r="I83" s="858"/>
      <c r="J83" s="858"/>
      <c r="K83" s="858"/>
      <c r="L83" s="858"/>
      <c r="M83" s="858"/>
      <c r="N83" s="858"/>
      <c r="O83" s="858"/>
      <c r="P83" s="858"/>
      <c r="Q83" s="858"/>
      <c r="R83" s="858"/>
      <c r="S83" s="858"/>
      <c r="T83" s="858"/>
      <c r="U83" s="858"/>
      <c r="V83" s="858"/>
      <c r="W83" s="858"/>
      <c r="X83" s="858"/>
      <c r="Y83" s="858"/>
      <c r="Z83" s="858"/>
      <c r="AA83" s="858"/>
      <c r="AB83" s="858"/>
      <c r="AC83" s="858"/>
      <c r="AD83" s="858"/>
      <c r="AE83" s="859"/>
      <c r="AF83" s="83"/>
      <c r="AG83" s="848"/>
      <c r="AH83" s="848"/>
      <c r="AI83" s="848"/>
      <c r="AJ83" s="848"/>
      <c r="AK83" s="848"/>
      <c r="AL83" s="848"/>
      <c r="AM83" s="848"/>
      <c r="AN83" s="848"/>
      <c r="AO83" s="848"/>
      <c r="AP83" s="848"/>
      <c r="AQ83" s="848"/>
      <c r="AR83" s="848"/>
      <c r="AS83" s="848"/>
      <c r="AT83" s="848"/>
      <c r="AU83" s="848"/>
      <c r="AV83" s="848"/>
      <c r="AW83" s="848"/>
      <c r="AX83" s="848"/>
      <c r="AY83" s="848"/>
      <c r="AZ83" s="848"/>
      <c r="BA83" s="848"/>
      <c r="BB83" s="848"/>
      <c r="BC83" s="848"/>
      <c r="BD83" s="848"/>
      <c r="BE83" s="848"/>
      <c r="BF83" s="848"/>
      <c r="BG83" s="848"/>
      <c r="BH83" s="848"/>
      <c r="BI83" s="848"/>
      <c r="BJ83" s="848"/>
      <c r="BK83" s="848"/>
      <c r="BL83" s="848"/>
      <c r="BM83" s="848"/>
      <c r="BN83" s="848"/>
      <c r="BO83" s="848"/>
      <c r="BP83" s="848"/>
      <c r="BQ83" s="848"/>
      <c r="BR83" s="848"/>
      <c r="BS83" s="848"/>
      <c r="BT83" s="848"/>
      <c r="BU83" s="848"/>
      <c r="BV83" s="848"/>
      <c r="BW83" s="848"/>
      <c r="BX83" s="848"/>
      <c r="BY83" s="848"/>
      <c r="BZ83" s="848"/>
      <c r="CA83" s="848"/>
      <c r="CB83" s="848"/>
      <c r="CC83" s="848"/>
      <c r="CD83" s="848"/>
      <c r="CE83" s="848"/>
      <c r="CF83" s="848"/>
      <c r="CG83" s="848"/>
      <c r="CH83" s="848"/>
      <c r="CI83" s="848"/>
      <c r="CJ83" s="848"/>
      <c r="CK83" s="848"/>
      <c r="CL83" s="848"/>
      <c r="CM83" s="848"/>
      <c r="CN83" s="848"/>
      <c r="CO83" s="848"/>
      <c r="CP83" s="848"/>
      <c r="CQ83" s="848"/>
      <c r="CR83" s="848"/>
      <c r="CS83" s="848"/>
      <c r="CT83" s="848"/>
      <c r="CU83" s="848"/>
      <c r="CV83" s="848"/>
      <c r="CW83" s="848"/>
      <c r="CX83" s="848"/>
      <c r="CY83" s="848"/>
      <c r="CZ83" s="848"/>
      <c r="DA83" s="848"/>
      <c r="DB83" s="848"/>
      <c r="DC83" s="848"/>
      <c r="DD83" s="848"/>
      <c r="DE83" s="848"/>
      <c r="DF83" s="848"/>
    </row>
    <row r="84" spans="1:110" ht="12.75">
      <c r="A84" s="860"/>
      <c r="B84" s="858"/>
      <c r="C84" s="858"/>
      <c r="D84" s="858"/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8"/>
      <c r="R84" s="858"/>
      <c r="S84" s="858"/>
      <c r="T84" s="858"/>
      <c r="U84" s="858"/>
      <c r="V84" s="858"/>
      <c r="W84" s="858"/>
      <c r="X84" s="858"/>
      <c r="Y84" s="858"/>
      <c r="Z84" s="858"/>
      <c r="AA84" s="858"/>
      <c r="AB84" s="858"/>
      <c r="AC84" s="858"/>
      <c r="AD84" s="858"/>
      <c r="AE84" s="859"/>
      <c r="AF84" s="83"/>
      <c r="AG84" s="848"/>
      <c r="AH84" s="848"/>
      <c r="AI84" s="848"/>
      <c r="AJ84" s="848"/>
      <c r="AK84" s="848"/>
      <c r="AL84" s="848"/>
      <c r="AM84" s="848"/>
      <c r="AN84" s="848"/>
      <c r="AO84" s="848"/>
      <c r="AP84" s="848"/>
      <c r="AQ84" s="848"/>
      <c r="AR84" s="848"/>
      <c r="AS84" s="848"/>
      <c r="AT84" s="848"/>
      <c r="AU84" s="848"/>
      <c r="AV84" s="848"/>
      <c r="AW84" s="848"/>
      <c r="AX84" s="848"/>
      <c r="AY84" s="848"/>
      <c r="AZ84" s="848"/>
      <c r="BA84" s="848"/>
      <c r="BB84" s="848"/>
      <c r="BC84" s="848"/>
      <c r="BD84" s="848"/>
      <c r="BE84" s="848"/>
      <c r="BF84" s="848"/>
      <c r="BG84" s="848"/>
      <c r="BH84" s="848"/>
      <c r="BI84" s="848"/>
      <c r="BJ84" s="848"/>
      <c r="BK84" s="848"/>
      <c r="BL84" s="848"/>
      <c r="BM84" s="848"/>
      <c r="BN84" s="848"/>
      <c r="BO84" s="848"/>
      <c r="BP84" s="848"/>
      <c r="BQ84" s="848"/>
      <c r="BR84" s="848"/>
      <c r="BS84" s="848"/>
      <c r="BT84" s="848"/>
      <c r="BU84" s="848"/>
      <c r="BV84" s="848"/>
      <c r="BW84" s="848"/>
      <c r="BX84" s="848"/>
      <c r="BY84" s="848"/>
      <c r="BZ84" s="848"/>
      <c r="CA84" s="848"/>
      <c r="CB84" s="848"/>
      <c r="CC84" s="848"/>
      <c r="CD84" s="848"/>
      <c r="CE84" s="848"/>
      <c r="CF84" s="848"/>
      <c r="CG84" s="848"/>
      <c r="CH84" s="848"/>
      <c r="CI84" s="848"/>
      <c r="CJ84" s="848"/>
      <c r="CK84" s="848"/>
      <c r="CL84" s="848"/>
      <c r="CM84" s="848"/>
      <c r="CN84" s="848"/>
      <c r="CO84" s="848"/>
      <c r="CP84" s="848"/>
      <c r="CQ84" s="848"/>
      <c r="CR84" s="848"/>
      <c r="CS84" s="848"/>
      <c r="CT84" s="848"/>
      <c r="CU84" s="848"/>
      <c r="CV84" s="848"/>
      <c r="CW84" s="848"/>
      <c r="CX84" s="848"/>
      <c r="CY84" s="848"/>
      <c r="CZ84" s="848"/>
      <c r="DA84" s="848"/>
      <c r="DB84" s="848"/>
      <c r="DC84" s="848"/>
      <c r="DD84" s="848"/>
      <c r="DE84" s="848"/>
      <c r="DF84" s="848"/>
    </row>
    <row r="85" spans="1:110" ht="12.75">
      <c r="A85" s="860"/>
      <c r="B85" s="858"/>
      <c r="C85" s="858"/>
      <c r="D85" s="858"/>
      <c r="E85" s="858"/>
      <c r="F85" s="858"/>
      <c r="G85" s="858"/>
      <c r="H85" s="858"/>
      <c r="I85" s="858"/>
      <c r="J85" s="858"/>
      <c r="K85" s="858"/>
      <c r="L85" s="858"/>
      <c r="M85" s="858"/>
      <c r="N85" s="858"/>
      <c r="O85" s="858"/>
      <c r="P85" s="858"/>
      <c r="Q85" s="858"/>
      <c r="R85" s="858"/>
      <c r="S85" s="858"/>
      <c r="T85" s="858"/>
      <c r="U85" s="858"/>
      <c r="V85" s="858"/>
      <c r="W85" s="858"/>
      <c r="X85" s="858"/>
      <c r="Y85" s="858"/>
      <c r="Z85" s="858"/>
      <c r="AA85" s="858"/>
      <c r="AB85" s="858"/>
      <c r="AC85" s="858"/>
      <c r="AD85" s="858"/>
      <c r="AE85" s="859"/>
      <c r="AF85" s="83"/>
      <c r="AG85" s="848"/>
      <c r="AH85" s="848"/>
      <c r="AI85" s="848"/>
      <c r="AJ85" s="848"/>
      <c r="AK85" s="848"/>
      <c r="AL85" s="848"/>
      <c r="AM85" s="848"/>
      <c r="AN85" s="848"/>
      <c r="AO85" s="848"/>
      <c r="AP85" s="848"/>
      <c r="AQ85" s="848"/>
      <c r="AR85" s="848"/>
      <c r="AS85" s="848"/>
      <c r="AT85" s="848"/>
      <c r="AU85" s="848"/>
      <c r="AV85" s="848"/>
      <c r="AW85" s="848"/>
      <c r="AX85" s="848"/>
      <c r="AY85" s="848"/>
      <c r="AZ85" s="848"/>
      <c r="BA85" s="848"/>
      <c r="BB85" s="848"/>
      <c r="BC85" s="848"/>
      <c r="BD85" s="848"/>
      <c r="BE85" s="848"/>
      <c r="BF85" s="848"/>
      <c r="BG85" s="848"/>
      <c r="BH85" s="848"/>
      <c r="BI85" s="848"/>
      <c r="BJ85" s="848"/>
      <c r="BK85" s="848"/>
      <c r="BL85" s="848"/>
      <c r="BM85" s="848"/>
      <c r="BN85" s="848"/>
      <c r="BO85" s="848"/>
      <c r="BP85" s="848"/>
      <c r="BQ85" s="848"/>
      <c r="BR85" s="848"/>
      <c r="BS85" s="848"/>
      <c r="BT85" s="848"/>
      <c r="BU85" s="848"/>
      <c r="BV85" s="848"/>
      <c r="BW85" s="848"/>
      <c r="BX85" s="848"/>
      <c r="BY85" s="848"/>
      <c r="BZ85" s="848"/>
      <c r="CA85" s="848"/>
      <c r="CB85" s="848"/>
      <c r="CC85" s="848"/>
      <c r="CD85" s="848"/>
      <c r="CE85" s="848"/>
      <c r="CF85" s="848"/>
      <c r="CG85" s="848"/>
      <c r="CH85" s="848"/>
      <c r="CI85" s="848"/>
      <c r="CJ85" s="848"/>
      <c r="CK85" s="848"/>
      <c r="CL85" s="848"/>
      <c r="CM85" s="848"/>
      <c r="CN85" s="848"/>
      <c r="CO85" s="848"/>
      <c r="CP85" s="848"/>
      <c r="CQ85" s="848"/>
      <c r="CR85" s="848"/>
      <c r="CS85" s="848"/>
      <c r="CT85" s="848"/>
      <c r="CU85" s="848"/>
      <c r="CV85" s="848"/>
      <c r="CW85" s="848"/>
      <c r="CX85" s="848"/>
      <c r="CY85" s="848"/>
      <c r="CZ85" s="848"/>
      <c r="DA85" s="848"/>
      <c r="DB85" s="848"/>
      <c r="DC85" s="848"/>
      <c r="DD85" s="848"/>
      <c r="DE85" s="848"/>
      <c r="DF85" s="848"/>
    </row>
    <row r="86" spans="1:110" ht="12.75">
      <c r="A86" s="860"/>
      <c r="B86" s="858"/>
      <c r="C86" s="858"/>
      <c r="D86" s="858"/>
      <c r="E86" s="858"/>
      <c r="F86" s="858"/>
      <c r="G86" s="858"/>
      <c r="H86" s="858"/>
      <c r="I86" s="858"/>
      <c r="J86" s="858"/>
      <c r="K86" s="858"/>
      <c r="L86" s="858"/>
      <c r="M86" s="858"/>
      <c r="N86" s="858"/>
      <c r="O86" s="858"/>
      <c r="P86" s="858"/>
      <c r="Q86" s="858"/>
      <c r="R86" s="858"/>
      <c r="S86" s="858"/>
      <c r="T86" s="858"/>
      <c r="U86" s="858"/>
      <c r="V86" s="858"/>
      <c r="W86" s="858"/>
      <c r="X86" s="858"/>
      <c r="Y86" s="858"/>
      <c r="Z86" s="858"/>
      <c r="AA86" s="858"/>
      <c r="AB86" s="858"/>
      <c r="AC86" s="858"/>
      <c r="AD86" s="858"/>
      <c r="AE86" s="859"/>
      <c r="AF86" s="83"/>
      <c r="AG86" s="848"/>
      <c r="AH86" s="848"/>
      <c r="AI86" s="848"/>
      <c r="AJ86" s="848"/>
      <c r="AK86" s="848"/>
      <c r="AL86" s="848"/>
      <c r="AM86" s="848"/>
      <c r="AN86" s="848"/>
      <c r="AO86" s="848"/>
      <c r="AP86" s="848"/>
      <c r="AQ86" s="848"/>
      <c r="AR86" s="848"/>
      <c r="AS86" s="848"/>
      <c r="AT86" s="848"/>
      <c r="AU86" s="848"/>
      <c r="AV86" s="848"/>
      <c r="AW86" s="848"/>
      <c r="AX86" s="848"/>
      <c r="AY86" s="848"/>
      <c r="AZ86" s="848"/>
      <c r="BA86" s="848"/>
      <c r="BB86" s="848"/>
      <c r="BC86" s="848"/>
      <c r="BD86" s="848"/>
      <c r="BE86" s="848"/>
      <c r="BF86" s="848"/>
      <c r="BG86" s="848"/>
      <c r="BH86" s="848"/>
      <c r="BI86" s="848"/>
      <c r="BJ86" s="848"/>
      <c r="BK86" s="848"/>
      <c r="BL86" s="848"/>
      <c r="BM86" s="848"/>
      <c r="BN86" s="848"/>
      <c r="BO86" s="848"/>
      <c r="BP86" s="848"/>
      <c r="BQ86" s="848"/>
      <c r="BR86" s="848"/>
      <c r="BS86" s="848"/>
      <c r="BT86" s="848"/>
      <c r="BU86" s="848"/>
      <c r="BV86" s="848"/>
      <c r="BW86" s="848"/>
      <c r="BX86" s="848"/>
      <c r="BY86" s="848"/>
      <c r="BZ86" s="848"/>
      <c r="CA86" s="848"/>
      <c r="CB86" s="848"/>
      <c r="CC86" s="848"/>
      <c r="CD86" s="848"/>
      <c r="CE86" s="848"/>
      <c r="CF86" s="848"/>
      <c r="CG86" s="848"/>
      <c r="CH86" s="848"/>
      <c r="CI86" s="848"/>
      <c r="CJ86" s="848"/>
      <c r="CK86" s="848"/>
      <c r="CL86" s="848"/>
      <c r="CM86" s="848"/>
      <c r="CN86" s="848"/>
      <c r="CO86" s="848"/>
      <c r="CP86" s="848"/>
      <c r="CQ86" s="848"/>
      <c r="CR86" s="848"/>
      <c r="CS86" s="848"/>
      <c r="CT86" s="848"/>
      <c r="CU86" s="848"/>
      <c r="CV86" s="848"/>
      <c r="CW86" s="848"/>
      <c r="CX86" s="848"/>
      <c r="CY86" s="848"/>
      <c r="CZ86" s="848"/>
      <c r="DA86" s="848"/>
      <c r="DB86" s="848"/>
      <c r="DC86" s="848"/>
      <c r="DD86" s="848"/>
      <c r="DE86" s="848"/>
      <c r="DF86" s="848"/>
    </row>
    <row r="87" spans="1:110" s="3" customFormat="1" ht="12.75">
      <c r="A87" s="860"/>
      <c r="B87" s="858"/>
      <c r="C87" s="858"/>
      <c r="D87" s="858"/>
      <c r="E87" s="858"/>
      <c r="F87" s="858"/>
      <c r="G87" s="858"/>
      <c r="H87" s="858"/>
      <c r="I87" s="858"/>
      <c r="J87" s="858"/>
      <c r="K87" s="858"/>
      <c r="L87" s="858"/>
      <c r="M87" s="858"/>
      <c r="N87" s="858"/>
      <c r="O87" s="858"/>
      <c r="P87" s="858"/>
      <c r="Q87" s="858"/>
      <c r="R87" s="858"/>
      <c r="S87" s="858"/>
      <c r="T87" s="858"/>
      <c r="U87" s="858"/>
      <c r="V87" s="858"/>
      <c r="W87" s="858"/>
      <c r="X87" s="858"/>
      <c r="Y87" s="858"/>
      <c r="Z87" s="858"/>
      <c r="AA87" s="858"/>
      <c r="AB87" s="858"/>
      <c r="AC87" s="858"/>
      <c r="AD87" s="858"/>
      <c r="AE87" s="859"/>
      <c r="AF87" s="83"/>
      <c r="AG87" s="848"/>
      <c r="AH87" s="848"/>
      <c r="AI87" s="848"/>
      <c r="AJ87" s="848"/>
      <c r="AK87" s="848"/>
      <c r="AL87" s="848"/>
      <c r="AM87" s="848"/>
      <c r="AN87" s="848"/>
      <c r="AO87" s="848"/>
      <c r="AP87" s="848"/>
      <c r="AQ87" s="848"/>
      <c r="AR87" s="848"/>
      <c r="AS87" s="848"/>
      <c r="AT87" s="848"/>
      <c r="AU87" s="848"/>
      <c r="AV87" s="848"/>
      <c r="AW87" s="848"/>
      <c r="AX87" s="848"/>
      <c r="AY87" s="848"/>
      <c r="AZ87" s="848"/>
      <c r="BA87" s="848"/>
      <c r="BB87" s="848"/>
      <c r="BC87" s="848"/>
      <c r="BD87" s="848"/>
      <c r="BE87" s="848"/>
      <c r="BF87" s="848"/>
      <c r="BG87" s="848"/>
      <c r="BH87" s="848"/>
      <c r="BI87" s="848"/>
      <c r="BJ87" s="848"/>
      <c r="BK87" s="848"/>
      <c r="BL87" s="848"/>
      <c r="BM87" s="848"/>
      <c r="BN87" s="848"/>
      <c r="BO87" s="848"/>
      <c r="BP87" s="848"/>
      <c r="BQ87" s="848"/>
      <c r="BR87" s="848"/>
      <c r="BS87" s="848"/>
      <c r="BT87" s="848"/>
      <c r="BU87" s="848"/>
      <c r="BV87" s="848"/>
      <c r="BW87" s="848"/>
      <c r="BX87" s="848"/>
      <c r="BY87" s="848"/>
      <c r="BZ87" s="848"/>
      <c r="CA87" s="848"/>
      <c r="CB87" s="848"/>
      <c r="CC87" s="848"/>
      <c r="CD87" s="848"/>
      <c r="CE87" s="848"/>
      <c r="CF87" s="848"/>
      <c r="CG87" s="848"/>
      <c r="CH87" s="848"/>
      <c r="CI87" s="848"/>
      <c r="CJ87" s="848"/>
      <c r="CK87" s="848"/>
      <c r="CL87" s="848"/>
      <c r="CM87" s="848"/>
      <c r="CN87" s="848"/>
      <c r="CO87" s="848"/>
      <c r="CP87" s="848"/>
      <c r="CQ87" s="848"/>
      <c r="CR87" s="848"/>
      <c r="CS87" s="848"/>
      <c r="CT87" s="848"/>
      <c r="CU87" s="848"/>
      <c r="CV87" s="848"/>
      <c r="CW87" s="848"/>
      <c r="CX87" s="848"/>
      <c r="CY87" s="848"/>
      <c r="CZ87" s="848"/>
      <c r="DA87" s="848"/>
      <c r="DB87" s="848"/>
      <c r="DC87" s="848"/>
      <c r="DD87" s="848"/>
      <c r="DE87" s="848"/>
      <c r="DF87" s="848"/>
    </row>
    <row r="88" spans="1:110" s="4" customFormat="1" ht="12.75">
      <c r="A88" s="860"/>
      <c r="B88" s="858"/>
      <c r="C88" s="858"/>
      <c r="D88" s="858"/>
      <c r="E88" s="858"/>
      <c r="F88" s="858"/>
      <c r="G88" s="858"/>
      <c r="H88" s="858"/>
      <c r="I88" s="858"/>
      <c r="J88" s="858"/>
      <c r="K88" s="858"/>
      <c r="L88" s="858"/>
      <c r="M88" s="858"/>
      <c r="N88" s="858"/>
      <c r="O88" s="858"/>
      <c r="P88" s="858"/>
      <c r="Q88" s="858"/>
      <c r="R88" s="858"/>
      <c r="S88" s="858"/>
      <c r="T88" s="858"/>
      <c r="U88" s="858"/>
      <c r="V88" s="858"/>
      <c r="W88" s="858"/>
      <c r="X88" s="858"/>
      <c r="Y88" s="858"/>
      <c r="Z88" s="858"/>
      <c r="AA88" s="858"/>
      <c r="AB88" s="858"/>
      <c r="AC88" s="858"/>
      <c r="AD88" s="858"/>
      <c r="AE88" s="859"/>
      <c r="AF88" s="83"/>
      <c r="AG88" s="848"/>
      <c r="AH88" s="848"/>
      <c r="AI88" s="848"/>
      <c r="AJ88" s="848"/>
      <c r="AK88" s="848"/>
      <c r="AL88" s="848"/>
      <c r="AM88" s="848"/>
      <c r="AN88" s="848"/>
      <c r="AO88" s="848"/>
      <c r="AP88" s="848"/>
      <c r="AQ88" s="848"/>
      <c r="AR88" s="848"/>
      <c r="AS88" s="848"/>
      <c r="AT88" s="848"/>
      <c r="AU88" s="848"/>
      <c r="AV88" s="848"/>
      <c r="AW88" s="848"/>
      <c r="AX88" s="848"/>
      <c r="AY88" s="848"/>
      <c r="AZ88" s="848"/>
      <c r="BA88" s="848"/>
      <c r="BB88" s="848"/>
      <c r="BC88" s="848"/>
      <c r="BD88" s="848"/>
      <c r="BE88" s="848"/>
      <c r="BF88" s="848"/>
      <c r="BG88" s="848"/>
      <c r="BH88" s="848"/>
      <c r="BI88" s="848"/>
      <c r="BJ88" s="848"/>
      <c r="BK88" s="848"/>
      <c r="BL88" s="848"/>
      <c r="BM88" s="848"/>
      <c r="BN88" s="848"/>
      <c r="BO88" s="848"/>
      <c r="BP88" s="848"/>
      <c r="BQ88" s="848"/>
      <c r="BR88" s="848"/>
      <c r="BS88" s="848"/>
      <c r="BT88" s="848"/>
      <c r="BU88" s="848"/>
      <c r="BV88" s="848"/>
      <c r="BW88" s="848"/>
      <c r="BX88" s="848"/>
      <c r="BY88" s="848"/>
      <c r="BZ88" s="848"/>
      <c r="CA88" s="848"/>
      <c r="CB88" s="848"/>
      <c r="CC88" s="848"/>
      <c r="CD88" s="848"/>
      <c r="CE88" s="848"/>
      <c r="CF88" s="848"/>
      <c r="CG88" s="848"/>
      <c r="CH88" s="848"/>
      <c r="CI88" s="848"/>
      <c r="CJ88" s="848"/>
      <c r="CK88" s="848"/>
      <c r="CL88" s="848"/>
      <c r="CM88" s="848"/>
      <c r="CN88" s="848"/>
      <c r="CO88" s="848"/>
      <c r="CP88" s="848"/>
      <c r="CQ88" s="848"/>
      <c r="CR88" s="848"/>
      <c r="CS88" s="848"/>
      <c r="CT88" s="848"/>
      <c r="CU88" s="848"/>
      <c r="CV88" s="848"/>
      <c r="CW88" s="848"/>
      <c r="CX88" s="848"/>
      <c r="CY88" s="848"/>
      <c r="CZ88" s="848"/>
      <c r="DA88" s="848"/>
      <c r="DB88" s="848"/>
      <c r="DC88" s="848"/>
      <c r="DD88" s="848"/>
      <c r="DE88" s="848"/>
      <c r="DF88" s="848"/>
    </row>
    <row r="89" spans="1:110" ht="12.75">
      <c r="A89" s="860"/>
      <c r="B89" s="858"/>
      <c r="C89" s="858"/>
      <c r="D89" s="858"/>
      <c r="E89" s="858"/>
      <c r="F89" s="858"/>
      <c r="G89" s="858"/>
      <c r="H89" s="858"/>
      <c r="I89" s="858"/>
      <c r="J89" s="858"/>
      <c r="K89" s="858"/>
      <c r="L89" s="858"/>
      <c r="M89" s="858"/>
      <c r="N89" s="858"/>
      <c r="O89" s="858"/>
      <c r="P89" s="858"/>
      <c r="Q89" s="858"/>
      <c r="R89" s="858"/>
      <c r="S89" s="858"/>
      <c r="T89" s="858"/>
      <c r="U89" s="858"/>
      <c r="V89" s="858"/>
      <c r="W89" s="858"/>
      <c r="X89" s="858"/>
      <c r="Y89" s="858"/>
      <c r="Z89" s="858"/>
      <c r="AA89" s="858"/>
      <c r="AB89" s="858"/>
      <c r="AC89" s="858"/>
      <c r="AD89" s="858"/>
      <c r="AE89" s="859"/>
      <c r="AF89" s="83"/>
      <c r="AG89" s="848"/>
      <c r="AH89" s="848"/>
      <c r="AI89" s="848"/>
      <c r="AJ89" s="848"/>
      <c r="AK89" s="848"/>
      <c r="AL89" s="848"/>
      <c r="AM89" s="848"/>
      <c r="AN89" s="848"/>
      <c r="AO89" s="848"/>
      <c r="AP89" s="848"/>
      <c r="AQ89" s="848"/>
      <c r="AR89" s="848"/>
      <c r="AS89" s="848"/>
      <c r="AT89" s="848"/>
      <c r="AU89" s="848"/>
      <c r="AV89" s="848"/>
      <c r="AW89" s="848"/>
      <c r="AX89" s="848"/>
      <c r="AY89" s="848"/>
      <c r="AZ89" s="848"/>
      <c r="BA89" s="848"/>
      <c r="BB89" s="848"/>
      <c r="BC89" s="848"/>
      <c r="BD89" s="848"/>
      <c r="BE89" s="848"/>
      <c r="BF89" s="848"/>
      <c r="BG89" s="848"/>
      <c r="BH89" s="848"/>
      <c r="BI89" s="848"/>
      <c r="BJ89" s="848"/>
      <c r="BK89" s="848"/>
      <c r="BL89" s="848"/>
      <c r="BM89" s="848"/>
      <c r="BN89" s="848"/>
      <c r="BO89" s="848"/>
      <c r="BP89" s="848"/>
      <c r="BQ89" s="848"/>
      <c r="BR89" s="848"/>
      <c r="BS89" s="848"/>
      <c r="BT89" s="848"/>
      <c r="BU89" s="848"/>
      <c r="BV89" s="848"/>
      <c r="BW89" s="848"/>
      <c r="BX89" s="848"/>
      <c r="BY89" s="848"/>
      <c r="BZ89" s="848"/>
      <c r="CA89" s="848"/>
      <c r="CB89" s="848"/>
      <c r="CC89" s="848"/>
      <c r="CD89" s="848"/>
      <c r="CE89" s="848"/>
      <c r="CF89" s="848"/>
      <c r="CG89" s="848"/>
      <c r="CH89" s="848"/>
      <c r="CI89" s="848"/>
      <c r="CJ89" s="848"/>
      <c r="CK89" s="848"/>
      <c r="CL89" s="848"/>
      <c r="CM89" s="848"/>
      <c r="CN89" s="848"/>
      <c r="CO89" s="848"/>
      <c r="CP89" s="848"/>
      <c r="CQ89" s="848"/>
      <c r="CR89" s="848"/>
      <c r="CS89" s="848"/>
      <c r="CT89" s="848"/>
      <c r="CU89" s="848"/>
      <c r="CV89" s="848"/>
      <c r="CW89" s="848"/>
      <c r="CX89" s="848"/>
      <c r="CY89" s="848"/>
      <c r="CZ89" s="848"/>
      <c r="DA89" s="848"/>
      <c r="DB89" s="848"/>
      <c r="DC89" s="848"/>
      <c r="DD89" s="848"/>
      <c r="DE89" s="848"/>
      <c r="DF89" s="848"/>
    </row>
    <row r="90" spans="1:110" ht="12.75">
      <c r="A90" s="860"/>
      <c r="B90" s="858"/>
      <c r="C90" s="858"/>
      <c r="D90" s="858"/>
      <c r="E90" s="858"/>
      <c r="F90" s="858"/>
      <c r="G90" s="858"/>
      <c r="H90" s="858"/>
      <c r="I90" s="858"/>
      <c r="J90" s="858"/>
      <c r="K90" s="858"/>
      <c r="L90" s="858"/>
      <c r="M90" s="858"/>
      <c r="N90" s="858"/>
      <c r="O90" s="858"/>
      <c r="P90" s="858"/>
      <c r="Q90" s="858"/>
      <c r="R90" s="858"/>
      <c r="S90" s="858"/>
      <c r="T90" s="858"/>
      <c r="U90" s="858"/>
      <c r="V90" s="858"/>
      <c r="W90" s="858"/>
      <c r="X90" s="858"/>
      <c r="Y90" s="858"/>
      <c r="Z90" s="858"/>
      <c r="AA90" s="858"/>
      <c r="AB90" s="858"/>
      <c r="AC90" s="858"/>
      <c r="AD90" s="858"/>
      <c r="AE90" s="859"/>
      <c r="AF90" s="83"/>
      <c r="AG90" s="848"/>
      <c r="AH90" s="848"/>
      <c r="AI90" s="848"/>
      <c r="AJ90" s="848"/>
      <c r="AK90" s="848"/>
      <c r="AL90" s="848"/>
      <c r="AM90" s="848"/>
      <c r="AN90" s="848"/>
      <c r="AO90" s="848"/>
      <c r="AP90" s="848"/>
      <c r="AQ90" s="848"/>
      <c r="AR90" s="848"/>
      <c r="AS90" s="848"/>
      <c r="AT90" s="848"/>
      <c r="AU90" s="848"/>
      <c r="AV90" s="848"/>
      <c r="AW90" s="848"/>
      <c r="AX90" s="848"/>
      <c r="AY90" s="848"/>
      <c r="AZ90" s="848"/>
      <c r="BA90" s="848"/>
      <c r="BB90" s="848"/>
      <c r="BC90" s="848"/>
      <c r="BD90" s="848"/>
      <c r="BE90" s="848"/>
      <c r="BF90" s="848"/>
      <c r="BG90" s="848"/>
      <c r="BH90" s="848"/>
      <c r="BI90" s="848"/>
      <c r="BJ90" s="848"/>
      <c r="BK90" s="848"/>
      <c r="BL90" s="848"/>
      <c r="BM90" s="848"/>
      <c r="BN90" s="848"/>
      <c r="BO90" s="848"/>
      <c r="BP90" s="848"/>
      <c r="BQ90" s="848"/>
      <c r="BR90" s="848"/>
      <c r="BS90" s="848"/>
      <c r="BT90" s="848"/>
      <c r="BU90" s="848"/>
      <c r="BV90" s="848"/>
      <c r="BW90" s="848"/>
      <c r="BX90" s="848"/>
      <c r="BY90" s="848"/>
      <c r="BZ90" s="848"/>
      <c r="CA90" s="848"/>
      <c r="CB90" s="848"/>
      <c r="CC90" s="848"/>
      <c r="CD90" s="848"/>
      <c r="CE90" s="848"/>
      <c r="CF90" s="848"/>
      <c r="CG90" s="848"/>
      <c r="CH90" s="848"/>
      <c r="CI90" s="848"/>
      <c r="CJ90" s="848"/>
      <c r="CK90" s="848"/>
      <c r="CL90" s="848"/>
      <c r="CM90" s="848"/>
      <c r="CN90" s="848"/>
      <c r="CO90" s="848"/>
      <c r="CP90" s="848"/>
      <c r="CQ90" s="848"/>
      <c r="CR90" s="848"/>
      <c r="CS90" s="848"/>
      <c r="CT90" s="848"/>
      <c r="CU90" s="848"/>
      <c r="CV90" s="848"/>
      <c r="CW90" s="848"/>
      <c r="CX90" s="848"/>
      <c r="CY90" s="848"/>
      <c r="CZ90" s="848"/>
      <c r="DA90" s="848"/>
      <c r="DB90" s="848"/>
      <c r="DC90" s="848"/>
      <c r="DD90" s="848"/>
      <c r="DE90" s="848"/>
      <c r="DF90" s="848"/>
    </row>
    <row r="91" spans="1:110" s="3" customFormat="1" ht="12.75">
      <c r="A91" s="860"/>
      <c r="B91" s="858"/>
      <c r="C91" s="858"/>
      <c r="D91" s="858"/>
      <c r="E91" s="858"/>
      <c r="F91" s="858"/>
      <c r="G91" s="858"/>
      <c r="H91" s="858"/>
      <c r="I91" s="858"/>
      <c r="J91" s="858"/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858"/>
      <c r="X91" s="858"/>
      <c r="Y91" s="858"/>
      <c r="Z91" s="858"/>
      <c r="AA91" s="858"/>
      <c r="AB91" s="858"/>
      <c r="AC91" s="858"/>
      <c r="AD91" s="858"/>
      <c r="AE91" s="859"/>
      <c r="AF91" s="83"/>
      <c r="AG91" s="848"/>
      <c r="AH91" s="848"/>
      <c r="AI91" s="848"/>
      <c r="AJ91" s="848"/>
      <c r="AK91" s="848"/>
      <c r="AL91" s="848"/>
      <c r="AM91" s="848"/>
      <c r="AN91" s="848"/>
      <c r="AO91" s="848"/>
      <c r="AP91" s="848"/>
      <c r="AQ91" s="848"/>
      <c r="AR91" s="848"/>
      <c r="AS91" s="848"/>
      <c r="AT91" s="848"/>
      <c r="AU91" s="848"/>
      <c r="AV91" s="848"/>
      <c r="AW91" s="848"/>
      <c r="AX91" s="848"/>
      <c r="AY91" s="848"/>
      <c r="AZ91" s="848"/>
      <c r="BA91" s="848"/>
      <c r="BB91" s="848"/>
      <c r="BC91" s="848"/>
      <c r="BD91" s="848"/>
      <c r="BE91" s="848"/>
      <c r="BF91" s="848"/>
      <c r="BG91" s="848"/>
      <c r="BH91" s="848"/>
      <c r="BI91" s="848"/>
      <c r="BJ91" s="848"/>
      <c r="BK91" s="848"/>
      <c r="BL91" s="848"/>
      <c r="BM91" s="848"/>
      <c r="BN91" s="848"/>
      <c r="BO91" s="848"/>
      <c r="BP91" s="848"/>
      <c r="BQ91" s="848"/>
      <c r="BR91" s="848"/>
      <c r="BS91" s="848"/>
      <c r="BT91" s="848"/>
      <c r="BU91" s="848"/>
      <c r="BV91" s="848"/>
      <c r="BW91" s="848"/>
      <c r="BX91" s="848"/>
      <c r="BY91" s="848"/>
      <c r="BZ91" s="848"/>
      <c r="CA91" s="848"/>
      <c r="CB91" s="848"/>
      <c r="CC91" s="848"/>
      <c r="CD91" s="848"/>
      <c r="CE91" s="848"/>
      <c r="CF91" s="848"/>
      <c r="CG91" s="848"/>
      <c r="CH91" s="848"/>
      <c r="CI91" s="848"/>
      <c r="CJ91" s="848"/>
      <c r="CK91" s="848"/>
      <c r="CL91" s="848"/>
      <c r="CM91" s="848"/>
      <c r="CN91" s="848"/>
      <c r="CO91" s="848"/>
      <c r="CP91" s="848"/>
      <c r="CQ91" s="848"/>
      <c r="CR91" s="848"/>
      <c r="CS91" s="848"/>
      <c r="CT91" s="848"/>
      <c r="CU91" s="848"/>
      <c r="CV91" s="848"/>
      <c r="CW91" s="848"/>
      <c r="CX91" s="848"/>
      <c r="CY91" s="848"/>
      <c r="CZ91" s="848"/>
      <c r="DA91" s="848"/>
      <c r="DB91" s="848"/>
      <c r="DC91" s="848"/>
      <c r="DD91" s="848"/>
      <c r="DE91" s="848"/>
      <c r="DF91" s="848"/>
    </row>
    <row r="92" spans="1:110" s="4" customFormat="1" ht="12.75">
      <c r="A92" s="860"/>
      <c r="B92" s="858"/>
      <c r="C92" s="858"/>
      <c r="D92" s="858"/>
      <c r="E92" s="858"/>
      <c r="F92" s="858"/>
      <c r="G92" s="858"/>
      <c r="H92" s="858"/>
      <c r="I92" s="858"/>
      <c r="J92" s="858"/>
      <c r="K92" s="858"/>
      <c r="L92" s="858"/>
      <c r="M92" s="858"/>
      <c r="N92" s="858"/>
      <c r="O92" s="858"/>
      <c r="P92" s="858"/>
      <c r="Q92" s="858"/>
      <c r="R92" s="858"/>
      <c r="S92" s="858"/>
      <c r="T92" s="858"/>
      <c r="U92" s="858"/>
      <c r="V92" s="858"/>
      <c r="W92" s="858"/>
      <c r="X92" s="858"/>
      <c r="Y92" s="858"/>
      <c r="Z92" s="858"/>
      <c r="AA92" s="858"/>
      <c r="AB92" s="858"/>
      <c r="AC92" s="858"/>
      <c r="AD92" s="858"/>
      <c r="AE92" s="859"/>
      <c r="AF92" s="83"/>
      <c r="AG92" s="848"/>
      <c r="AH92" s="848"/>
      <c r="AI92" s="848"/>
      <c r="AJ92" s="848"/>
      <c r="AK92" s="848"/>
      <c r="AL92" s="848"/>
      <c r="AM92" s="848"/>
      <c r="AN92" s="848"/>
      <c r="AO92" s="848"/>
      <c r="AP92" s="848"/>
      <c r="AQ92" s="848"/>
      <c r="AR92" s="848"/>
      <c r="AS92" s="848"/>
      <c r="AT92" s="848"/>
      <c r="AU92" s="848"/>
      <c r="AV92" s="848"/>
      <c r="AW92" s="848"/>
      <c r="AX92" s="848"/>
      <c r="AY92" s="848"/>
      <c r="AZ92" s="848"/>
      <c r="BA92" s="848"/>
      <c r="BB92" s="848"/>
      <c r="BC92" s="848"/>
      <c r="BD92" s="848"/>
      <c r="BE92" s="848"/>
      <c r="BF92" s="848"/>
      <c r="BG92" s="848"/>
      <c r="BH92" s="848"/>
      <c r="BI92" s="848"/>
      <c r="BJ92" s="848"/>
      <c r="BK92" s="848"/>
      <c r="BL92" s="848"/>
      <c r="BM92" s="848"/>
      <c r="BN92" s="848"/>
      <c r="BO92" s="848"/>
      <c r="BP92" s="848"/>
      <c r="BQ92" s="848"/>
      <c r="BR92" s="848"/>
      <c r="BS92" s="848"/>
      <c r="BT92" s="848"/>
      <c r="BU92" s="848"/>
      <c r="BV92" s="848"/>
      <c r="BW92" s="848"/>
      <c r="BX92" s="848"/>
      <c r="BY92" s="848"/>
      <c r="BZ92" s="848"/>
      <c r="CA92" s="848"/>
      <c r="CB92" s="848"/>
      <c r="CC92" s="848"/>
      <c r="CD92" s="848"/>
      <c r="CE92" s="848"/>
      <c r="CF92" s="848"/>
      <c r="CG92" s="848"/>
      <c r="CH92" s="848"/>
      <c r="CI92" s="848"/>
      <c r="CJ92" s="848"/>
      <c r="CK92" s="848"/>
      <c r="CL92" s="848"/>
      <c r="CM92" s="848"/>
      <c r="CN92" s="848"/>
      <c r="CO92" s="848"/>
      <c r="CP92" s="848"/>
      <c r="CQ92" s="848"/>
      <c r="CR92" s="848"/>
      <c r="CS92" s="848"/>
      <c r="CT92" s="848"/>
      <c r="CU92" s="848"/>
      <c r="CV92" s="848"/>
      <c r="CW92" s="848"/>
      <c r="CX92" s="848"/>
      <c r="CY92" s="848"/>
      <c r="CZ92" s="848"/>
      <c r="DA92" s="848"/>
      <c r="DB92" s="848"/>
      <c r="DC92" s="848"/>
      <c r="DD92" s="848"/>
      <c r="DE92" s="848"/>
      <c r="DF92" s="848"/>
    </row>
    <row r="93" spans="1:110" ht="12.75">
      <c r="A93" s="860"/>
      <c r="B93" s="858"/>
      <c r="C93" s="858"/>
      <c r="D93" s="858"/>
      <c r="E93" s="858"/>
      <c r="F93" s="858"/>
      <c r="G93" s="858"/>
      <c r="H93" s="858"/>
      <c r="I93" s="858"/>
      <c r="J93" s="858"/>
      <c r="K93" s="858"/>
      <c r="L93" s="858"/>
      <c r="M93" s="858"/>
      <c r="N93" s="858"/>
      <c r="O93" s="858"/>
      <c r="P93" s="858"/>
      <c r="Q93" s="858"/>
      <c r="R93" s="858"/>
      <c r="S93" s="858"/>
      <c r="T93" s="858"/>
      <c r="U93" s="858"/>
      <c r="V93" s="858"/>
      <c r="W93" s="858"/>
      <c r="X93" s="858"/>
      <c r="Y93" s="858"/>
      <c r="Z93" s="858"/>
      <c r="AA93" s="858"/>
      <c r="AB93" s="858"/>
      <c r="AC93" s="858"/>
      <c r="AD93" s="858"/>
      <c r="AE93" s="859"/>
      <c r="AF93" s="83"/>
      <c r="AG93" s="848"/>
      <c r="AH93" s="848"/>
      <c r="AI93" s="848"/>
      <c r="AJ93" s="848"/>
      <c r="AK93" s="848"/>
      <c r="AL93" s="848"/>
      <c r="AM93" s="848"/>
      <c r="AN93" s="848"/>
      <c r="AO93" s="848"/>
      <c r="AP93" s="848"/>
      <c r="AQ93" s="848"/>
      <c r="AR93" s="848"/>
      <c r="AS93" s="848"/>
      <c r="AT93" s="848"/>
      <c r="AU93" s="848"/>
      <c r="AV93" s="848"/>
      <c r="AW93" s="848"/>
      <c r="AX93" s="848"/>
      <c r="AY93" s="848"/>
      <c r="AZ93" s="848"/>
      <c r="BA93" s="848"/>
      <c r="BB93" s="848"/>
      <c r="BC93" s="848"/>
      <c r="BD93" s="848"/>
      <c r="BE93" s="848"/>
      <c r="BF93" s="848"/>
      <c r="BG93" s="848"/>
      <c r="BH93" s="848"/>
      <c r="BI93" s="848"/>
      <c r="BJ93" s="848"/>
      <c r="BK93" s="848"/>
      <c r="BL93" s="848"/>
      <c r="BM93" s="848"/>
      <c r="BN93" s="848"/>
      <c r="BO93" s="848"/>
      <c r="BP93" s="848"/>
      <c r="BQ93" s="848"/>
      <c r="BR93" s="848"/>
      <c r="BS93" s="848"/>
      <c r="BT93" s="848"/>
      <c r="BU93" s="848"/>
      <c r="BV93" s="848"/>
      <c r="BW93" s="848"/>
      <c r="BX93" s="848"/>
      <c r="BY93" s="848"/>
      <c r="BZ93" s="848"/>
      <c r="CA93" s="848"/>
      <c r="CB93" s="848"/>
      <c r="CC93" s="848"/>
      <c r="CD93" s="848"/>
      <c r="CE93" s="848"/>
      <c r="CF93" s="848"/>
      <c r="CG93" s="848"/>
      <c r="CH93" s="848"/>
      <c r="CI93" s="848"/>
      <c r="CJ93" s="848"/>
      <c r="CK93" s="848"/>
      <c r="CL93" s="848"/>
      <c r="CM93" s="848"/>
      <c r="CN93" s="848"/>
      <c r="CO93" s="848"/>
      <c r="CP93" s="848"/>
      <c r="CQ93" s="848"/>
      <c r="CR93" s="848"/>
      <c r="CS93" s="848"/>
      <c r="CT93" s="848"/>
      <c r="CU93" s="848"/>
      <c r="CV93" s="848"/>
      <c r="CW93" s="848"/>
      <c r="CX93" s="848"/>
      <c r="CY93" s="848"/>
      <c r="CZ93" s="848"/>
      <c r="DA93" s="848"/>
      <c r="DB93" s="848"/>
      <c r="DC93" s="848"/>
      <c r="DD93" s="848"/>
      <c r="DE93" s="848"/>
      <c r="DF93" s="848"/>
    </row>
    <row r="94" spans="1:110" ht="12.75">
      <c r="A94" s="860"/>
      <c r="B94" s="858"/>
      <c r="C94" s="858"/>
      <c r="D94" s="858"/>
      <c r="E94" s="858"/>
      <c r="F94" s="858"/>
      <c r="G94" s="858"/>
      <c r="H94" s="858"/>
      <c r="I94" s="858"/>
      <c r="J94" s="858"/>
      <c r="K94" s="858"/>
      <c r="L94" s="858"/>
      <c r="M94" s="858"/>
      <c r="N94" s="858"/>
      <c r="O94" s="858"/>
      <c r="P94" s="858"/>
      <c r="Q94" s="858"/>
      <c r="R94" s="858"/>
      <c r="S94" s="858"/>
      <c r="T94" s="858"/>
      <c r="U94" s="858"/>
      <c r="V94" s="858"/>
      <c r="W94" s="858"/>
      <c r="X94" s="858"/>
      <c r="Y94" s="858"/>
      <c r="Z94" s="858"/>
      <c r="AA94" s="858"/>
      <c r="AB94" s="858"/>
      <c r="AC94" s="858"/>
      <c r="AD94" s="858"/>
      <c r="AE94" s="859"/>
      <c r="AF94" s="83"/>
      <c r="AG94" s="848"/>
      <c r="AH94" s="848"/>
      <c r="AI94" s="848"/>
      <c r="AJ94" s="848"/>
      <c r="AK94" s="848"/>
      <c r="AL94" s="848"/>
      <c r="AM94" s="848"/>
      <c r="AN94" s="848"/>
      <c r="AO94" s="848"/>
      <c r="AP94" s="848"/>
      <c r="AQ94" s="848"/>
      <c r="AR94" s="848"/>
      <c r="AS94" s="848"/>
      <c r="AT94" s="848"/>
      <c r="AU94" s="848"/>
      <c r="AV94" s="848"/>
      <c r="AW94" s="848"/>
      <c r="AX94" s="848"/>
      <c r="AY94" s="848"/>
      <c r="AZ94" s="848"/>
      <c r="BA94" s="848"/>
      <c r="BB94" s="848"/>
      <c r="BC94" s="848"/>
      <c r="BD94" s="848"/>
      <c r="BE94" s="848"/>
      <c r="BF94" s="848"/>
      <c r="BG94" s="848"/>
      <c r="BH94" s="848"/>
      <c r="BI94" s="848"/>
      <c r="BJ94" s="848"/>
      <c r="BK94" s="848"/>
      <c r="BL94" s="848"/>
      <c r="BM94" s="848"/>
      <c r="BN94" s="848"/>
      <c r="BO94" s="848"/>
      <c r="BP94" s="848"/>
      <c r="BQ94" s="848"/>
      <c r="BR94" s="848"/>
      <c r="BS94" s="848"/>
      <c r="BT94" s="848"/>
      <c r="BU94" s="848"/>
      <c r="BV94" s="848"/>
      <c r="BW94" s="848"/>
      <c r="BX94" s="848"/>
      <c r="BY94" s="848"/>
      <c r="BZ94" s="848"/>
      <c r="CA94" s="848"/>
      <c r="CB94" s="848"/>
      <c r="CC94" s="848"/>
      <c r="CD94" s="848"/>
      <c r="CE94" s="848"/>
      <c r="CF94" s="848"/>
      <c r="CG94" s="848"/>
      <c r="CH94" s="848"/>
      <c r="CI94" s="848"/>
      <c r="CJ94" s="848"/>
      <c r="CK94" s="848"/>
      <c r="CL94" s="848"/>
      <c r="CM94" s="848"/>
      <c r="CN94" s="848"/>
      <c r="CO94" s="848"/>
      <c r="CP94" s="848"/>
      <c r="CQ94" s="848"/>
      <c r="CR94" s="848"/>
      <c r="CS94" s="848"/>
      <c r="CT94" s="848"/>
      <c r="CU94" s="848"/>
      <c r="CV94" s="848"/>
      <c r="CW94" s="848"/>
      <c r="CX94" s="848"/>
      <c r="CY94" s="848"/>
      <c r="CZ94" s="848"/>
      <c r="DA94" s="848"/>
      <c r="DB94" s="848"/>
      <c r="DC94" s="848"/>
      <c r="DD94" s="848"/>
      <c r="DE94" s="848"/>
      <c r="DF94" s="848"/>
    </row>
    <row r="95" spans="1:110" s="3" customFormat="1" ht="12.75">
      <c r="A95" s="860"/>
      <c r="B95" s="858"/>
      <c r="C95" s="858"/>
      <c r="D95" s="858"/>
      <c r="E95" s="858"/>
      <c r="F95" s="858"/>
      <c r="G95" s="858"/>
      <c r="H95" s="858"/>
      <c r="I95" s="858"/>
      <c r="J95" s="858"/>
      <c r="K95" s="858"/>
      <c r="L95" s="858"/>
      <c r="M95" s="858"/>
      <c r="N95" s="858"/>
      <c r="O95" s="858"/>
      <c r="P95" s="858"/>
      <c r="Q95" s="858"/>
      <c r="R95" s="858"/>
      <c r="S95" s="858"/>
      <c r="T95" s="858"/>
      <c r="U95" s="858"/>
      <c r="V95" s="858"/>
      <c r="W95" s="858"/>
      <c r="X95" s="858"/>
      <c r="Y95" s="858"/>
      <c r="Z95" s="858"/>
      <c r="AA95" s="858"/>
      <c r="AB95" s="858"/>
      <c r="AC95" s="858"/>
      <c r="AD95" s="858"/>
      <c r="AE95" s="859"/>
      <c r="AF95" s="83"/>
      <c r="AG95" s="848"/>
      <c r="AH95" s="848"/>
      <c r="AI95" s="848"/>
      <c r="AJ95" s="848"/>
      <c r="AK95" s="848"/>
      <c r="AL95" s="848"/>
      <c r="AM95" s="848"/>
      <c r="AN95" s="848"/>
      <c r="AO95" s="848"/>
      <c r="AP95" s="848"/>
      <c r="AQ95" s="848"/>
      <c r="AR95" s="848"/>
      <c r="AS95" s="848"/>
      <c r="AT95" s="848"/>
      <c r="AU95" s="848"/>
      <c r="AV95" s="848"/>
      <c r="AW95" s="848"/>
      <c r="AX95" s="848"/>
      <c r="AY95" s="848"/>
      <c r="AZ95" s="848"/>
      <c r="BA95" s="848"/>
      <c r="BB95" s="848"/>
      <c r="BC95" s="848"/>
      <c r="BD95" s="848"/>
      <c r="BE95" s="848"/>
      <c r="BF95" s="848"/>
      <c r="BG95" s="848"/>
      <c r="BH95" s="848"/>
      <c r="BI95" s="848"/>
      <c r="BJ95" s="848"/>
      <c r="BK95" s="848"/>
      <c r="BL95" s="848"/>
      <c r="BM95" s="848"/>
      <c r="BN95" s="848"/>
      <c r="BO95" s="848"/>
      <c r="BP95" s="848"/>
      <c r="BQ95" s="848"/>
      <c r="BR95" s="848"/>
      <c r="BS95" s="848"/>
      <c r="BT95" s="848"/>
      <c r="BU95" s="848"/>
      <c r="BV95" s="848"/>
      <c r="BW95" s="848"/>
      <c r="BX95" s="848"/>
      <c r="BY95" s="848"/>
      <c r="BZ95" s="848"/>
      <c r="CA95" s="848"/>
      <c r="CB95" s="848"/>
      <c r="CC95" s="848"/>
      <c r="CD95" s="848"/>
      <c r="CE95" s="848"/>
      <c r="CF95" s="848"/>
      <c r="CG95" s="848"/>
      <c r="CH95" s="848"/>
      <c r="CI95" s="848"/>
      <c r="CJ95" s="848"/>
      <c r="CK95" s="848"/>
      <c r="CL95" s="848"/>
      <c r="CM95" s="848"/>
      <c r="CN95" s="848"/>
      <c r="CO95" s="848"/>
      <c r="CP95" s="848"/>
      <c r="CQ95" s="848"/>
      <c r="CR95" s="848"/>
      <c r="CS95" s="848"/>
      <c r="CT95" s="848"/>
      <c r="CU95" s="848"/>
      <c r="CV95" s="848"/>
      <c r="CW95" s="848"/>
      <c r="CX95" s="848"/>
      <c r="CY95" s="848"/>
      <c r="CZ95" s="848"/>
      <c r="DA95" s="848"/>
      <c r="DB95" s="848"/>
      <c r="DC95" s="848"/>
      <c r="DD95" s="848"/>
      <c r="DE95" s="848"/>
      <c r="DF95" s="848"/>
    </row>
    <row r="96" spans="1:110" s="4" customFormat="1" ht="12.75">
      <c r="A96" s="860"/>
      <c r="B96" s="858"/>
      <c r="C96" s="858"/>
      <c r="D96" s="858"/>
      <c r="E96" s="858"/>
      <c r="F96" s="858"/>
      <c r="G96" s="858"/>
      <c r="H96" s="858"/>
      <c r="I96" s="858"/>
      <c r="J96" s="858"/>
      <c r="K96" s="858"/>
      <c r="L96" s="858"/>
      <c r="M96" s="858"/>
      <c r="N96" s="858"/>
      <c r="O96" s="858"/>
      <c r="P96" s="858"/>
      <c r="Q96" s="858"/>
      <c r="R96" s="858"/>
      <c r="S96" s="858"/>
      <c r="T96" s="858"/>
      <c r="U96" s="858"/>
      <c r="V96" s="858"/>
      <c r="W96" s="858"/>
      <c r="X96" s="858"/>
      <c r="Y96" s="858"/>
      <c r="Z96" s="858"/>
      <c r="AA96" s="858"/>
      <c r="AB96" s="858"/>
      <c r="AC96" s="858"/>
      <c r="AD96" s="858"/>
      <c r="AE96" s="859"/>
      <c r="AF96" s="83"/>
      <c r="AG96" s="848"/>
      <c r="AH96" s="848"/>
      <c r="AI96" s="848"/>
      <c r="AJ96" s="848"/>
      <c r="AK96" s="848"/>
      <c r="AL96" s="848"/>
      <c r="AM96" s="848"/>
      <c r="AN96" s="848"/>
      <c r="AO96" s="848"/>
      <c r="AP96" s="848"/>
      <c r="AQ96" s="848"/>
      <c r="AR96" s="848"/>
      <c r="AS96" s="848"/>
      <c r="AT96" s="848"/>
      <c r="AU96" s="848"/>
      <c r="AV96" s="848"/>
      <c r="AW96" s="848"/>
      <c r="AX96" s="848"/>
      <c r="AY96" s="848"/>
      <c r="AZ96" s="848"/>
      <c r="BA96" s="848"/>
      <c r="BB96" s="848"/>
      <c r="BC96" s="848"/>
      <c r="BD96" s="848"/>
      <c r="BE96" s="848"/>
      <c r="BF96" s="848"/>
      <c r="BG96" s="848"/>
      <c r="BH96" s="848"/>
      <c r="BI96" s="848"/>
      <c r="BJ96" s="848"/>
      <c r="BK96" s="848"/>
      <c r="BL96" s="848"/>
      <c r="BM96" s="848"/>
      <c r="BN96" s="848"/>
      <c r="BO96" s="848"/>
      <c r="BP96" s="848"/>
      <c r="BQ96" s="848"/>
      <c r="BR96" s="848"/>
      <c r="BS96" s="848"/>
      <c r="BT96" s="848"/>
      <c r="BU96" s="848"/>
      <c r="BV96" s="848"/>
      <c r="BW96" s="848"/>
      <c r="BX96" s="848"/>
      <c r="BY96" s="848"/>
      <c r="BZ96" s="848"/>
      <c r="CA96" s="848"/>
      <c r="CB96" s="848"/>
      <c r="CC96" s="848"/>
      <c r="CD96" s="848"/>
      <c r="CE96" s="848"/>
      <c r="CF96" s="848"/>
      <c r="CG96" s="848"/>
      <c r="CH96" s="848"/>
      <c r="CI96" s="848"/>
      <c r="CJ96" s="848"/>
      <c r="CK96" s="848"/>
      <c r="CL96" s="848"/>
      <c r="CM96" s="848"/>
      <c r="CN96" s="848"/>
      <c r="CO96" s="848"/>
      <c r="CP96" s="848"/>
      <c r="CQ96" s="848"/>
      <c r="CR96" s="848"/>
      <c r="CS96" s="848"/>
      <c r="CT96" s="848"/>
      <c r="CU96" s="848"/>
      <c r="CV96" s="848"/>
      <c r="CW96" s="848"/>
      <c r="CX96" s="848"/>
      <c r="CY96" s="848"/>
      <c r="CZ96" s="848"/>
      <c r="DA96" s="848"/>
      <c r="DB96" s="848"/>
      <c r="DC96" s="848"/>
      <c r="DD96" s="848"/>
      <c r="DE96" s="848"/>
      <c r="DF96" s="848"/>
    </row>
    <row r="97" spans="1:110" ht="12.75">
      <c r="A97" s="860"/>
      <c r="B97" s="858"/>
      <c r="C97" s="858"/>
      <c r="D97" s="858"/>
      <c r="E97" s="858"/>
      <c r="F97" s="858"/>
      <c r="G97" s="858"/>
      <c r="H97" s="858"/>
      <c r="I97" s="858"/>
      <c r="J97" s="858"/>
      <c r="K97" s="858"/>
      <c r="L97" s="858"/>
      <c r="M97" s="858"/>
      <c r="N97" s="858"/>
      <c r="O97" s="858"/>
      <c r="P97" s="858"/>
      <c r="Q97" s="858"/>
      <c r="R97" s="858"/>
      <c r="S97" s="858"/>
      <c r="T97" s="858"/>
      <c r="U97" s="858"/>
      <c r="V97" s="858"/>
      <c r="W97" s="858"/>
      <c r="X97" s="858"/>
      <c r="Y97" s="858"/>
      <c r="Z97" s="858"/>
      <c r="AA97" s="858"/>
      <c r="AB97" s="858"/>
      <c r="AC97" s="858"/>
      <c r="AD97" s="858"/>
      <c r="AE97" s="859"/>
      <c r="AF97" s="83"/>
      <c r="AG97" s="848"/>
      <c r="AH97" s="848"/>
      <c r="AI97" s="848"/>
      <c r="AJ97" s="848"/>
      <c r="AK97" s="848"/>
      <c r="AL97" s="848"/>
      <c r="AM97" s="848"/>
      <c r="AN97" s="848"/>
      <c r="AO97" s="848"/>
      <c r="AP97" s="848"/>
      <c r="AQ97" s="848"/>
      <c r="AR97" s="848"/>
      <c r="AS97" s="848"/>
      <c r="AT97" s="848"/>
      <c r="AU97" s="848"/>
      <c r="AV97" s="848"/>
      <c r="AW97" s="848"/>
      <c r="AX97" s="848"/>
      <c r="AY97" s="848"/>
      <c r="AZ97" s="848"/>
      <c r="BA97" s="848"/>
      <c r="BB97" s="848"/>
      <c r="BC97" s="848"/>
      <c r="BD97" s="848"/>
      <c r="BE97" s="848"/>
      <c r="BF97" s="848"/>
      <c r="BG97" s="848"/>
      <c r="BH97" s="848"/>
      <c r="BI97" s="848"/>
      <c r="BJ97" s="848"/>
      <c r="BK97" s="848"/>
      <c r="BL97" s="848"/>
      <c r="BM97" s="848"/>
      <c r="BN97" s="848"/>
      <c r="BO97" s="848"/>
      <c r="BP97" s="848"/>
      <c r="BQ97" s="848"/>
      <c r="BR97" s="848"/>
      <c r="BS97" s="848"/>
      <c r="BT97" s="848"/>
      <c r="BU97" s="848"/>
      <c r="BV97" s="848"/>
      <c r="BW97" s="848"/>
      <c r="BX97" s="848"/>
      <c r="BY97" s="848"/>
      <c r="BZ97" s="848"/>
      <c r="CA97" s="848"/>
      <c r="CB97" s="848"/>
      <c r="CC97" s="848"/>
      <c r="CD97" s="848"/>
      <c r="CE97" s="848"/>
      <c r="CF97" s="848"/>
      <c r="CG97" s="848"/>
      <c r="CH97" s="848"/>
      <c r="CI97" s="848"/>
      <c r="CJ97" s="848"/>
      <c r="CK97" s="848"/>
      <c r="CL97" s="848"/>
      <c r="CM97" s="848"/>
      <c r="CN97" s="848"/>
      <c r="CO97" s="848"/>
      <c r="CP97" s="848"/>
      <c r="CQ97" s="848"/>
      <c r="CR97" s="848"/>
      <c r="CS97" s="848"/>
      <c r="CT97" s="848"/>
      <c r="CU97" s="848"/>
      <c r="CV97" s="848"/>
      <c r="CW97" s="848"/>
      <c r="CX97" s="848"/>
      <c r="CY97" s="848"/>
      <c r="CZ97" s="848"/>
      <c r="DA97" s="848"/>
      <c r="DB97" s="848"/>
      <c r="DC97" s="848"/>
      <c r="DD97" s="848"/>
      <c r="DE97" s="848"/>
      <c r="DF97" s="848"/>
    </row>
    <row r="98" spans="1:110" ht="12.75">
      <c r="A98" s="860"/>
      <c r="B98" s="858"/>
      <c r="C98" s="858"/>
      <c r="D98" s="858"/>
      <c r="E98" s="858"/>
      <c r="F98" s="858"/>
      <c r="G98" s="858"/>
      <c r="H98" s="858"/>
      <c r="I98" s="858"/>
      <c r="J98" s="858"/>
      <c r="K98" s="858"/>
      <c r="L98" s="858"/>
      <c r="M98" s="858"/>
      <c r="N98" s="858"/>
      <c r="O98" s="858"/>
      <c r="P98" s="858"/>
      <c r="Q98" s="858"/>
      <c r="R98" s="858"/>
      <c r="S98" s="858"/>
      <c r="T98" s="858"/>
      <c r="U98" s="858"/>
      <c r="V98" s="858"/>
      <c r="W98" s="858"/>
      <c r="X98" s="858"/>
      <c r="Y98" s="858"/>
      <c r="Z98" s="858"/>
      <c r="AA98" s="858"/>
      <c r="AB98" s="858"/>
      <c r="AC98" s="858"/>
      <c r="AD98" s="858"/>
      <c r="AE98" s="859"/>
      <c r="AF98" s="83"/>
      <c r="AG98" s="848"/>
      <c r="AH98" s="848"/>
      <c r="AI98" s="848"/>
      <c r="AJ98" s="848"/>
      <c r="AK98" s="848"/>
      <c r="AL98" s="848"/>
      <c r="AM98" s="848"/>
      <c r="AN98" s="848"/>
      <c r="AO98" s="848"/>
      <c r="AP98" s="848"/>
      <c r="AQ98" s="848"/>
      <c r="AR98" s="848"/>
      <c r="AS98" s="848"/>
      <c r="AT98" s="848"/>
      <c r="AU98" s="848"/>
      <c r="AV98" s="848"/>
      <c r="AW98" s="848"/>
      <c r="AX98" s="848"/>
      <c r="AY98" s="848"/>
      <c r="AZ98" s="848"/>
      <c r="BA98" s="848"/>
      <c r="BB98" s="848"/>
      <c r="BC98" s="848"/>
      <c r="BD98" s="848"/>
      <c r="BE98" s="848"/>
      <c r="BF98" s="848"/>
      <c r="BG98" s="848"/>
      <c r="BH98" s="848"/>
      <c r="BI98" s="848"/>
      <c r="BJ98" s="848"/>
      <c r="BK98" s="848"/>
      <c r="BL98" s="848"/>
      <c r="BM98" s="848"/>
      <c r="BN98" s="848"/>
      <c r="BO98" s="848"/>
      <c r="BP98" s="848"/>
      <c r="BQ98" s="848"/>
      <c r="BR98" s="848"/>
      <c r="BS98" s="848"/>
      <c r="BT98" s="848"/>
      <c r="BU98" s="848"/>
      <c r="BV98" s="848"/>
      <c r="BW98" s="848"/>
      <c r="BX98" s="848"/>
      <c r="BY98" s="848"/>
      <c r="BZ98" s="848"/>
      <c r="CA98" s="848"/>
      <c r="CB98" s="848"/>
      <c r="CC98" s="848"/>
      <c r="CD98" s="848"/>
      <c r="CE98" s="848"/>
      <c r="CF98" s="848"/>
      <c r="CG98" s="848"/>
      <c r="CH98" s="848"/>
      <c r="CI98" s="848"/>
      <c r="CJ98" s="848"/>
      <c r="CK98" s="848"/>
      <c r="CL98" s="848"/>
      <c r="CM98" s="848"/>
      <c r="CN98" s="848"/>
      <c r="CO98" s="848"/>
      <c r="CP98" s="848"/>
      <c r="CQ98" s="848"/>
      <c r="CR98" s="848"/>
      <c r="CS98" s="848"/>
      <c r="CT98" s="848"/>
      <c r="CU98" s="848"/>
      <c r="CV98" s="848"/>
      <c r="CW98" s="848"/>
      <c r="CX98" s="848"/>
      <c r="CY98" s="848"/>
      <c r="CZ98" s="848"/>
      <c r="DA98" s="848"/>
      <c r="DB98" s="848"/>
      <c r="DC98" s="848"/>
      <c r="DD98" s="848"/>
      <c r="DE98" s="848"/>
      <c r="DF98" s="848"/>
    </row>
    <row r="99" spans="1:110" s="3" customFormat="1" ht="12.75">
      <c r="A99" s="860"/>
      <c r="B99" s="858"/>
      <c r="C99" s="858"/>
      <c r="D99" s="858"/>
      <c r="E99" s="858"/>
      <c r="F99" s="858"/>
      <c r="G99" s="858"/>
      <c r="H99" s="858"/>
      <c r="I99" s="858"/>
      <c r="J99" s="858"/>
      <c r="K99" s="858"/>
      <c r="L99" s="858"/>
      <c r="M99" s="858"/>
      <c r="N99" s="858"/>
      <c r="O99" s="858"/>
      <c r="P99" s="858"/>
      <c r="Q99" s="858"/>
      <c r="R99" s="858"/>
      <c r="S99" s="858"/>
      <c r="T99" s="858"/>
      <c r="U99" s="858"/>
      <c r="V99" s="858"/>
      <c r="W99" s="858"/>
      <c r="X99" s="858"/>
      <c r="Y99" s="858"/>
      <c r="Z99" s="858"/>
      <c r="AA99" s="858"/>
      <c r="AB99" s="858"/>
      <c r="AC99" s="858"/>
      <c r="AD99" s="858"/>
      <c r="AE99" s="859"/>
      <c r="AF99" s="83"/>
      <c r="AG99" s="848"/>
      <c r="AH99" s="848"/>
      <c r="AI99" s="848"/>
      <c r="AJ99" s="848"/>
      <c r="AK99" s="848"/>
      <c r="AL99" s="848"/>
      <c r="AM99" s="848"/>
      <c r="AN99" s="848"/>
      <c r="AO99" s="848"/>
      <c r="AP99" s="848"/>
      <c r="AQ99" s="848"/>
      <c r="AR99" s="848"/>
      <c r="AS99" s="848"/>
      <c r="AT99" s="848"/>
      <c r="AU99" s="848"/>
      <c r="AV99" s="848"/>
      <c r="AW99" s="848"/>
      <c r="AX99" s="848"/>
      <c r="AY99" s="848"/>
      <c r="AZ99" s="848"/>
      <c r="BA99" s="848"/>
      <c r="BB99" s="848"/>
      <c r="BC99" s="848"/>
      <c r="BD99" s="848"/>
      <c r="BE99" s="848"/>
      <c r="BF99" s="848"/>
      <c r="BG99" s="848"/>
      <c r="BH99" s="848"/>
      <c r="BI99" s="848"/>
      <c r="BJ99" s="848"/>
      <c r="BK99" s="848"/>
      <c r="BL99" s="848"/>
      <c r="BM99" s="848"/>
      <c r="BN99" s="848"/>
      <c r="BO99" s="848"/>
      <c r="BP99" s="848"/>
      <c r="BQ99" s="848"/>
      <c r="BR99" s="848"/>
      <c r="BS99" s="848"/>
      <c r="BT99" s="848"/>
      <c r="BU99" s="848"/>
      <c r="BV99" s="848"/>
      <c r="BW99" s="848"/>
      <c r="BX99" s="848"/>
      <c r="BY99" s="848"/>
      <c r="BZ99" s="848"/>
      <c r="CA99" s="848"/>
      <c r="CB99" s="848"/>
      <c r="CC99" s="848"/>
      <c r="CD99" s="848"/>
      <c r="CE99" s="848"/>
      <c r="CF99" s="848"/>
      <c r="CG99" s="848"/>
      <c r="CH99" s="848"/>
      <c r="CI99" s="848"/>
      <c r="CJ99" s="848"/>
      <c r="CK99" s="848"/>
      <c r="CL99" s="848"/>
      <c r="CM99" s="848"/>
      <c r="CN99" s="848"/>
      <c r="CO99" s="848"/>
      <c r="CP99" s="848"/>
      <c r="CQ99" s="848"/>
      <c r="CR99" s="848"/>
      <c r="CS99" s="848"/>
      <c r="CT99" s="848"/>
      <c r="CU99" s="848"/>
      <c r="CV99" s="848"/>
      <c r="CW99" s="848"/>
      <c r="CX99" s="848"/>
      <c r="CY99" s="848"/>
      <c r="CZ99" s="848"/>
      <c r="DA99" s="848"/>
      <c r="DB99" s="848"/>
      <c r="DC99" s="848"/>
      <c r="DD99" s="848"/>
      <c r="DE99" s="848"/>
      <c r="DF99" s="848"/>
    </row>
    <row r="100" spans="1:110" s="2" customFormat="1">
      <c r="A100" s="14"/>
      <c r="B100" s="15"/>
      <c r="C100" s="16"/>
      <c r="D100" s="16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3" spans="1:110" s="3" customFormat="1">
      <c r="A103" s="17"/>
      <c r="B103" s="10"/>
      <c r="C103" s="18"/>
      <c r="D103" s="18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</row>
    <row r="104" spans="1:110" s="2" customFormat="1">
      <c r="A104" s="14"/>
      <c r="B104" s="15"/>
      <c r="C104" s="16"/>
      <c r="D104" s="16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7" spans="1:110" s="3" customFormat="1">
      <c r="A107" s="17"/>
      <c r="B107" s="10"/>
      <c r="C107" s="18"/>
      <c r="D107" s="18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</row>
    <row r="108" spans="1:110" s="2" customFormat="1">
      <c r="A108" s="14"/>
      <c r="B108" s="15"/>
      <c r="C108" s="16"/>
      <c r="D108" s="16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11" spans="1:110" s="3" customFormat="1">
      <c r="A111" s="17"/>
      <c r="B111" s="10"/>
      <c r="C111" s="18"/>
      <c r="D111" s="18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110" s="2" customFormat="1">
      <c r="A112" s="14"/>
      <c r="B112" s="15"/>
      <c r="C112" s="16"/>
      <c r="D112" s="16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5" spans="1:32" s="3" customFormat="1">
      <c r="A115" s="17"/>
      <c r="B115" s="10"/>
      <c r="C115" s="18"/>
      <c r="D115" s="18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1:32" s="2" customFormat="1">
      <c r="A116" s="14"/>
      <c r="B116" s="15"/>
      <c r="C116" s="16"/>
      <c r="D116" s="16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9" spans="1:32" s="3" customFormat="1">
      <c r="A119" s="17"/>
      <c r="B119" s="10"/>
      <c r="C119" s="18"/>
      <c r="D119" s="18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1:32" s="2" customFormat="1">
      <c r="A120" s="14"/>
      <c r="B120" s="15"/>
      <c r="C120" s="16"/>
      <c r="D120" s="16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3" spans="1:32" s="3" customFormat="1">
      <c r="A123" s="17"/>
      <c r="B123" s="10"/>
      <c r="C123" s="18"/>
      <c r="D123" s="18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1:32" s="2" customFormat="1">
      <c r="A124" s="14"/>
      <c r="B124" s="15"/>
      <c r="C124" s="16"/>
      <c r="D124" s="16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</row>
    <row r="127" spans="1:32" s="3" customFormat="1">
      <c r="A127" s="17"/>
      <c r="B127" s="10"/>
      <c r="C127" s="18"/>
      <c r="D127" s="18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1:32" s="2" customFormat="1">
      <c r="A128" s="14"/>
      <c r="B128" s="15"/>
      <c r="C128" s="16"/>
      <c r="D128" s="16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31" spans="1:32" s="3" customFormat="1">
      <c r="A131" s="17"/>
      <c r="B131" s="10"/>
      <c r="C131" s="18"/>
      <c r="D131" s="18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1:32" s="2" customFormat="1">
      <c r="A132" s="14"/>
      <c r="B132" s="15"/>
      <c r="C132" s="16"/>
      <c r="D132" s="16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</row>
    <row r="135" spans="1:32" s="3" customFormat="1">
      <c r="A135" s="17"/>
      <c r="B135" s="10"/>
      <c r="C135" s="18"/>
      <c r="D135" s="18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</row>
    <row r="136" spans="1:32" s="2" customFormat="1">
      <c r="A136" s="14"/>
      <c r="B136" s="15"/>
      <c r="C136" s="16"/>
      <c r="D136" s="16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9" spans="1:32" s="3" customFormat="1">
      <c r="A139" s="17"/>
      <c r="B139" s="10"/>
      <c r="C139" s="18"/>
      <c r="D139" s="18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</row>
    <row r="140" spans="1:32" s="2" customFormat="1">
      <c r="A140" s="14"/>
      <c r="B140" s="15"/>
      <c r="C140" s="16"/>
      <c r="D140" s="16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3" spans="1:32" s="3" customFormat="1">
      <c r="A143" s="17"/>
      <c r="B143" s="10"/>
      <c r="C143" s="18"/>
      <c r="D143" s="18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</row>
    <row r="144" spans="1:32" s="2" customFormat="1">
      <c r="A144" s="14"/>
      <c r="B144" s="15"/>
      <c r="C144" s="16"/>
      <c r="D144" s="16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7" spans="1:32" s="3" customFormat="1">
      <c r="A147" s="17"/>
      <c r="B147" s="10"/>
      <c r="C147" s="18"/>
      <c r="D147" s="18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</row>
    <row r="148" spans="1:32" s="2" customFormat="1">
      <c r="A148" s="14"/>
      <c r="B148" s="15"/>
      <c r="C148" s="16"/>
      <c r="D148" s="16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51" spans="1:32" s="3" customFormat="1">
      <c r="A151" s="17"/>
      <c r="B151" s="10"/>
      <c r="C151" s="18"/>
      <c r="D151" s="18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</row>
    <row r="152" spans="1:32" s="2" customFormat="1">
      <c r="A152" s="14"/>
      <c r="B152" s="15"/>
      <c r="C152" s="16"/>
      <c r="D152" s="16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</row>
    <row r="155" spans="1:32" s="3" customFormat="1">
      <c r="A155" s="17"/>
      <c r="B155" s="10"/>
      <c r="C155" s="18"/>
      <c r="D155" s="18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</row>
    <row r="156" spans="1:32" s="2" customFormat="1">
      <c r="A156" s="14"/>
      <c r="B156" s="15"/>
      <c r="C156" s="16"/>
      <c r="D156" s="16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</row>
    <row r="159" spans="1:32" s="3" customFormat="1">
      <c r="A159" s="17"/>
      <c r="B159" s="10"/>
      <c r="C159" s="18"/>
      <c r="D159" s="18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</row>
    <row r="160" spans="1:32" s="2" customFormat="1">
      <c r="A160" s="14"/>
      <c r="B160" s="15"/>
      <c r="C160" s="16"/>
      <c r="D160" s="16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</row>
    <row r="163" spans="1:32" s="3" customFormat="1">
      <c r="A163" s="17"/>
      <c r="B163" s="10"/>
      <c r="C163" s="18"/>
      <c r="D163" s="18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</row>
    <row r="164" spans="1:32" s="2" customFormat="1">
      <c r="A164" s="14"/>
      <c r="B164" s="15"/>
      <c r="C164" s="16"/>
      <c r="D164" s="16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</row>
    <row r="167" spans="1:32" s="3" customFormat="1">
      <c r="A167" s="17"/>
      <c r="B167" s="10"/>
      <c r="C167" s="18"/>
      <c r="D167" s="18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</row>
    <row r="168" spans="1:32" s="2" customFormat="1">
      <c r="A168" s="14"/>
      <c r="B168" s="15"/>
      <c r="C168" s="16"/>
      <c r="D168" s="16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</row>
    <row r="171" spans="1:32" s="3" customFormat="1">
      <c r="A171" s="17"/>
      <c r="B171" s="10"/>
      <c r="C171" s="18"/>
      <c r="D171" s="18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</row>
    <row r="172" spans="1:32" s="2" customFormat="1">
      <c r="A172" s="14"/>
      <c r="B172" s="15"/>
      <c r="C172" s="16"/>
      <c r="D172" s="16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</row>
    <row r="175" spans="1:32" s="3" customFormat="1">
      <c r="A175" s="17"/>
      <c r="B175" s="10"/>
      <c r="C175" s="18"/>
      <c r="D175" s="18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</row>
    <row r="176" spans="1:32" s="2" customFormat="1">
      <c r="A176" s="14"/>
      <c r="B176" s="15"/>
      <c r="C176" s="16"/>
      <c r="D176" s="16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</row>
    <row r="179" spans="1:32" s="3" customFormat="1">
      <c r="A179" s="17"/>
      <c r="B179" s="10"/>
      <c r="C179" s="18"/>
      <c r="D179" s="18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</row>
    <row r="180" spans="1:32" s="2" customFormat="1">
      <c r="A180" s="14"/>
      <c r="B180" s="15"/>
      <c r="C180" s="16"/>
      <c r="D180" s="16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</row>
    <row r="183" spans="1:32" s="3" customFormat="1">
      <c r="A183" s="17"/>
      <c r="B183" s="10"/>
      <c r="C183" s="18"/>
      <c r="D183" s="18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</row>
    <row r="184" spans="1:32" s="2" customFormat="1">
      <c r="A184" s="14"/>
      <c r="B184" s="15"/>
      <c r="C184" s="16"/>
      <c r="D184" s="16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</row>
    <row r="187" spans="1:32" s="3" customFormat="1">
      <c r="A187" s="17"/>
      <c r="B187" s="10"/>
      <c r="C187" s="18"/>
      <c r="D187" s="18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</row>
    <row r="188" spans="1:32" s="2" customFormat="1">
      <c r="A188" s="14"/>
      <c r="B188" s="15"/>
      <c r="C188" s="16"/>
      <c r="D188" s="16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</row>
    <row r="191" spans="1:32" s="3" customFormat="1">
      <c r="A191" s="17"/>
      <c r="B191" s="10"/>
      <c r="C191" s="18"/>
      <c r="D191" s="18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  <row r="195" spans="1:32" s="6" customFormat="1">
      <c r="A195" s="17"/>
      <c r="B195" s="10"/>
      <c r="C195" s="18"/>
      <c r="D195" s="18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</row>
    <row r="197" spans="1:32" s="7" customFormat="1">
      <c r="A197" s="9"/>
      <c r="B197" s="10"/>
      <c r="C197" s="11"/>
      <c r="D197" s="11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s="7" customFormat="1">
      <c r="A198" s="9"/>
      <c r="B198" s="10"/>
      <c r="C198" s="11"/>
      <c r="D198" s="11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s="6" customFormat="1">
      <c r="A199" s="17"/>
      <c r="B199" s="10"/>
      <c r="C199" s="18"/>
      <c r="D199" s="18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</row>
    <row r="201" spans="1:32" s="7" customFormat="1">
      <c r="A201" s="9"/>
      <c r="B201" s="10"/>
      <c r="C201" s="11"/>
      <c r="D201" s="1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s="7" customFormat="1">
      <c r="A202" s="9"/>
      <c r="B202" s="10"/>
      <c r="C202" s="11"/>
      <c r="D202" s="1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s="6" customFormat="1">
      <c r="A203" s="17"/>
      <c r="B203" s="10"/>
      <c r="C203" s="18"/>
      <c r="D203" s="18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</row>
    <row r="204" spans="1:32" s="2" customFormat="1">
      <c r="A204" s="14"/>
      <c r="B204" s="15"/>
      <c r="C204" s="16"/>
      <c r="D204" s="16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</row>
    <row r="205" spans="1:32" s="7" customFormat="1">
      <c r="A205" s="9"/>
      <c r="B205" s="10"/>
      <c r="C205" s="11"/>
      <c r="D205" s="11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s="7" customFormat="1">
      <c r="A206" s="9"/>
      <c r="B206" s="10"/>
      <c r="C206" s="11"/>
      <c r="D206" s="11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s="6" customFormat="1">
      <c r="A207" s="17"/>
      <c r="B207" s="10"/>
      <c r="C207" s="18"/>
      <c r="D207" s="18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</row>
    <row r="208" spans="1:32" s="2" customFormat="1">
      <c r="A208" s="14"/>
      <c r="B208" s="15"/>
      <c r="C208" s="16"/>
      <c r="D208" s="16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</row>
    <row r="211" spans="1:32" s="6" customFormat="1">
      <c r="A211" s="17"/>
      <c r="B211" s="10"/>
      <c r="C211" s="18"/>
      <c r="D211" s="18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</row>
    <row r="212" spans="1:32" s="2" customFormat="1">
      <c r="A212" s="14"/>
      <c r="B212" s="15"/>
      <c r="C212" s="16"/>
      <c r="D212" s="16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</row>
    <row r="213" spans="1:32" s="7" customFormat="1">
      <c r="A213" s="9"/>
      <c r="B213" s="10"/>
      <c r="C213" s="11"/>
      <c r="D213" s="11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s="7" customFormat="1">
      <c r="A214" s="9"/>
      <c r="B214" s="10"/>
      <c r="C214" s="11"/>
      <c r="D214" s="1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s="6" customFormat="1">
      <c r="A215" s="17"/>
      <c r="B215" s="10"/>
      <c r="C215" s="18"/>
      <c r="D215" s="18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</row>
    <row r="216" spans="1:32" s="2" customFormat="1">
      <c r="A216" s="14"/>
      <c r="B216" s="15"/>
      <c r="C216" s="16"/>
      <c r="D216" s="16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</row>
    <row r="217" spans="1:32" s="7" customFormat="1">
      <c r="A217" s="9"/>
      <c r="B217" s="10"/>
      <c r="C217" s="11"/>
      <c r="D217" s="11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s="7" customFormat="1">
      <c r="A218" s="9"/>
      <c r="B218" s="10"/>
      <c r="C218" s="11"/>
      <c r="D218" s="11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s="6" customFormat="1">
      <c r="A219" s="17"/>
      <c r="B219" s="10"/>
      <c r="C219" s="18"/>
      <c r="D219" s="18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</row>
    <row r="220" spans="1:32" s="2" customFormat="1">
      <c r="A220" s="14"/>
      <c r="B220" s="15"/>
      <c r="C220" s="16"/>
      <c r="D220" s="16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</row>
    <row r="221" spans="1:32" s="7" customFormat="1">
      <c r="A221" s="9"/>
      <c r="B221" s="10"/>
      <c r="C221" s="11"/>
      <c r="D221" s="11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s="7" customFormat="1">
      <c r="A222" s="9"/>
      <c r="B222" s="10"/>
      <c r="C222" s="11"/>
      <c r="D222" s="11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s="6" customFormat="1">
      <c r="A223" s="17"/>
      <c r="B223" s="10"/>
      <c r="C223" s="18"/>
      <c r="D223" s="18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</row>
    <row r="224" spans="1:32" s="2" customFormat="1">
      <c r="A224" s="14"/>
      <c r="B224" s="15"/>
      <c r="C224" s="16"/>
      <c r="D224" s="16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</row>
    <row r="225" spans="1:32" s="7" customFormat="1">
      <c r="A225" s="9"/>
      <c r="B225" s="10"/>
      <c r="C225" s="11"/>
      <c r="D225" s="11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s="7" customFormat="1">
      <c r="A226" s="9"/>
      <c r="B226" s="10"/>
      <c r="C226" s="11"/>
      <c r="D226" s="11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s="6" customFormat="1">
      <c r="A227" s="17"/>
      <c r="B227" s="10"/>
      <c r="C227" s="18"/>
      <c r="D227" s="18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</row>
    <row r="228" spans="1:32" s="2" customFormat="1">
      <c r="A228" s="14"/>
      <c r="B228" s="15"/>
      <c r="C228" s="16"/>
      <c r="D228" s="16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</row>
    <row r="229" spans="1:32" s="8" customFormat="1">
      <c r="A229" s="9"/>
      <c r="B229" s="10"/>
      <c r="C229" s="11"/>
      <c r="D229" s="11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s="8" customFormat="1">
      <c r="A230" s="9"/>
      <c r="B230" s="10"/>
      <c r="C230" s="11"/>
      <c r="D230" s="11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s="3" customFormat="1">
      <c r="A231" s="17"/>
      <c r="B231" s="10"/>
      <c r="C231" s="18"/>
      <c r="D231" s="18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</row>
    <row r="232" spans="1:32" s="2" customFormat="1">
      <c r="A232" s="14"/>
      <c r="B232" s="15"/>
      <c r="C232" s="16"/>
      <c r="D232" s="16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</row>
    <row r="233" spans="1:32" s="7" customFormat="1">
      <c r="A233" s="9"/>
      <c r="B233" s="10"/>
      <c r="C233" s="11"/>
      <c r="D233" s="11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s="7" customFormat="1">
      <c r="A234" s="9"/>
      <c r="B234" s="10"/>
      <c r="C234" s="11"/>
      <c r="D234" s="11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s="6" customFormat="1">
      <c r="A235" s="17"/>
      <c r="B235" s="10"/>
      <c r="C235" s="18"/>
      <c r="D235" s="18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</row>
    <row r="236" spans="1:32" s="2" customFormat="1">
      <c r="A236" s="14"/>
      <c r="B236" s="15"/>
      <c r="C236" s="16"/>
      <c r="D236" s="16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</row>
    <row r="237" spans="1:32" s="2" customFormat="1" ht="15" customHeight="1">
      <c r="A237" s="14"/>
      <c r="B237" s="15"/>
      <c r="C237" s="16"/>
      <c r="D237" s="16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</row>
    <row r="238" spans="1:32" s="2" customFormat="1">
      <c r="A238" s="14"/>
      <c r="B238" s="15"/>
      <c r="C238" s="16"/>
      <c r="D238" s="16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</row>
    <row r="239" spans="1:32" s="2" customFormat="1" ht="18" customHeight="1">
      <c r="A239" s="14"/>
      <c r="B239" s="15"/>
      <c r="C239" s="16"/>
      <c r="D239" s="16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</row>
    <row r="240" spans="1:32" ht="20.25" customHeight="1"/>
    <row r="241" spans="1:32" s="6" customFormat="1">
      <c r="A241" s="17"/>
      <c r="B241" s="10"/>
      <c r="C241" s="18"/>
      <c r="D241" s="18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</row>
  </sheetData>
  <mergeCells count="41">
    <mergeCell ref="AF4:AF7"/>
    <mergeCell ref="F6:F7"/>
    <mergeCell ref="G6:G7"/>
    <mergeCell ref="I6:I7"/>
    <mergeCell ref="T1:U1"/>
    <mergeCell ref="S5:S7"/>
    <mergeCell ref="Q5:Q7"/>
    <mergeCell ref="R5:R7"/>
    <mergeCell ref="V4:Y5"/>
    <mergeCell ref="P5:P7"/>
    <mergeCell ref="Z4:AE5"/>
    <mergeCell ref="AE6:AE7"/>
    <mergeCell ref="I4:S4"/>
    <mergeCell ref="I5:K5"/>
    <mergeCell ref="AG1:DF99"/>
    <mergeCell ref="D2:T2"/>
    <mergeCell ref="A3:Y3"/>
    <mergeCell ref="A4:A7"/>
    <mergeCell ref="T4:U5"/>
    <mergeCell ref="A67:AE99"/>
    <mergeCell ref="B4:B7"/>
    <mergeCell ref="C4:C7"/>
    <mergeCell ref="D4:D7"/>
    <mergeCell ref="E4:H5"/>
    <mergeCell ref="T6:T7"/>
    <mergeCell ref="U6:U7"/>
    <mergeCell ref="O5:O7"/>
    <mergeCell ref="V6:V7"/>
    <mergeCell ref="W6:W7"/>
    <mergeCell ref="X6:X7"/>
    <mergeCell ref="E6:E7"/>
    <mergeCell ref="Y6:Y7"/>
    <mergeCell ref="Z6:Z7"/>
    <mergeCell ref="AA6:AC6"/>
    <mergeCell ref="AD6:AD7"/>
    <mergeCell ref="H6:H7"/>
    <mergeCell ref="J6:J7"/>
    <mergeCell ref="K6:K7"/>
    <mergeCell ref="L5:L7"/>
    <mergeCell ref="M5:M7"/>
    <mergeCell ref="N5:N7"/>
  </mergeCells>
  <pageMargins left="0.27" right="0.16" top="0.22" bottom="0.2" header="0.17" footer="0.17"/>
  <pageSetup paperSize="9" scale="65" orientation="landscape" r:id="rId1"/>
  <headerFooter alignWithMargins="0"/>
  <rowBreaks count="2" manualBreakCount="2">
    <brk id="34" max="105" man="1"/>
    <brk id="66" max="106" man="1"/>
  </rowBreaks>
  <colBreaks count="3" manualBreakCount="3">
    <brk id="17" max="65" man="1"/>
    <brk id="32" max="65" man="1"/>
    <brk id="84" max="4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J238"/>
  <sheetViews>
    <sheetView view="pageBreakPreview" zoomScaleNormal="100" zoomScaleSheetLayoutView="100" workbookViewId="0">
      <pane xSplit="3" ySplit="5" topLeftCell="AJ6" activePane="bottomRight" state="frozen"/>
      <selection pane="topRight" activeCell="D1" sqref="D1"/>
      <selection pane="bottomLeft" activeCell="A9" sqref="A9"/>
      <selection pane="bottomRight" activeCell="AK10" sqref="AK10"/>
    </sheetView>
  </sheetViews>
  <sheetFormatPr defaultRowHeight="14.25"/>
  <cols>
    <col min="1" max="1" width="3.42578125" style="627" customWidth="1"/>
    <col min="2" max="2" width="50.85546875" style="659" customWidth="1"/>
    <col min="3" max="3" width="39.42578125" style="550" hidden="1" customWidth="1"/>
    <col min="4" max="4" width="15.140625" style="550" hidden="1" customWidth="1"/>
    <col min="5" max="5" width="10.28515625" style="627" hidden="1" customWidth="1"/>
    <col min="6" max="6" width="10.28515625" style="660" hidden="1" customWidth="1"/>
    <col min="7" max="7" width="9.7109375" style="627" hidden="1" customWidth="1"/>
    <col min="8" max="8" width="9.7109375" style="661" hidden="1" customWidth="1"/>
    <col min="9" max="9" width="9.7109375" style="627" hidden="1" customWidth="1"/>
    <col min="10" max="10" width="9.7109375" style="661" hidden="1" customWidth="1"/>
    <col min="11" max="11" width="10.85546875" style="627" hidden="1" customWidth="1"/>
    <col min="12" max="15" width="10.42578125" style="627" hidden="1" customWidth="1"/>
    <col min="16" max="16" width="16.28515625" style="627" hidden="1" customWidth="1"/>
    <col min="17" max="17" width="15.140625" style="627" hidden="1" customWidth="1"/>
    <col min="18" max="18" width="13.5703125" style="627" hidden="1" customWidth="1"/>
    <col min="19" max="19" width="10.5703125" style="627" hidden="1" customWidth="1"/>
    <col min="20" max="20" width="10.85546875" style="627" hidden="1" customWidth="1"/>
    <col min="21" max="21" width="18" style="627" hidden="1" customWidth="1"/>
    <col min="22" max="22" width="15.42578125" style="627" hidden="1" customWidth="1"/>
    <col min="23" max="23" width="12.140625" style="627" hidden="1" customWidth="1"/>
    <col min="24" max="24" width="13.42578125" style="627" hidden="1" customWidth="1"/>
    <col min="25" max="27" width="8.85546875" style="627" hidden="1" customWidth="1"/>
    <col min="28" max="28" width="9.28515625" style="627" hidden="1" customWidth="1"/>
    <col min="29" max="29" width="14" style="627" hidden="1" customWidth="1"/>
    <col min="30" max="31" width="8.85546875" style="627" hidden="1" customWidth="1"/>
    <col min="32" max="32" width="10.140625" style="627" hidden="1" customWidth="1"/>
    <col min="33" max="33" width="9.5703125" style="627" hidden="1" customWidth="1"/>
    <col min="34" max="34" width="16.140625" style="627" hidden="1" customWidth="1"/>
    <col min="35" max="35" width="12" style="627" hidden="1" customWidth="1"/>
    <col min="36" max="36" width="10.85546875" style="627" customWidth="1"/>
    <col min="37" max="37" width="9.85546875" style="624" customWidth="1"/>
    <col min="38" max="39" width="10.140625" style="624" customWidth="1"/>
    <col min="40" max="42" width="9.28515625" style="624" customWidth="1"/>
    <col min="43" max="43" width="9.85546875" style="624" customWidth="1"/>
    <col min="44" max="45" width="8.5703125" style="624" customWidth="1"/>
    <col min="46" max="48" width="8.85546875" style="624" customWidth="1"/>
    <col min="49" max="49" width="9.28515625" style="624" customWidth="1"/>
    <col min="50" max="51" width="8.85546875" style="624" customWidth="1"/>
    <col min="52" max="52" width="10" style="624" customWidth="1"/>
    <col min="53" max="54" width="8.85546875" style="624" customWidth="1"/>
    <col min="55" max="55" width="11" style="624" customWidth="1"/>
    <col min="56" max="57" width="9.5703125" style="624" customWidth="1"/>
    <col min="58" max="60" width="8.85546875" style="624" customWidth="1"/>
    <col min="61" max="61" width="10.42578125" style="624" customWidth="1"/>
    <col min="62" max="63" width="8.85546875" style="624" customWidth="1"/>
    <col min="64" max="64" width="9.7109375" style="624" customWidth="1"/>
    <col min="65" max="66" width="8.85546875" style="624" customWidth="1"/>
    <col min="67" max="67" width="9.28515625" style="624" customWidth="1"/>
    <col min="68" max="88" width="8.85546875" style="624" customWidth="1"/>
    <col min="89" max="89" width="9.85546875" style="624" customWidth="1"/>
    <col min="90" max="90" width="8.85546875" style="624" customWidth="1"/>
    <col min="91" max="91" width="10" style="624" customWidth="1"/>
    <col min="92" max="108" width="8.85546875" style="624" customWidth="1"/>
    <col min="109" max="109" width="9.42578125" style="624" customWidth="1"/>
    <col min="110" max="110" width="8.85546875" style="624" customWidth="1"/>
    <col min="111" max="111" width="12" style="624" customWidth="1"/>
    <col min="112" max="112" width="11.140625" style="624" customWidth="1"/>
    <col min="113" max="113" width="28.7109375" style="624" customWidth="1"/>
    <col min="114" max="114" width="5.85546875" style="624" customWidth="1"/>
    <col min="115" max="264" width="9.140625" style="624"/>
    <col min="265" max="265" width="3.42578125" style="624" customWidth="1"/>
    <col min="266" max="266" width="27.85546875" style="624" customWidth="1"/>
    <col min="267" max="267" width="11.85546875" style="624" customWidth="1"/>
    <col min="268" max="268" width="15.140625" style="624" customWidth="1"/>
    <col min="269" max="269" width="10.28515625" style="624" customWidth="1"/>
    <col min="270" max="271" width="9.7109375" style="624" customWidth="1"/>
    <col min="272" max="272" width="10.42578125" style="624" customWidth="1"/>
    <col min="273" max="273" width="10.42578125" style="624" bestFit="1" customWidth="1"/>
    <col min="274" max="274" width="16.28515625" style="624" customWidth="1"/>
    <col min="275" max="275" width="15.140625" style="624" customWidth="1"/>
    <col min="276" max="276" width="13.5703125" style="624" customWidth="1"/>
    <col min="277" max="277" width="10.5703125" style="624" customWidth="1"/>
    <col min="278" max="278" width="10.85546875" style="624" customWidth="1"/>
    <col min="279" max="279" width="18" style="624" customWidth="1"/>
    <col min="280" max="280" width="20.85546875" style="624" customWidth="1"/>
    <col min="281" max="281" width="13.5703125" style="624" customWidth="1"/>
    <col min="282" max="282" width="14.140625" style="624" customWidth="1"/>
    <col min="283" max="285" width="8.85546875" style="624" customWidth="1"/>
    <col min="286" max="286" width="9.28515625" style="624" customWidth="1"/>
    <col min="287" max="287" width="14" style="624" customWidth="1"/>
    <col min="288" max="289" width="8.85546875" style="624" customWidth="1"/>
    <col min="290" max="290" width="10.140625" style="624" customWidth="1"/>
    <col min="291" max="292" width="9.5703125" style="624" customWidth="1"/>
    <col min="293" max="293" width="9.85546875" style="624" customWidth="1"/>
    <col min="294" max="295" width="10.140625" style="624" customWidth="1"/>
    <col min="296" max="298" width="9.28515625" style="624" customWidth="1"/>
    <col min="299" max="299" width="9.85546875" style="624" customWidth="1"/>
    <col min="300" max="301" width="8.5703125" style="624" customWidth="1"/>
    <col min="302" max="304" width="8.85546875" style="624" customWidth="1"/>
    <col min="305" max="305" width="9.28515625" style="624" customWidth="1"/>
    <col min="306" max="307" width="8.85546875" style="624" customWidth="1"/>
    <col min="308" max="308" width="10" style="624" customWidth="1"/>
    <col min="309" max="310" width="8.85546875" style="624" customWidth="1"/>
    <col min="311" max="311" width="11" style="624" customWidth="1"/>
    <col min="312" max="313" width="9.5703125" style="624" customWidth="1"/>
    <col min="314" max="316" width="8.85546875" style="624" customWidth="1"/>
    <col min="317" max="317" width="10.42578125" style="624" customWidth="1"/>
    <col min="318" max="319" width="8.85546875" style="624" customWidth="1"/>
    <col min="320" max="320" width="9.7109375" style="624" customWidth="1"/>
    <col min="321" max="322" width="8.85546875" style="624" customWidth="1"/>
    <col min="323" max="323" width="9.28515625" style="624" customWidth="1"/>
    <col min="324" max="344" width="8.85546875" style="624" customWidth="1"/>
    <col min="345" max="345" width="9.85546875" style="624" customWidth="1"/>
    <col min="346" max="346" width="8.85546875" style="624" customWidth="1"/>
    <col min="347" max="347" width="10" style="624" customWidth="1"/>
    <col min="348" max="364" width="8.85546875" style="624" customWidth="1"/>
    <col min="365" max="365" width="9.42578125" style="624" customWidth="1"/>
    <col min="366" max="366" width="8.85546875" style="624" customWidth="1"/>
    <col min="367" max="367" width="12" style="624" customWidth="1"/>
    <col min="368" max="368" width="11.140625" style="624" customWidth="1"/>
    <col min="369" max="369" width="28.7109375" style="624" customWidth="1"/>
    <col min="370" max="370" width="5.85546875" style="624" customWidth="1"/>
    <col min="371" max="520" width="9.140625" style="624"/>
    <col min="521" max="521" width="3.42578125" style="624" customWidth="1"/>
    <col min="522" max="522" width="27.85546875" style="624" customWidth="1"/>
    <col min="523" max="523" width="11.85546875" style="624" customWidth="1"/>
    <col min="524" max="524" width="15.140625" style="624" customWidth="1"/>
    <col min="525" max="525" width="10.28515625" style="624" customWidth="1"/>
    <col min="526" max="527" width="9.7109375" style="624" customWidth="1"/>
    <col min="528" max="528" width="10.42578125" style="624" customWidth="1"/>
    <col min="529" max="529" width="10.42578125" style="624" bestFit="1" customWidth="1"/>
    <col min="530" max="530" width="16.28515625" style="624" customWidth="1"/>
    <col min="531" max="531" width="15.140625" style="624" customWidth="1"/>
    <col min="532" max="532" width="13.5703125" style="624" customWidth="1"/>
    <col min="533" max="533" width="10.5703125" style="624" customWidth="1"/>
    <col min="534" max="534" width="10.85546875" style="624" customWidth="1"/>
    <col min="535" max="535" width="18" style="624" customWidth="1"/>
    <col min="536" max="536" width="20.85546875" style="624" customWidth="1"/>
    <col min="537" max="537" width="13.5703125" style="624" customWidth="1"/>
    <col min="538" max="538" width="14.140625" style="624" customWidth="1"/>
    <col min="539" max="541" width="8.85546875" style="624" customWidth="1"/>
    <col min="542" max="542" width="9.28515625" style="624" customWidth="1"/>
    <col min="543" max="543" width="14" style="624" customWidth="1"/>
    <col min="544" max="545" width="8.85546875" style="624" customWidth="1"/>
    <col min="546" max="546" width="10.140625" style="624" customWidth="1"/>
    <col min="547" max="548" width="9.5703125" style="624" customWidth="1"/>
    <col min="549" max="549" width="9.85546875" style="624" customWidth="1"/>
    <col min="550" max="551" width="10.140625" style="624" customWidth="1"/>
    <col min="552" max="554" width="9.28515625" style="624" customWidth="1"/>
    <col min="555" max="555" width="9.85546875" style="624" customWidth="1"/>
    <col min="556" max="557" width="8.5703125" style="624" customWidth="1"/>
    <col min="558" max="560" width="8.85546875" style="624" customWidth="1"/>
    <col min="561" max="561" width="9.28515625" style="624" customWidth="1"/>
    <col min="562" max="563" width="8.85546875" style="624" customWidth="1"/>
    <col min="564" max="564" width="10" style="624" customWidth="1"/>
    <col min="565" max="566" width="8.85546875" style="624" customWidth="1"/>
    <col min="567" max="567" width="11" style="624" customWidth="1"/>
    <col min="568" max="569" width="9.5703125" style="624" customWidth="1"/>
    <col min="570" max="572" width="8.85546875" style="624" customWidth="1"/>
    <col min="573" max="573" width="10.42578125" style="624" customWidth="1"/>
    <col min="574" max="575" width="8.85546875" style="624" customWidth="1"/>
    <col min="576" max="576" width="9.7109375" style="624" customWidth="1"/>
    <col min="577" max="578" width="8.85546875" style="624" customWidth="1"/>
    <col min="579" max="579" width="9.28515625" style="624" customWidth="1"/>
    <col min="580" max="600" width="8.85546875" style="624" customWidth="1"/>
    <col min="601" max="601" width="9.85546875" style="624" customWidth="1"/>
    <col min="602" max="602" width="8.85546875" style="624" customWidth="1"/>
    <col min="603" max="603" width="10" style="624" customWidth="1"/>
    <col min="604" max="620" width="8.85546875" style="624" customWidth="1"/>
    <col min="621" max="621" width="9.42578125" style="624" customWidth="1"/>
    <col min="622" max="622" width="8.85546875" style="624" customWidth="1"/>
    <col min="623" max="623" width="12" style="624" customWidth="1"/>
    <col min="624" max="624" width="11.140625" style="624" customWidth="1"/>
    <col min="625" max="625" width="28.7109375" style="624" customWidth="1"/>
    <col min="626" max="626" width="5.85546875" style="624" customWidth="1"/>
    <col min="627" max="776" width="9.140625" style="624"/>
    <col min="777" max="777" width="3.42578125" style="624" customWidth="1"/>
    <col min="778" max="778" width="27.85546875" style="624" customWidth="1"/>
    <col min="779" max="779" width="11.85546875" style="624" customWidth="1"/>
    <col min="780" max="780" width="15.140625" style="624" customWidth="1"/>
    <col min="781" max="781" width="10.28515625" style="624" customWidth="1"/>
    <col min="782" max="783" width="9.7109375" style="624" customWidth="1"/>
    <col min="784" max="784" width="10.42578125" style="624" customWidth="1"/>
    <col min="785" max="785" width="10.42578125" style="624" bestFit="1" customWidth="1"/>
    <col min="786" max="786" width="16.28515625" style="624" customWidth="1"/>
    <col min="787" max="787" width="15.140625" style="624" customWidth="1"/>
    <col min="788" max="788" width="13.5703125" style="624" customWidth="1"/>
    <col min="789" max="789" width="10.5703125" style="624" customWidth="1"/>
    <col min="790" max="790" width="10.85546875" style="624" customWidth="1"/>
    <col min="791" max="791" width="18" style="624" customWidth="1"/>
    <col min="792" max="792" width="20.85546875" style="624" customWidth="1"/>
    <col min="793" max="793" width="13.5703125" style="624" customWidth="1"/>
    <col min="794" max="794" width="14.140625" style="624" customWidth="1"/>
    <col min="795" max="797" width="8.85546875" style="624" customWidth="1"/>
    <col min="798" max="798" width="9.28515625" style="624" customWidth="1"/>
    <col min="799" max="799" width="14" style="624" customWidth="1"/>
    <col min="800" max="801" width="8.85546875" style="624" customWidth="1"/>
    <col min="802" max="802" width="10.140625" style="624" customWidth="1"/>
    <col min="803" max="804" width="9.5703125" style="624" customWidth="1"/>
    <col min="805" max="805" width="9.85546875" style="624" customWidth="1"/>
    <col min="806" max="807" width="10.140625" style="624" customWidth="1"/>
    <col min="808" max="810" width="9.28515625" style="624" customWidth="1"/>
    <col min="811" max="811" width="9.85546875" style="624" customWidth="1"/>
    <col min="812" max="813" width="8.5703125" style="624" customWidth="1"/>
    <col min="814" max="816" width="8.85546875" style="624" customWidth="1"/>
    <col min="817" max="817" width="9.28515625" style="624" customWidth="1"/>
    <col min="818" max="819" width="8.85546875" style="624" customWidth="1"/>
    <col min="820" max="820" width="10" style="624" customWidth="1"/>
    <col min="821" max="822" width="8.85546875" style="624" customWidth="1"/>
    <col min="823" max="823" width="11" style="624" customWidth="1"/>
    <col min="824" max="825" width="9.5703125" style="624" customWidth="1"/>
    <col min="826" max="828" width="8.85546875" style="624" customWidth="1"/>
    <col min="829" max="829" width="10.42578125" style="624" customWidth="1"/>
    <col min="830" max="831" width="8.85546875" style="624" customWidth="1"/>
    <col min="832" max="832" width="9.7109375" style="624" customWidth="1"/>
    <col min="833" max="834" width="8.85546875" style="624" customWidth="1"/>
    <col min="835" max="835" width="9.28515625" style="624" customWidth="1"/>
    <col min="836" max="856" width="8.85546875" style="624" customWidth="1"/>
    <col min="857" max="857" width="9.85546875" style="624" customWidth="1"/>
    <col min="858" max="858" width="8.85546875" style="624" customWidth="1"/>
    <col min="859" max="859" width="10" style="624" customWidth="1"/>
    <col min="860" max="876" width="8.85546875" style="624" customWidth="1"/>
    <col min="877" max="877" width="9.42578125" style="624" customWidth="1"/>
    <col min="878" max="878" width="8.85546875" style="624" customWidth="1"/>
    <col min="879" max="879" width="12" style="624" customWidth="1"/>
    <col min="880" max="880" width="11.140625" style="624" customWidth="1"/>
    <col min="881" max="881" width="28.7109375" style="624" customWidth="1"/>
    <col min="882" max="882" width="5.85546875" style="624" customWidth="1"/>
    <col min="883" max="1032" width="9.140625" style="624"/>
    <col min="1033" max="1033" width="3.42578125" style="624" customWidth="1"/>
    <col min="1034" max="1034" width="27.85546875" style="624" customWidth="1"/>
    <col min="1035" max="1035" width="11.85546875" style="624" customWidth="1"/>
    <col min="1036" max="1036" width="15.140625" style="624" customWidth="1"/>
    <col min="1037" max="1037" width="10.28515625" style="624" customWidth="1"/>
    <col min="1038" max="1039" width="9.7109375" style="624" customWidth="1"/>
    <col min="1040" max="1040" width="10.42578125" style="624" customWidth="1"/>
    <col min="1041" max="1041" width="10.42578125" style="624" bestFit="1" customWidth="1"/>
    <col min="1042" max="1042" width="16.28515625" style="624" customWidth="1"/>
    <col min="1043" max="1043" width="15.140625" style="624" customWidth="1"/>
    <col min="1044" max="1044" width="13.5703125" style="624" customWidth="1"/>
    <col min="1045" max="1045" width="10.5703125" style="624" customWidth="1"/>
    <col min="1046" max="1046" width="10.85546875" style="624" customWidth="1"/>
    <col min="1047" max="1047" width="18" style="624" customWidth="1"/>
    <col min="1048" max="1048" width="20.85546875" style="624" customWidth="1"/>
    <col min="1049" max="1049" width="13.5703125" style="624" customWidth="1"/>
    <col min="1050" max="1050" width="14.140625" style="624" customWidth="1"/>
    <col min="1051" max="1053" width="8.85546875" style="624" customWidth="1"/>
    <col min="1054" max="1054" width="9.28515625" style="624" customWidth="1"/>
    <col min="1055" max="1055" width="14" style="624" customWidth="1"/>
    <col min="1056" max="1057" width="8.85546875" style="624" customWidth="1"/>
    <col min="1058" max="1058" width="10.140625" style="624" customWidth="1"/>
    <col min="1059" max="1060" width="9.5703125" style="624" customWidth="1"/>
    <col min="1061" max="1061" width="9.85546875" style="624" customWidth="1"/>
    <col min="1062" max="1063" width="10.140625" style="624" customWidth="1"/>
    <col min="1064" max="1066" width="9.28515625" style="624" customWidth="1"/>
    <col min="1067" max="1067" width="9.85546875" style="624" customWidth="1"/>
    <col min="1068" max="1069" width="8.5703125" style="624" customWidth="1"/>
    <col min="1070" max="1072" width="8.85546875" style="624" customWidth="1"/>
    <col min="1073" max="1073" width="9.28515625" style="624" customWidth="1"/>
    <col min="1074" max="1075" width="8.85546875" style="624" customWidth="1"/>
    <col min="1076" max="1076" width="10" style="624" customWidth="1"/>
    <col min="1077" max="1078" width="8.85546875" style="624" customWidth="1"/>
    <col min="1079" max="1079" width="11" style="624" customWidth="1"/>
    <col min="1080" max="1081" width="9.5703125" style="624" customWidth="1"/>
    <col min="1082" max="1084" width="8.85546875" style="624" customWidth="1"/>
    <col min="1085" max="1085" width="10.42578125" style="624" customWidth="1"/>
    <col min="1086" max="1087" width="8.85546875" style="624" customWidth="1"/>
    <col min="1088" max="1088" width="9.7109375" style="624" customWidth="1"/>
    <col min="1089" max="1090" width="8.85546875" style="624" customWidth="1"/>
    <col min="1091" max="1091" width="9.28515625" style="624" customWidth="1"/>
    <col min="1092" max="1112" width="8.85546875" style="624" customWidth="1"/>
    <col min="1113" max="1113" width="9.85546875" style="624" customWidth="1"/>
    <col min="1114" max="1114" width="8.85546875" style="624" customWidth="1"/>
    <col min="1115" max="1115" width="10" style="624" customWidth="1"/>
    <col min="1116" max="1132" width="8.85546875" style="624" customWidth="1"/>
    <col min="1133" max="1133" width="9.42578125" style="624" customWidth="1"/>
    <col min="1134" max="1134" width="8.85546875" style="624" customWidth="1"/>
    <col min="1135" max="1135" width="12" style="624" customWidth="1"/>
    <col min="1136" max="1136" width="11.140625" style="624" customWidth="1"/>
    <col min="1137" max="1137" width="28.7109375" style="624" customWidth="1"/>
    <col min="1138" max="1138" width="5.85546875" style="624" customWidth="1"/>
    <col min="1139" max="1288" width="9.140625" style="624"/>
    <col min="1289" max="1289" width="3.42578125" style="624" customWidth="1"/>
    <col min="1290" max="1290" width="27.85546875" style="624" customWidth="1"/>
    <col min="1291" max="1291" width="11.85546875" style="624" customWidth="1"/>
    <col min="1292" max="1292" width="15.140625" style="624" customWidth="1"/>
    <col min="1293" max="1293" width="10.28515625" style="624" customWidth="1"/>
    <col min="1294" max="1295" width="9.7109375" style="624" customWidth="1"/>
    <col min="1296" max="1296" width="10.42578125" style="624" customWidth="1"/>
    <col min="1297" max="1297" width="10.42578125" style="624" bestFit="1" customWidth="1"/>
    <col min="1298" max="1298" width="16.28515625" style="624" customWidth="1"/>
    <col min="1299" max="1299" width="15.140625" style="624" customWidth="1"/>
    <col min="1300" max="1300" width="13.5703125" style="624" customWidth="1"/>
    <col min="1301" max="1301" width="10.5703125" style="624" customWidth="1"/>
    <col min="1302" max="1302" width="10.85546875" style="624" customWidth="1"/>
    <col min="1303" max="1303" width="18" style="624" customWidth="1"/>
    <col min="1304" max="1304" width="20.85546875" style="624" customWidth="1"/>
    <col min="1305" max="1305" width="13.5703125" style="624" customWidth="1"/>
    <col min="1306" max="1306" width="14.140625" style="624" customWidth="1"/>
    <col min="1307" max="1309" width="8.85546875" style="624" customWidth="1"/>
    <col min="1310" max="1310" width="9.28515625" style="624" customWidth="1"/>
    <col min="1311" max="1311" width="14" style="624" customWidth="1"/>
    <col min="1312" max="1313" width="8.85546875" style="624" customWidth="1"/>
    <col min="1314" max="1314" width="10.140625" style="624" customWidth="1"/>
    <col min="1315" max="1316" width="9.5703125" style="624" customWidth="1"/>
    <col min="1317" max="1317" width="9.85546875" style="624" customWidth="1"/>
    <col min="1318" max="1319" width="10.140625" style="624" customWidth="1"/>
    <col min="1320" max="1322" width="9.28515625" style="624" customWidth="1"/>
    <col min="1323" max="1323" width="9.85546875" style="624" customWidth="1"/>
    <col min="1324" max="1325" width="8.5703125" style="624" customWidth="1"/>
    <col min="1326" max="1328" width="8.85546875" style="624" customWidth="1"/>
    <col min="1329" max="1329" width="9.28515625" style="624" customWidth="1"/>
    <col min="1330" max="1331" width="8.85546875" style="624" customWidth="1"/>
    <col min="1332" max="1332" width="10" style="624" customWidth="1"/>
    <col min="1333" max="1334" width="8.85546875" style="624" customWidth="1"/>
    <col min="1335" max="1335" width="11" style="624" customWidth="1"/>
    <col min="1336" max="1337" width="9.5703125" style="624" customWidth="1"/>
    <col min="1338" max="1340" width="8.85546875" style="624" customWidth="1"/>
    <col min="1341" max="1341" width="10.42578125" style="624" customWidth="1"/>
    <col min="1342" max="1343" width="8.85546875" style="624" customWidth="1"/>
    <col min="1344" max="1344" width="9.7109375" style="624" customWidth="1"/>
    <col min="1345" max="1346" width="8.85546875" style="624" customWidth="1"/>
    <col min="1347" max="1347" width="9.28515625" style="624" customWidth="1"/>
    <col min="1348" max="1368" width="8.85546875" style="624" customWidth="1"/>
    <col min="1369" max="1369" width="9.85546875" style="624" customWidth="1"/>
    <col min="1370" max="1370" width="8.85546875" style="624" customWidth="1"/>
    <col min="1371" max="1371" width="10" style="624" customWidth="1"/>
    <col min="1372" max="1388" width="8.85546875" style="624" customWidth="1"/>
    <col min="1389" max="1389" width="9.42578125" style="624" customWidth="1"/>
    <col min="1390" max="1390" width="8.85546875" style="624" customWidth="1"/>
    <col min="1391" max="1391" width="12" style="624" customWidth="1"/>
    <col min="1392" max="1392" width="11.140625" style="624" customWidth="1"/>
    <col min="1393" max="1393" width="28.7109375" style="624" customWidth="1"/>
    <col min="1394" max="1394" width="5.85546875" style="624" customWidth="1"/>
    <col min="1395" max="1544" width="9.140625" style="624"/>
    <col min="1545" max="1545" width="3.42578125" style="624" customWidth="1"/>
    <col min="1546" max="1546" width="27.85546875" style="624" customWidth="1"/>
    <col min="1547" max="1547" width="11.85546875" style="624" customWidth="1"/>
    <col min="1548" max="1548" width="15.140625" style="624" customWidth="1"/>
    <col min="1549" max="1549" width="10.28515625" style="624" customWidth="1"/>
    <col min="1550" max="1551" width="9.7109375" style="624" customWidth="1"/>
    <col min="1552" max="1552" width="10.42578125" style="624" customWidth="1"/>
    <col min="1553" max="1553" width="10.42578125" style="624" bestFit="1" customWidth="1"/>
    <col min="1554" max="1554" width="16.28515625" style="624" customWidth="1"/>
    <col min="1555" max="1555" width="15.140625" style="624" customWidth="1"/>
    <col min="1556" max="1556" width="13.5703125" style="624" customWidth="1"/>
    <col min="1557" max="1557" width="10.5703125" style="624" customWidth="1"/>
    <col min="1558" max="1558" width="10.85546875" style="624" customWidth="1"/>
    <col min="1559" max="1559" width="18" style="624" customWidth="1"/>
    <col min="1560" max="1560" width="20.85546875" style="624" customWidth="1"/>
    <col min="1561" max="1561" width="13.5703125" style="624" customWidth="1"/>
    <col min="1562" max="1562" width="14.140625" style="624" customWidth="1"/>
    <col min="1563" max="1565" width="8.85546875" style="624" customWidth="1"/>
    <col min="1566" max="1566" width="9.28515625" style="624" customWidth="1"/>
    <col min="1567" max="1567" width="14" style="624" customWidth="1"/>
    <col min="1568" max="1569" width="8.85546875" style="624" customWidth="1"/>
    <col min="1570" max="1570" width="10.140625" style="624" customWidth="1"/>
    <col min="1571" max="1572" width="9.5703125" style="624" customWidth="1"/>
    <col min="1573" max="1573" width="9.85546875" style="624" customWidth="1"/>
    <col min="1574" max="1575" width="10.140625" style="624" customWidth="1"/>
    <col min="1576" max="1578" width="9.28515625" style="624" customWidth="1"/>
    <col min="1579" max="1579" width="9.85546875" style="624" customWidth="1"/>
    <col min="1580" max="1581" width="8.5703125" style="624" customWidth="1"/>
    <col min="1582" max="1584" width="8.85546875" style="624" customWidth="1"/>
    <col min="1585" max="1585" width="9.28515625" style="624" customWidth="1"/>
    <col min="1586" max="1587" width="8.85546875" style="624" customWidth="1"/>
    <col min="1588" max="1588" width="10" style="624" customWidth="1"/>
    <col min="1589" max="1590" width="8.85546875" style="624" customWidth="1"/>
    <col min="1591" max="1591" width="11" style="624" customWidth="1"/>
    <col min="1592" max="1593" width="9.5703125" style="624" customWidth="1"/>
    <col min="1594" max="1596" width="8.85546875" style="624" customWidth="1"/>
    <col min="1597" max="1597" width="10.42578125" style="624" customWidth="1"/>
    <col min="1598" max="1599" width="8.85546875" style="624" customWidth="1"/>
    <col min="1600" max="1600" width="9.7109375" style="624" customWidth="1"/>
    <col min="1601" max="1602" width="8.85546875" style="624" customWidth="1"/>
    <col min="1603" max="1603" width="9.28515625" style="624" customWidth="1"/>
    <col min="1604" max="1624" width="8.85546875" style="624" customWidth="1"/>
    <col min="1625" max="1625" width="9.85546875" style="624" customWidth="1"/>
    <col min="1626" max="1626" width="8.85546875" style="624" customWidth="1"/>
    <col min="1627" max="1627" width="10" style="624" customWidth="1"/>
    <col min="1628" max="1644" width="8.85546875" style="624" customWidth="1"/>
    <col min="1645" max="1645" width="9.42578125" style="624" customWidth="1"/>
    <col min="1646" max="1646" width="8.85546875" style="624" customWidth="1"/>
    <col min="1647" max="1647" width="12" style="624" customWidth="1"/>
    <col min="1648" max="1648" width="11.140625" style="624" customWidth="1"/>
    <col min="1649" max="1649" width="28.7109375" style="624" customWidth="1"/>
    <col min="1650" max="1650" width="5.85546875" style="624" customWidth="1"/>
    <col min="1651" max="1800" width="9.140625" style="624"/>
    <col min="1801" max="1801" width="3.42578125" style="624" customWidth="1"/>
    <col min="1802" max="1802" width="27.85546875" style="624" customWidth="1"/>
    <col min="1803" max="1803" width="11.85546875" style="624" customWidth="1"/>
    <col min="1804" max="1804" width="15.140625" style="624" customWidth="1"/>
    <col min="1805" max="1805" width="10.28515625" style="624" customWidth="1"/>
    <col min="1806" max="1807" width="9.7109375" style="624" customWidth="1"/>
    <col min="1808" max="1808" width="10.42578125" style="624" customWidth="1"/>
    <col min="1809" max="1809" width="10.42578125" style="624" bestFit="1" customWidth="1"/>
    <col min="1810" max="1810" width="16.28515625" style="624" customWidth="1"/>
    <col min="1811" max="1811" width="15.140625" style="624" customWidth="1"/>
    <col min="1812" max="1812" width="13.5703125" style="624" customWidth="1"/>
    <col min="1813" max="1813" width="10.5703125" style="624" customWidth="1"/>
    <col min="1814" max="1814" width="10.85546875" style="624" customWidth="1"/>
    <col min="1815" max="1815" width="18" style="624" customWidth="1"/>
    <col min="1816" max="1816" width="20.85546875" style="624" customWidth="1"/>
    <col min="1817" max="1817" width="13.5703125" style="624" customWidth="1"/>
    <col min="1818" max="1818" width="14.140625" style="624" customWidth="1"/>
    <col min="1819" max="1821" width="8.85546875" style="624" customWidth="1"/>
    <col min="1822" max="1822" width="9.28515625" style="624" customWidth="1"/>
    <col min="1823" max="1823" width="14" style="624" customWidth="1"/>
    <col min="1824" max="1825" width="8.85546875" style="624" customWidth="1"/>
    <col min="1826" max="1826" width="10.140625" style="624" customWidth="1"/>
    <col min="1827" max="1828" width="9.5703125" style="624" customWidth="1"/>
    <col min="1829" max="1829" width="9.85546875" style="624" customWidth="1"/>
    <col min="1830" max="1831" width="10.140625" style="624" customWidth="1"/>
    <col min="1832" max="1834" width="9.28515625" style="624" customWidth="1"/>
    <col min="1835" max="1835" width="9.85546875" style="624" customWidth="1"/>
    <col min="1836" max="1837" width="8.5703125" style="624" customWidth="1"/>
    <col min="1838" max="1840" width="8.85546875" style="624" customWidth="1"/>
    <col min="1841" max="1841" width="9.28515625" style="624" customWidth="1"/>
    <col min="1842" max="1843" width="8.85546875" style="624" customWidth="1"/>
    <col min="1844" max="1844" width="10" style="624" customWidth="1"/>
    <col min="1845" max="1846" width="8.85546875" style="624" customWidth="1"/>
    <col min="1847" max="1847" width="11" style="624" customWidth="1"/>
    <col min="1848" max="1849" width="9.5703125" style="624" customWidth="1"/>
    <col min="1850" max="1852" width="8.85546875" style="624" customWidth="1"/>
    <col min="1853" max="1853" width="10.42578125" style="624" customWidth="1"/>
    <col min="1854" max="1855" width="8.85546875" style="624" customWidth="1"/>
    <col min="1856" max="1856" width="9.7109375" style="624" customWidth="1"/>
    <col min="1857" max="1858" width="8.85546875" style="624" customWidth="1"/>
    <col min="1859" max="1859" width="9.28515625" style="624" customWidth="1"/>
    <col min="1860" max="1880" width="8.85546875" style="624" customWidth="1"/>
    <col min="1881" max="1881" width="9.85546875" style="624" customWidth="1"/>
    <col min="1882" max="1882" width="8.85546875" style="624" customWidth="1"/>
    <col min="1883" max="1883" width="10" style="624" customWidth="1"/>
    <col min="1884" max="1900" width="8.85546875" style="624" customWidth="1"/>
    <col min="1901" max="1901" width="9.42578125" style="624" customWidth="1"/>
    <col min="1902" max="1902" width="8.85546875" style="624" customWidth="1"/>
    <col min="1903" max="1903" width="12" style="624" customWidth="1"/>
    <col min="1904" max="1904" width="11.140625" style="624" customWidth="1"/>
    <col min="1905" max="1905" width="28.7109375" style="624" customWidth="1"/>
    <col min="1906" max="1906" width="5.85546875" style="624" customWidth="1"/>
    <col min="1907" max="2056" width="9.140625" style="624"/>
    <col min="2057" max="2057" width="3.42578125" style="624" customWidth="1"/>
    <col min="2058" max="2058" width="27.85546875" style="624" customWidth="1"/>
    <col min="2059" max="2059" width="11.85546875" style="624" customWidth="1"/>
    <col min="2060" max="2060" width="15.140625" style="624" customWidth="1"/>
    <col min="2061" max="2061" width="10.28515625" style="624" customWidth="1"/>
    <col min="2062" max="2063" width="9.7109375" style="624" customWidth="1"/>
    <col min="2064" max="2064" width="10.42578125" style="624" customWidth="1"/>
    <col min="2065" max="2065" width="10.42578125" style="624" bestFit="1" customWidth="1"/>
    <col min="2066" max="2066" width="16.28515625" style="624" customWidth="1"/>
    <col min="2067" max="2067" width="15.140625" style="624" customWidth="1"/>
    <col min="2068" max="2068" width="13.5703125" style="624" customWidth="1"/>
    <col min="2069" max="2069" width="10.5703125" style="624" customWidth="1"/>
    <col min="2070" max="2070" width="10.85546875" style="624" customWidth="1"/>
    <col min="2071" max="2071" width="18" style="624" customWidth="1"/>
    <col min="2072" max="2072" width="20.85546875" style="624" customWidth="1"/>
    <col min="2073" max="2073" width="13.5703125" style="624" customWidth="1"/>
    <col min="2074" max="2074" width="14.140625" style="624" customWidth="1"/>
    <col min="2075" max="2077" width="8.85546875" style="624" customWidth="1"/>
    <col min="2078" max="2078" width="9.28515625" style="624" customWidth="1"/>
    <col min="2079" max="2079" width="14" style="624" customWidth="1"/>
    <col min="2080" max="2081" width="8.85546875" style="624" customWidth="1"/>
    <col min="2082" max="2082" width="10.140625" style="624" customWidth="1"/>
    <col min="2083" max="2084" width="9.5703125" style="624" customWidth="1"/>
    <col min="2085" max="2085" width="9.85546875" style="624" customWidth="1"/>
    <col min="2086" max="2087" width="10.140625" style="624" customWidth="1"/>
    <col min="2088" max="2090" width="9.28515625" style="624" customWidth="1"/>
    <col min="2091" max="2091" width="9.85546875" style="624" customWidth="1"/>
    <col min="2092" max="2093" width="8.5703125" style="624" customWidth="1"/>
    <col min="2094" max="2096" width="8.85546875" style="624" customWidth="1"/>
    <col min="2097" max="2097" width="9.28515625" style="624" customWidth="1"/>
    <col min="2098" max="2099" width="8.85546875" style="624" customWidth="1"/>
    <col min="2100" max="2100" width="10" style="624" customWidth="1"/>
    <col min="2101" max="2102" width="8.85546875" style="624" customWidth="1"/>
    <col min="2103" max="2103" width="11" style="624" customWidth="1"/>
    <col min="2104" max="2105" width="9.5703125" style="624" customWidth="1"/>
    <col min="2106" max="2108" width="8.85546875" style="624" customWidth="1"/>
    <col min="2109" max="2109" width="10.42578125" style="624" customWidth="1"/>
    <col min="2110" max="2111" width="8.85546875" style="624" customWidth="1"/>
    <col min="2112" max="2112" width="9.7109375" style="624" customWidth="1"/>
    <col min="2113" max="2114" width="8.85546875" style="624" customWidth="1"/>
    <col min="2115" max="2115" width="9.28515625" style="624" customWidth="1"/>
    <col min="2116" max="2136" width="8.85546875" style="624" customWidth="1"/>
    <col min="2137" max="2137" width="9.85546875" style="624" customWidth="1"/>
    <col min="2138" max="2138" width="8.85546875" style="624" customWidth="1"/>
    <col min="2139" max="2139" width="10" style="624" customWidth="1"/>
    <col min="2140" max="2156" width="8.85546875" style="624" customWidth="1"/>
    <col min="2157" max="2157" width="9.42578125" style="624" customWidth="1"/>
    <col min="2158" max="2158" width="8.85546875" style="624" customWidth="1"/>
    <col min="2159" max="2159" width="12" style="624" customWidth="1"/>
    <col min="2160" max="2160" width="11.140625" style="624" customWidth="1"/>
    <col min="2161" max="2161" width="28.7109375" style="624" customWidth="1"/>
    <col min="2162" max="2162" width="5.85546875" style="624" customWidth="1"/>
    <col min="2163" max="2312" width="9.140625" style="624"/>
    <col min="2313" max="2313" width="3.42578125" style="624" customWidth="1"/>
    <col min="2314" max="2314" width="27.85546875" style="624" customWidth="1"/>
    <col min="2315" max="2315" width="11.85546875" style="624" customWidth="1"/>
    <col min="2316" max="2316" width="15.140625" style="624" customWidth="1"/>
    <col min="2317" max="2317" width="10.28515625" style="624" customWidth="1"/>
    <col min="2318" max="2319" width="9.7109375" style="624" customWidth="1"/>
    <col min="2320" max="2320" width="10.42578125" style="624" customWidth="1"/>
    <col min="2321" max="2321" width="10.42578125" style="624" bestFit="1" customWidth="1"/>
    <col min="2322" max="2322" width="16.28515625" style="624" customWidth="1"/>
    <col min="2323" max="2323" width="15.140625" style="624" customWidth="1"/>
    <col min="2324" max="2324" width="13.5703125" style="624" customWidth="1"/>
    <col min="2325" max="2325" width="10.5703125" style="624" customWidth="1"/>
    <col min="2326" max="2326" width="10.85546875" style="624" customWidth="1"/>
    <col min="2327" max="2327" width="18" style="624" customWidth="1"/>
    <col min="2328" max="2328" width="20.85546875" style="624" customWidth="1"/>
    <col min="2329" max="2329" width="13.5703125" style="624" customWidth="1"/>
    <col min="2330" max="2330" width="14.140625" style="624" customWidth="1"/>
    <col min="2331" max="2333" width="8.85546875" style="624" customWidth="1"/>
    <col min="2334" max="2334" width="9.28515625" style="624" customWidth="1"/>
    <col min="2335" max="2335" width="14" style="624" customWidth="1"/>
    <col min="2336" max="2337" width="8.85546875" style="624" customWidth="1"/>
    <col min="2338" max="2338" width="10.140625" style="624" customWidth="1"/>
    <col min="2339" max="2340" width="9.5703125" style="624" customWidth="1"/>
    <col min="2341" max="2341" width="9.85546875" style="624" customWidth="1"/>
    <col min="2342" max="2343" width="10.140625" style="624" customWidth="1"/>
    <col min="2344" max="2346" width="9.28515625" style="624" customWidth="1"/>
    <col min="2347" max="2347" width="9.85546875" style="624" customWidth="1"/>
    <col min="2348" max="2349" width="8.5703125" style="624" customWidth="1"/>
    <col min="2350" max="2352" width="8.85546875" style="624" customWidth="1"/>
    <col min="2353" max="2353" width="9.28515625" style="624" customWidth="1"/>
    <col min="2354" max="2355" width="8.85546875" style="624" customWidth="1"/>
    <col min="2356" max="2356" width="10" style="624" customWidth="1"/>
    <col min="2357" max="2358" width="8.85546875" style="624" customWidth="1"/>
    <col min="2359" max="2359" width="11" style="624" customWidth="1"/>
    <col min="2360" max="2361" width="9.5703125" style="624" customWidth="1"/>
    <col min="2362" max="2364" width="8.85546875" style="624" customWidth="1"/>
    <col min="2365" max="2365" width="10.42578125" style="624" customWidth="1"/>
    <col min="2366" max="2367" width="8.85546875" style="624" customWidth="1"/>
    <col min="2368" max="2368" width="9.7109375" style="624" customWidth="1"/>
    <col min="2369" max="2370" width="8.85546875" style="624" customWidth="1"/>
    <col min="2371" max="2371" width="9.28515625" style="624" customWidth="1"/>
    <col min="2372" max="2392" width="8.85546875" style="624" customWidth="1"/>
    <col min="2393" max="2393" width="9.85546875" style="624" customWidth="1"/>
    <col min="2394" max="2394" width="8.85546875" style="624" customWidth="1"/>
    <col min="2395" max="2395" width="10" style="624" customWidth="1"/>
    <col min="2396" max="2412" width="8.85546875" style="624" customWidth="1"/>
    <col min="2413" max="2413" width="9.42578125" style="624" customWidth="1"/>
    <col min="2414" max="2414" width="8.85546875" style="624" customWidth="1"/>
    <col min="2415" max="2415" width="12" style="624" customWidth="1"/>
    <col min="2416" max="2416" width="11.140625" style="624" customWidth="1"/>
    <col min="2417" max="2417" width="28.7109375" style="624" customWidth="1"/>
    <col min="2418" max="2418" width="5.85546875" style="624" customWidth="1"/>
    <col min="2419" max="2568" width="9.140625" style="624"/>
    <col min="2569" max="2569" width="3.42578125" style="624" customWidth="1"/>
    <col min="2570" max="2570" width="27.85546875" style="624" customWidth="1"/>
    <col min="2571" max="2571" width="11.85546875" style="624" customWidth="1"/>
    <col min="2572" max="2572" width="15.140625" style="624" customWidth="1"/>
    <col min="2573" max="2573" width="10.28515625" style="624" customWidth="1"/>
    <col min="2574" max="2575" width="9.7109375" style="624" customWidth="1"/>
    <col min="2576" max="2576" width="10.42578125" style="624" customWidth="1"/>
    <col min="2577" max="2577" width="10.42578125" style="624" bestFit="1" customWidth="1"/>
    <col min="2578" max="2578" width="16.28515625" style="624" customWidth="1"/>
    <col min="2579" max="2579" width="15.140625" style="624" customWidth="1"/>
    <col min="2580" max="2580" width="13.5703125" style="624" customWidth="1"/>
    <col min="2581" max="2581" width="10.5703125" style="624" customWidth="1"/>
    <col min="2582" max="2582" width="10.85546875" style="624" customWidth="1"/>
    <col min="2583" max="2583" width="18" style="624" customWidth="1"/>
    <col min="2584" max="2584" width="20.85546875" style="624" customWidth="1"/>
    <col min="2585" max="2585" width="13.5703125" style="624" customWidth="1"/>
    <col min="2586" max="2586" width="14.140625" style="624" customWidth="1"/>
    <col min="2587" max="2589" width="8.85546875" style="624" customWidth="1"/>
    <col min="2590" max="2590" width="9.28515625" style="624" customWidth="1"/>
    <col min="2591" max="2591" width="14" style="624" customWidth="1"/>
    <col min="2592" max="2593" width="8.85546875" style="624" customWidth="1"/>
    <col min="2594" max="2594" width="10.140625" style="624" customWidth="1"/>
    <col min="2595" max="2596" width="9.5703125" style="624" customWidth="1"/>
    <col min="2597" max="2597" width="9.85546875" style="624" customWidth="1"/>
    <col min="2598" max="2599" width="10.140625" style="624" customWidth="1"/>
    <col min="2600" max="2602" width="9.28515625" style="624" customWidth="1"/>
    <col min="2603" max="2603" width="9.85546875" style="624" customWidth="1"/>
    <col min="2604" max="2605" width="8.5703125" style="624" customWidth="1"/>
    <col min="2606" max="2608" width="8.85546875" style="624" customWidth="1"/>
    <col min="2609" max="2609" width="9.28515625" style="624" customWidth="1"/>
    <col min="2610" max="2611" width="8.85546875" style="624" customWidth="1"/>
    <col min="2612" max="2612" width="10" style="624" customWidth="1"/>
    <col min="2613" max="2614" width="8.85546875" style="624" customWidth="1"/>
    <col min="2615" max="2615" width="11" style="624" customWidth="1"/>
    <col min="2616" max="2617" width="9.5703125" style="624" customWidth="1"/>
    <col min="2618" max="2620" width="8.85546875" style="624" customWidth="1"/>
    <col min="2621" max="2621" width="10.42578125" style="624" customWidth="1"/>
    <col min="2622" max="2623" width="8.85546875" style="624" customWidth="1"/>
    <col min="2624" max="2624" width="9.7109375" style="624" customWidth="1"/>
    <col min="2625" max="2626" width="8.85546875" style="624" customWidth="1"/>
    <col min="2627" max="2627" width="9.28515625" style="624" customWidth="1"/>
    <col min="2628" max="2648" width="8.85546875" style="624" customWidth="1"/>
    <col min="2649" max="2649" width="9.85546875" style="624" customWidth="1"/>
    <col min="2650" max="2650" width="8.85546875" style="624" customWidth="1"/>
    <col min="2651" max="2651" width="10" style="624" customWidth="1"/>
    <col min="2652" max="2668" width="8.85546875" style="624" customWidth="1"/>
    <col min="2669" max="2669" width="9.42578125" style="624" customWidth="1"/>
    <col min="2670" max="2670" width="8.85546875" style="624" customWidth="1"/>
    <col min="2671" max="2671" width="12" style="624" customWidth="1"/>
    <col min="2672" max="2672" width="11.140625" style="624" customWidth="1"/>
    <col min="2673" max="2673" width="28.7109375" style="624" customWidth="1"/>
    <col min="2674" max="2674" width="5.85546875" style="624" customWidth="1"/>
    <col min="2675" max="2824" width="9.140625" style="624"/>
    <col min="2825" max="2825" width="3.42578125" style="624" customWidth="1"/>
    <col min="2826" max="2826" width="27.85546875" style="624" customWidth="1"/>
    <col min="2827" max="2827" width="11.85546875" style="624" customWidth="1"/>
    <col min="2828" max="2828" width="15.140625" style="624" customWidth="1"/>
    <col min="2829" max="2829" width="10.28515625" style="624" customWidth="1"/>
    <col min="2830" max="2831" width="9.7109375" style="624" customWidth="1"/>
    <col min="2832" max="2832" width="10.42578125" style="624" customWidth="1"/>
    <col min="2833" max="2833" width="10.42578125" style="624" bestFit="1" customWidth="1"/>
    <col min="2834" max="2834" width="16.28515625" style="624" customWidth="1"/>
    <col min="2835" max="2835" width="15.140625" style="624" customWidth="1"/>
    <col min="2836" max="2836" width="13.5703125" style="624" customWidth="1"/>
    <col min="2837" max="2837" width="10.5703125" style="624" customWidth="1"/>
    <col min="2838" max="2838" width="10.85546875" style="624" customWidth="1"/>
    <col min="2839" max="2839" width="18" style="624" customWidth="1"/>
    <col min="2840" max="2840" width="20.85546875" style="624" customWidth="1"/>
    <col min="2841" max="2841" width="13.5703125" style="624" customWidth="1"/>
    <col min="2842" max="2842" width="14.140625" style="624" customWidth="1"/>
    <col min="2843" max="2845" width="8.85546875" style="624" customWidth="1"/>
    <col min="2846" max="2846" width="9.28515625" style="624" customWidth="1"/>
    <col min="2847" max="2847" width="14" style="624" customWidth="1"/>
    <col min="2848" max="2849" width="8.85546875" style="624" customWidth="1"/>
    <col min="2850" max="2850" width="10.140625" style="624" customWidth="1"/>
    <col min="2851" max="2852" width="9.5703125" style="624" customWidth="1"/>
    <col min="2853" max="2853" width="9.85546875" style="624" customWidth="1"/>
    <col min="2854" max="2855" width="10.140625" style="624" customWidth="1"/>
    <col min="2856" max="2858" width="9.28515625" style="624" customWidth="1"/>
    <col min="2859" max="2859" width="9.85546875" style="624" customWidth="1"/>
    <col min="2860" max="2861" width="8.5703125" style="624" customWidth="1"/>
    <col min="2862" max="2864" width="8.85546875" style="624" customWidth="1"/>
    <col min="2865" max="2865" width="9.28515625" style="624" customWidth="1"/>
    <col min="2866" max="2867" width="8.85546875" style="624" customWidth="1"/>
    <col min="2868" max="2868" width="10" style="624" customWidth="1"/>
    <col min="2869" max="2870" width="8.85546875" style="624" customWidth="1"/>
    <col min="2871" max="2871" width="11" style="624" customWidth="1"/>
    <col min="2872" max="2873" width="9.5703125" style="624" customWidth="1"/>
    <col min="2874" max="2876" width="8.85546875" style="624" customWidth="1"/>
    <col min="2877" max="2877" width="10.42578125" style="624" customWidth="1"/>
    <col min="2878" max="2879" width="8.85546875" style="624" customWidth="1"/>
    <col min="2880" max="2880" width="9.7109375" style="624" customWidth="1"/>
    <col min="2881" max="2882" width="8.85546875" style="624" customWidth="1"/>
    <col min="2883" max="2883" width="9.28515625" style="624" customWidth="1"/>
    <col min="2884" max="2904" width="8.85546875" style="624" customWidth="1"/>
    <col min="2905" max="2905" width="9.85546875" style="624" customWidth="1"/>
    <col min="2906" max="2906" width="8.85546875" style="624" customWidth="1"/>
    <col min="2907" max="2907" width="10" style="624" customWidth="1"/>
    <col min="2908" max="2924" width="8.85546875" style="624" customWidth="1"/>
    <col min="2925" max="2925" width="9.42578125" style="624" customWidth="1"/>
    <col min="2926" max="2926" width="8.85546875" style="624" customWidth="1"/>
    <col min="2927" max="2927" width="12" style="624" customWidth="1"/>
    <col min="2928" max="2928" width="11.140625" style="624" customWidth="1"/>
    <col min="2929" max="2929" width="28.7109375" style="624" customWidth="1"/>
    <col min="2930" max="2930" width="5.85546875" style="624" customWidth="1"/>
    <col min="2931" max="3080" width="9.140625" style="624"/>
    <col min="3081" max="3081" width="3.42578125" style="624" customWidth="1"/>
    <col min="3082" max="3082" width="27.85546875" style="624" customWidth="1"/>
    <col min="3083" max="3083" width="11.85546875" style="624" customWidth="1"/>
    <col min="3084" max="3084" width="15.140625" style="624" customWidth="1"/>
    <col min="3085" max="3085" width="10.28515625" style="624" customWidth="1"/>
    <col min="3086" max="3087" width="9.7109375" style="624" customWidth="1"/>
    <col min="3088" max="3088" width="10.42578125" style="624" customWidth="1"/>
    <col min="3089" max="3089" width="10.42578125" style="624" bestFit="1" customWidth="1"/>
    <col min="3090" max="3090" width="16.28515625" style="624" customWidth="1"/>
    <col min="3091" max="3091" width="15.140625" style="624" customWidth="1"/>
    <col min="3092" max="3092" width="13.5703125" style="624" customWidth="1"/>
    <col min="3093" max="3093" width="10.5703125" style="624" customWidth="1"/>
    <col min="3094" max="3094" width="10.85546875" style="624" customWidth="1"/>
    <col min="3095" max="3095" width="18" style="624" customWidth="1"/>
    <col min="3096" max="3096" width="20.85546875" style="624" customWidth="1"/>
    <col min="3097" max="3097" width="13.5703125" style="624" customWidth="1"/>
    <col min="3098" max="3098" width="14.140625" style="624" customWidth="1"/>
    <col min="3099" max="3101" width="8.85546875" style="624" customWidth="1"/>
    <col min="3102" max="3102" width="9.28515625" style="624" customWidth="1"/>
    <col min="3103" max="3103" width="14" style="624" customWidth="1"/>
    <col min="3104" max="3105" width="8.85546875" style="624" customWidth="1"/>
    <col min="3106" max="3106" width="10.140625" style="624" customWidth="1"/>
    <col min="3107" max="3108" width="9.5703125" style="624" customWidth="1"/>
    <col min="3109" max="3109" width="9.85546875" style="624" customWidth="1"/>
    <col min="3110" max="3111" width="10.140625" style="624" customWidth="1"/>
    <col min="3112" max="3114" width="9.28515625" style="624" customWidth="1"/>
    <col min="3115" max="3115" width="9.85546875" style="624" customWidth="1"/>
    <col min="3116" max="3117" width="8.5703125" style="624" customWidth="1"/>
    <col min="3118" max="3120" width="8.85546875" style="624" customWidth="1"/>
    <col min="3121" max="3121" width="9.28515625" style="624" customWidth="1"/>
    <col min="3122" max="3123" width="8.85546875" style="624" customWidth="1"/>
    <col min="3124" max="3124" width="10" style="624" customWidth="1"/>
    <col min="3125" max="3126" width="8.85546875" style="624" customWidth="1"/>
    <col min="3127" max="3127" width="11" style="624" customWidth="1"/>
    <col min="3128" max="3129" width="9.5703125" style="624" customWidth="1"/>
    <col min="3130" max="3132" width="8.85546875" style="624" customWidth="1"/>
    <col min="3133" max="3133" width="10.42578125" style="624" customWidth="1"/>
    <col min="3134" max="3135" width="8.85546875" style="624" customWidth="1"/>
    <col min="3136" max="3136" width="9.7109375" style="624" customWidth="1"/>
    <col min="3137" max="3138" width="8.85546875" style="624" customWidth="1"/>
    <col min="3139" max="3139" width="9.28515625" style="624" customWidth="1"/>
    <col min="3140" max="3160" width="8.85546875" style="624" customWidth="1"/>
    <col min="3161" max="3161" width="9.85546875" style="624" customWidth="1"/>
    <col min="3162" max="3162" width="8.85546875" style="624" customWidth="1"/>
    <col min="3163" max="3163" width="10" style="624" customWidth="1"/>
    <col min="3164" max="3180" width="8.85546875" style="624" customWidth="1"/>
    <col min="3181" max="3181" width="9.42578125" style="624" customWidth="1"/>
    <col min="3182" max="3182" width="8.85546875" style="624" customWidth="1"/>
    <col min="3183" max="3183" width="12" style="624" customWidth="1"/>
    <col min="3184" max="3184" width="11.140625" style="624" customWidth="1"/>
    <col min="3185" max="3185" width="28.7109375" style="624" customWidth="1"/>
    <col min="3186" max="3186" width="5.85546875" style="624" customWidth="1"/>
    <col min="3187" max="3336" width="9.140625" style="624"/>
    <col min="3337" max="3337" width="3.42578125" style="624" customWidth="1"/>
    <col min="3338" max="3338" width="27.85546875" style="624" customWidth="1"/>
    <col min="3339" max="3339" width="11.85546875" style="624" customWidth="1"/>
    <col min="3340" max="3340" width="15.140625" style="624" customWidth="1"/>
    <col min="3341" max="3341" width="10.28515625" style="624" customWidth="1"/>
    <col min="3342" max="3343" width="9.7109375" style="624" customWidth="1"/>
    <col min="3344" max="3344" width="10.42578125" style="624" customWidth="1"/>
    <col min="3345" max="3345" width="10.42578125" style="624" bestFit="1" customWidth="1"/>
    <col min="3346" max="3346" width="16.28515625" style="624" customWidth="1"/>
    <col min="3347" max="3347" width="15.140625" style="624" customWidth="1"/>
    <col min="3348" max="3348" width="13.5703125" style="624" customWidth="1"/>
    <col min="3349" max="3349" width="10.5703125" style="624" customWidth="1"/>
    <col min="3350" max="3350" width="10.85546875" style="624" customWidth="1"/>
    <col min="3351" max="3351" width="18" style="624" customWidth="1"/>
    <col min="3352" max="3352" width="20.85546875" style="624" customWidth="1"/>
    <col min="3353" max="3353" width="13.5703125" style="624" customWidth="1"/>
    <col min="3354" max="3354" width="14.140625" style="624" customWidth="1"/>
    <col min="3355" max="3357" width="8.85546875" style="624" customWidth="1"/>
    <col min="3358" max="3358" width="9.28515625" style="624" customWidth="1"/>
    <col min="3359" max="3359" width="14" style="624" customWidth="1"/>
    <col min="3360" max="3361" width="8.85546875" style="624" customWidth="1"/>
    <col min="3362" max="3362" width="10.140625" style="624" customWidth="1"/>
    <col min="3363" max="3364" width="9.5703125" style="624" customWidth="1"/>
    <col min="3365" max="3365" width="9.85546875" style="624" customWidth="1"/>
    <col min="3366" max="3367" width="10.140625" style="624" customWidth="1"/>
    <col min="3368" max="3370" width="9.28515625" style="624" customWidth="1"/>
    <col min="3371" max="3371" width="9.85546875" style="624" customWidth="1"/>
    <col min="3372" max="3373" width="8.5703125" style="624" customWidth="1"/>
    <col min="3374" max="3376" width="8.85546875" style="624" customWidth="1"/>
    <col min="3377" max="3377" width="9.28515625" style="624" customWidth="1"/>
    <col min="3378" max="3379" width="8.85546875" style="624" customWidth="1"/>
    <col min="3380" max="3380" width="10" style="624" customWidth="1"/>
    <col min="3381" max="3382" width="8.85546875" style="624" customWidth="1"/>
    <col min="3383" max="3383" width="11" style="624" customWidth="1"/>
    <col min="3384" max="3385" width="9.5703125" style="624" customWidth="1"/>
    <col min="3386" max="3388" width="8.85546875" style="624" customWidth="1"/>
    <col min="3389" max="3389" width="10.42578125" style="624" customWidth="1"/>
    <col min="3390" max="3391" width="8.85546875" style="624" customWidth="1"/>
    <col min="3392" max="3392" width="9.7109375" style="624" customWidth="1"/>
    <col min="3393" max="3394" width="8.85546875" style="624" customWidth="1"/>
    <col min="3395" max="3395" width="9.28515625" style="624" customWidth="1"/>
    <col min="3396" max="3416" width="8.85546875" style="624" customWidth="1"/>
    <col min="3417" max="3417" width="9.85546875" style="624" customWidth="1"/>
    <col min="3418" max="3418" width="8.85546875" style="624" customWidth="1"/>
    <col min="3419" max="3419" width="10" style="624" customWidth="1"/>
    <col min="3420" max="3436" width="8.85546875" style="624" customWidth="1"/>
    <col min="3437" max="3437" width="9.42578125" style="624" customWidth="1"/>
    <col min="3438" max="3438" width="8.85546875" style="624" customWidth="1"/>
    <col min="3439" max="3439" width="12" style="624" customWidth="1"/>
    <col min="3440" max="3440" width="11.140625" style="624" customWidth="1"/>
    <col min="3441" max="3441" width="28.7109375" style="624" customWidth="1"/>
    <col min="3442" max="3442" width="5.85546875" style="624" customWidth="1"/>
    <col min="3443" max="3592" width="9.140625" style="624"/>
    <col min="3593" max="3593" width="3.42578125" style="624" customWidth="1"/>
    <col min="3594" max="3594" width="27.85546875" style="624" customWidth="1"/>
    <col min="3595" max="3595" width="11.85546875" style="624" customWidth="1"/>
    <col min="3596" max="3596" width="15.140625" style="624" customWidth="1"/>
    <col min="3597" max="3597" width="10.28515625" style="624" customWidth="1"/>
    <col min="3598" max="3599" width="9.7109375" style="624" customWidth="1"/>
    <col min="3600" max="3600" width="10.42578125" style="624" customWidth="1"/>
    <col min="3601" max="3601" width="10.42578125" style="624" bestFit="1" customWidth="1"/>
    <col min="3602" max="3602" width="16.28515625" style="624" customWidth="1"/>
    <col min="3603" max="3603" width="15.140625" style="624" customWidth="1"/>
    <col min="3604" max="3604" width="13.5703125" style="624" customWidth="1"/>
    <col min="3605" max="3605" width="10.5703125" style="624" customWidth="1"/>
    <col min="3606" max="3606" width="10.85546875" style="624" customWidth="1"/>
    <col min="3607" max="3607" width="18" style="624" customWidth="1"/>
    <col min="3608" max="3608" width="20.85546875" style="624" customWidth="1"/>
    <col min="3609" max="3609" width="13.5703125" style="624" customWidth="1"/>
    <col min="3610" max="3610" width="14.140625" style="624" customWidth="1"/>
    <col min="3611" max="3613" width="8.85546875" style="624" customWidth="1"/>
    <col min="3614" max="3614" width="9.28515625" style="624" customWidth="1"/>
    <col min="3615" max="3615" width="14" style="624" customWidth="1"/>
    <col min="3616" max="3617" width="8.85546875" style="624" customWidth="1"/>
    <col min="3618" max="3618" width="10.140625" style="624" customWidth="1"/>
    <col min="3619" max="3620" width="9.5703125" style="624" customWidth="1"/>
    <col min="3621" max="3621" width="9.85546875" style="624" customWidth="1"/>
    <col min="3622" max="3623" width="10.140625" style="624" customWidth="1"/>
    <col min="3624" max="3626" width="9.28515625" style="624" customWidth="1"/>
    <col min="3627" max="3627" width="9.85546875" style="624" customWidth="1"/>
    <col min="3628" max="3629" width="8.5703125" style="624" customWidth="1"/>
    <col min="3630" max="3632" width="8.85546875" style="624" customWidth="1"/>
    <col min="3633" max="3633" width="9.28515625" style="624" customWidth="1"/>
    <col min="3634" max="3635" width="8.85546875" style="624" customWidth="1"/>
    <col min="3636" max="3636" width="10" style="624" customWidth="1"/>
    <col min="3637" max="3638" width="8.85546875" style="624" customWidth="1"/>
    <col min="3639" max="3639" width="11" style="624" customWidth="1"/>
    <col min="3640" max="3641" width="9.5703125" style="624" customWidth="1"/>
    <col min="3642" max="3644" width="8.85546875" style="624" customWidth="1"/>
    <col min="3645" max="3645" width="10.42578125" style="624" customWidth="1"/>
    <col min="3646" max="3647" width="8.85546875" style="624" customWidth="1"/>
    <col min="3648" max="3648" width="9.7109375" style="624" customWidth="1"/>
    <col min="3649" max="3650" width="8.85546875" style="624" customWidth="1"/>
    <col min="3651" max="3651" width="9.28515625" style="624" customWidth="1"/>
    <col min="3652" max="3672" width="8.85546875" style="624" customWidth="1"/>
    <col min="3673" max="3673" width="9.85546875" style="624" customWidth="1"/>
    <col min="3674" max="3674" width="8.85546875" style="624" customWidth="1"/>
    <col min="3675" max="3675" width="10" style="624" customWidth="1"/>
    <col min="3676" max="3692" width="8.85546875" style="624" customWidth="1"/>
    <col min="3693" max="3693" width="9.42578125" style="624" customWidth="1"/>
    <col min="3694" max="3694" width="8.85546875" style="624" customWidth="1"/>
    <col min="3695" max="3695" width="12" style="624" customWidth="1"/>
    <col min="3696" max="3696" width="11.140625" style="624" customWidth="1"/>
    <col min="3697" max="3697" width="28.7109375" style="624" customWidth="1"/>
    <col min="3698" max="3698" width="5.85546875" style="624" customWidth="1"/>
    <col min="3699" max="3848" width="9.140625" style="624"/>
    <col min="3849" max="3849" width="3.42578125" style="624" customWidth="1"/>
    <col min="3850" max="3850" width="27.85546875" style="624" customWidth="1"/>
    <col min="3851" max="3851" width="11.85546875" style="624" customWidth="1"/>
    <col min="3852" max="3852" width="15.140625" style="624" customWidth="1"/>
    <col min="3853" max="3853" width="10.28515625" style="624" customWidth="1"/>
    <col min="3854" max="3855" width="9.7109375" style="624" customWidth="1"/>
    <col min="3856" max="3856" width="10.42578125" style="624" customWidth="1"/>
    <col min="3857" max="3857" width="10.42578125" style="624" bestFit="1" customWidth="1"/>
    <col min="3858" max="3858" width="16.28515625" style="624" customWidth="1"/>
    <col min="3859" max="3859" width="15.140625" style="624" customWidth="1"/>
    <col min="3860" max="3860" width="13.5703125" style="624" customWidth="1"/>
    <col min="3861" max="3861" width="10.5703125" style="624" customWidth="1"/>
    <col min="3862" max="3862" width="10.85546875" style="624" customWidth="1"/>
    <col min="3863" max="3863" width="18" style="624" customWidth="1"/>
    <col min="3864" max="3864" width="20.85546875" style="624" customWidth="1"/>
    <col min="3865" max="3865" width="13.5703125" style="624" customWidth="1"/>
    <col min="3866" max="3866" width="14.140625" style="624" customWidth="1"/>
    <col min="3867" max="3869" width="8.85546875" style="624" customWidth="1"/>
    <col min="3870" max="3870" width="9.28515625" style="624" customWidth="1"/>
    <col min="3871" max="3871" width="14" style="624" customWidth="1"/>
    <col min="3872" max="3873" width="8.85546875" style="624" customWidth="1"/>
    <col min="3874" max="3874" width="10.140625" style="624" customWidth="1"/>
    <col min="3875" max="3876" width="9.5703125" style="624" customWidth="1"/>
    <col min="3877" max="3877" width="9.85546875" style="624" customWidth="1"/>
    <col min="3878" max="3879" width="10.140625" style="624" customWidth="1"/>
    <col min="3880" max="3882" width="9.28515625" style="624" customWidth="1"/>
    <col min="3883" max="3883" width="9.85546875" style="624" customWidth="1"/>
    <col min="3884" max="3885" width="8.5703125" style="624" customWidth="1"/>
    <col min="3886" max="3888" width="8.85546875" style="624" customWidth="1"/>
    <col min="3889" max="3889" width="9.28515625" style="624" customWidth="1"/>
    <col min="3890" max="3891" width="8.85546875" style="624" customWidth="1"/>
    <col min="3892" max="3892" width="10" style="624" customWidth="1"/>
    <col min="3893" max="3894" width="8.85546875" style="624" customWidth="1"/>
    <col min="3895" max="3895" width="11" style="624" customWidth="1"/>
    <col min="3896" max="3897" width="9.5703125" style="624" customWidth="1"/>
    <col min="3898" max="3900" width="8.85546875" style="624" customWidth="1"/>
    <col min="3901" max="3901" width="10.42578125" style="624" customWidth="1"/>
    <col min="3902" max="3903" width="8.85546875" style="624" customWidth="1"/>
    <col min="3904" max="3904" width="9.7109375" style="624" customWidth="1"/>
    <col min="3905" max="3906" width="8.85546875" style="624" customWidth="1"/>
    <col min="3907" max="3907" width="9.28515625" style="624" customWidth="1"/>
    <col min="3908" max="3928" width="8.85546875" style="624" customWidth="1"/>
    <col min="3929" max="3929" width="9.85546875" style="624" customWidth="1"/>
    <col min="3930" max="3930" width="8.85546875" style="624" customWidth="1"/>
    <col min="3931" max="3931" width="10" style="624" customWidth="1"/>
    <col min="3932" max="3948" width="8.85546875" style="624" customWidth="1"/>
    <col min="3949" max="3949" width="9.42578125" style="624" customWidth="1"/>
    <col min="3950" max="3950" width="8.85546875" style="624" customWidth="1"/>
    <col min="3951" max="3951" width="12" style="624" customWidth="1"/>
    <col min="3952" max="3952" width="11.140625" style="624" customWidth="1"/>
    <col min="3953" max="3953" width="28.7109375" style="624" customWidth="1"/>
    <col min="3954" max="3954" width="5.85546875" style="624" customWidth="1"/>
    <col min="3955" max="4104" width="9.140625" style="624"/>
    <col min="4105" max="4105" width="3.42578125" style="624" customWidth="1"/>
    <col min="4106" max="4106" width="27.85546875" style="624" customWidth="1"/>
    <col min="4107" max="4107" width="11.85546875" style="624" customWidth="1"/>
    <col min="4108" max="4108" width="15.140625" style="624" customWidth="1"/>
    <col min="4109" max="4109" width="10.28515625" style="624" customWidth="1"/>
    <col min="4110" max="4111" width="9.7109375" style="624" customWidth="1"/>
    <col min="4112" max="4112" width="10.42578125" style="624" customWidth="1"/>
    <col min="4113" max="4113" width="10.42578125" style="624" bestFit="1" customWidth="1"/>
    <col min="4114" max="4114" width="16.28515625" style="624" customWidth="1"/>
    <col min="4115" max="4115" width="15.140625" style="624" customWidth="1"/>
    <col min="4116" max="4116" width="13.5703125" style="624" customWidth="1"/>
    <col min="4117" max="4117" width="10.5703125" style="624" customWidth="1"/>
    <col min="4118" max="4118" width="10.85546875" style="624" customWidth="1"/>
    <col min="4119" max="4119" width="18" style="624" customWidth="1"/>
    <col min="4120" max="4120" width="20.85546875" style="624" customWidth="1"/>
    <col min="4121" max="4121" width="13.5703125" style="624" customWidth="1"/>
    <col min="4122" max="4122" width="14.140625" style="624" customWidth="1"/>
    <col min="4123" max="4125" width="8.85546875" style="624" customWidth="1"/>
    <col min="4126" max="4126" width="9.28515625" style="624" customWidth="1"/>
    <col min="4127" max="4127" width="14" style="624" customWidth="1"/>
    <col min="4128" max="4129" width="8.85546875" style="624" customWidth="1"/>
    <col min="4130" max="4130" width="10.140625" style="624" customWidth="1"/>
    <col min="4131" max="4132" width="9.5703125" style="624" customWidth="1"/>
    <col min="4133" max="4133" width="9.85546875" style="624" customWidth="1"/>
    <col min="4134" max="4135" width="10.140625" style="624" customWidth="1"/>
    <col min="4136" max="4138" width="9.28515625" style="624" customWidth="1"/>
    <col min="4139" max="4139" width="9.85546875" style="624" customWidth="1"/>
    <col min="4140" max="4141" width="8.5703125" style="624" customWidth="1"/>
    <col min="4142" max="4144" width="8.85546875" style="624" customWidth="1"/>
    <col min="4145" max="4145" width="9.28515625" style="624" customWidth="1"/>
    <col min="4146" max="4147" width="8.85546875" style="624" customWidth="1"/>
    <col min="4148" max="4148" width="10" style="624" customWidth="1"/>
    <col min="4149" max="4150" width="8.85546875" style="624" customWidth="1"/>
    <col min="4151" max="4151" width="11" style="624" customWidth="1"/>
    <col min="4152" max="4153" width="9.5703125" style="624" customWidth="1"/>
    <col min="4154" max="4156" width="8.85546875" style="624" customWidth="1"/>
    <col min="4157" max="4157" width="10.42578125" style="624" customWidth="1"/>
    <col min="4158" max="4159" width="8.85546875" style="624" customWidth="1"/>
    <col min="4160" max="4160" width="9.7109375" style="624" customWidth="1"/>
    <col min="4161" max="4162" width="8.85546875" style="624" customWidth="1"/>
    <col min="4163" max="4163" width="9.28515625" style="624" customWidth="1"/>
    <col min="4164" max="4184" width="8.85546875" style="624" customWidth="1"/>
    <col min="4185" max="4185" width="9.85546875" style="624" customWidth="1"/>
    <col min="4186" max="4186" width="8.85546875" style="624" customWidth="1"/>
    <col min="4187" max="4187" width="10" style="624" customWidth="1"/>
    <col min="4188" max="4204" width="8.85546875" style="624" customWidth="1"/>
    <col min="4205" max="4205" width="9.42578125" style="624" customWidth="1"/>
    <col min="4206" max="4206" width="8.85546875" style="624" customWidth="1"/>
    <col min="4207" max="4207" width="12" style="624" customWidth="1"/>
    <col min="4208" max="4208" width="11.140625" style="624" customWidth="1"/>
    <col min="4209" max="4209" width="28.7109375" style="624" customWidth="1"/>
    <col min="4210" max="4210" width="5.85546875" style="624" customWidth="1"/>
    <col min="4211" max="4360" width="9.140625" style="624"/>
    <col min="4361" max="4361" width="3.42578125" style="624" customWidth="1"/>
    <col min="4362" max="4362" width="27.85546875" style="624" customWidth="1"/>
    <col min="4363" max="4363" width="11.85546875" style="624" customWidth="1"/>
    <col min="4364" max="4364" width="15.140625" style="624" customWidth="1"/>
    <col min="4365" max="4365" width="10.28515625" style="624" customWidth="1"/>
    <col min="4366" max="4367" width="9.7109375" style="624" customWidth="1"/>
    <col min="4368" max="4368" width="10.42578125" style="624" customWidth="1"/>
    <col min="4369" max="4369" width="10.42578125" style="624" bestFit="1" customWidth="1"/>
    <col min="4370" max="4370" width="16.28515625" style="624" customWidth="1"/>
    <col min="4371" max="4371" width="15.140625" style="624" customWidth="1"/>
    <col min="4372" max="4372" width="13.5703125" style="624" customWidth="1"/>
    <col min="4373" max="4373" width="10.5703125" style="624" customWidth="1"/>
    <col min="4374" max="4374" width="10.85546875" style="624" customWidth="1"/>
    <col min="4375" max="4375" width="18" style="624" customWidth="1"/>
    <col min="4376" max="4376" width="20.85546875" style="624" customWidth="1"/>
    <col min="4377" max="4377" width="13.5703125" style="624" customWidth="1"/>
    <col min="4378" max="4378" width="14.140625" style="624" customWidth="1"/>
    <col min="4379" max="4381" width="8.85546875" style="624" customWidth="1"/>
    <col min="4382" max="4382" width="9.28515625" style="624" customWidth="1"/>
    <col min="4383" max="4383" width="14" style="624" customWidth="1"/>
    <col min="4384" max="4385" width="8.85546875" style="624" customWidth="1"/>
    <col min="4386" max="4386" width="10.140625" style="624" customWidth="1"/>
    <col min="4387" max="4388" width="9.5703125" style="624" customWidth="1"/>
    <col min="4389" max="4389" width="9.85546875" style="624" customWidth="1"/>
    <col min="4390" max="4391" width="10.140625" style="624" customWidth="1"/>
    <col min="4392" max="4394" width="9.28515625" style="624" customWidth="1"/>
    <col min="4395" max="4395" width="9.85546875" style="624" customWidth="1"/>
    <col min="4396" max="4397" width="8.5703125" style="624" customWidth="1"/>
    <col min="4398" max="4400" width="8.85546875" style="624" customWidth="1"/>
    <col min="4401" max="4401" width="9.28515625" style="624" customWidth="1"/>
    <col min="4402" max="4403" width="8.85546875" style="624" customWidth="1"/>
    <col min="4404" max="4404" width="10" style="624" customWidth="1"/>
    <col min="4405" max="4406" width="8.85546875" style="624" customWidth="1"/>
    <col min="4407" max="4407" width="11" style="624" customWidth="1"/>
    <col min="4408" max="4409" width="9.5703125" style="624" customWidth="1"/>
    <col min="4410" max="4412" width="8.85546875" style="624" customWidth="1"/>
    <col min="4413" max="4413" width="10.42578125" style="624" customWidth="1"/>
    <col min="4414" max="4415" width="8.85546875" style="624" customWidth="1"/>
    <col min="4416" max="4416" width="9.7109375" style="624" customWidth="1"/>
    <col min="4417" max="4418" width="8.85546875" style="624" customWidth="1"/>
    <col min="4419" max="4419" width="9.28515625" style="624" customWidth="1"/>
    <col min="4420" max="4440" width="8.85546875" style="624" customWidth="1"/>
    <col min="4441" max="4441" width="9.85546875" style="624" customWidth="1"/>
    <col min="4442" max="4442" width="8.85546875" style="624" customWidth="1"/>
    <col min="4443" max="4443" width="10" style="624" customWidth="1"/>
    <col min="4444" max="4460" width="8.85546875" style="624" customWidth="1"/>
    <col min="4461" max="4461" width="9.42578125" style="624" customWidth="1"/>
    <col min="4462" max="4462" width="8.85546875" style="624" customWidth="1"/>
    <col min="4463" max="4463" width="12" style="624" customWidth="1"/>
    <col min="4464" max="4464" width="11.140625" style="624" customWidth="1"/>
    <col min="4465" max="4465" width="28.7109375" style="624" customWidth="1"/>
    <col min="4466" max="4466" width="5.85546875" style="624" customWidth="1"/>
    <col min="4467" max="4616" width="9.140625" style="624"/>
    <col min="4617" max="4617" width="3.42578125" style="624" customWidth="1"/>
    <col min="4618" max="4618" width="27.85546875" style="624" customWidth="1"/>
    <col min="4619" max="4619" width="11.85546875" style="624" customWidth="1"/>
    <col min="4620" max="4620" width="15.140625" style="624" customWidth="1"/>
    <col min="4621" max="4621" width="10.28515625" style="624" customWidth="1"/>
    <col min="4622" max="4623" width="9.7109375" style="624" customWidth="1"/>
    <col min="4624" max="4624" width="10.42578125" style="624" customWidth="1"/>
    <col min="4625" max="4625" width="10.42578125" style="624" bestFit="1" customWidth="1"/>
    <col min="4626" max="4626" width="16.28515625" style="624" customWidth="1"/>
    <col min="4627" max="4627" width="15.140625" style="624" customWidth="1"/>
    <col min="4628" max="4628" width="13.5703125" style="624" customWidth="1"/>
    <col min="4629" max="4629" width="10.5703125" style="624" customWidth="1"/>
    <col min="4630" max="4630" width="10.85546875" style="624" customWidth="1"/>
    <col min="4631" max="4631" width="18" style="624" customWidth="1"/>
    <col min="4632" max="4632" width="20.85546875" style="624" customWidth="1"/>
    <col min="4633" max="4633" width="13.5703125" style="624" customWidth="1"/>
    <col min="4634" max="4634" width="14.140625" style="624" customWidth="1"/>
    <col min="4635" max="4637" width="8.85546875" style="624" customWidth="1"/>
    <col min="4638" max="4638" width="9.28515625" style="624" customWidth="1"/>
    <col min="4639" max="4639" width="14" style="624" customWidth="1"/>
    <col min="4640" max="4641" width="8.85546875" style="624" customWidth="1"/>
    <col min="4642" max="4642" width="10.140625" style="624" customWidth="1"/>
    <col min="4643" max="4644" width="9.5703125" style="624" customWidth="1"/>
    <col min="4645" max="4645" width="9.85546875" style="624" customWidth="1"/>
    <col min="4646" max="4647" width="10.140625" style="624" customWidth="1"/>
    <col min="4648" max="4650" width="9.28515625" style="624" customWidth="1"/>
    <col min="4651" max="4651" width="9.85546875" style="624" customWidth="1"/>
    <col min="4652" max="4653" width="8.5703125" style="624" customWidth="1"/>
    <col min="4654" max="4656" width="8.85546875" style="624" customWidth="1"/>
    <col min="4657" max="4657" width="9.28515625" style="624" customWidth="1"/>
    <col min="4658" max="4659" width="8.85546875" style="624" customWidth="1"/>
    <col min="4660" max="4660" width="10" style="624" customWidth="1"/>
    <col min="4661" max="4662" width="8.85546875" style="624" customWidth="1"/>
    <col min="4663" max="4663" width="11" style="624" customWidth="1"/>
    <col min="4664" max="4665" width="9.5703125" style="624" customWidth="1"/>
    <col min="4666" max="4668" width="8.85546875" style="624" customWidth="1"/>
    <col min="4669" max="4669" width="10.42578125" style="624" customWidth="1"/>
    <col min="4670" max="4671" width="8.85546875" style="624" customWidth="1"/>
    <col min="4672" max="4672" width="9.7109375" style="624" customWidth="1"/>
    <col min="4673" max="4674" width="8.85546875" style="624" customWidth="1"/>
    <col min="4675" max="4675" width="9.28515625" style="624" customWidth="1"/>
    <col min="4676" max="4696" width="8.85546875" style="624" customWidth="1"/>
    <col min="4697" max="4697" width="9.85546875" style="624" customWidth="1"/>
    <col min="4698" max="4698" width="8.85546875" style="624" customWidth="1"/>
    <col min="4699" max="4699" width="10" style="624" customWidth="1"/>
    <col min="4700" max="4716" width="8.85546875" style="624" customWidth="1"/>
    <col min="4717" max="4717" width="9.42578125" style="624" customWidth="1"/>
    <col min="4718" max="4718" width="8.85546875" style="624" customWidth="1"/>
    <col min="4719" max="4719" width="12" style="624" customWidth="1"/>
    <col min="4720" max="4720" width="11.140625" style="624" customWidth="1"/>
    <col min="4721" max="4721" width="28.7109375" style="624" customWidth="1"/>
    <col min="4722" max="4722" width="5.85546875" style="624" customWidth="1"/>
    <col min="4723" max="4872" width="9.140625" style="624"/>
    <col min="4873" max="4873" width="3.42578125" style="624" customWidth="1"/>
    <col min="4874" max="4874" width="27.85546875" style="624" customWidth="1"/>
    <col min="4875" max="4875" width="11.85546875" style="624" customWidth="1"/>
    <col min="4876" max="4876" width="15.140625" style="624" customWidth="1"/>
    <col min="4877" max="4877" width="10.28515625" style="624" customWidth="1"/>
    <col min="4878" max="4879" width="9.7109375" style="624" customWidth="1"/>
    <col min="4880" max="4880" width="10.42578125" style="624" customWidth="1"/>
    <col min="4881" max="4881" width="10.42578125" style="624" bestFit="1" customWidth="1"/>
    <col min="4882" max="4882" width="16.28515625" style="624" customWidth="1"/>
    <col min="4883" max="4883" width="15.140625" style="624" customWidth="1"/>
    <col min="4884" max="4884" width="13.5703125" style="624" customWidth="1"/>
    <col min="4885" max="4885" width="10.5703125" style="624" customWidth="1"/>
    <col min="4886" max="4886" width="10.85546875" style="624" customWidth="1"/>
    <col min="4887" max="4887" width="18" style="624" customWidth="1"/>
    <col min="4888" max="4888" width="20.85546875" style="624" customWidth="1"/>
    <col min="4889" max="4889" width="13.5703125" style="624" customWidth="1"/>
    <col min="4890" max="4890" width="14.140625" style="624" customWidth="1"/>
    <col min="4891" max="4893" width="8.85546875" style="624" customWidth="1"/>
    <col min="4894" max="4894" width="9.28515625" style="624" customWidth="1"/>
    <col min="4895" max="4895" width="14" style="624" customWidth="1"/>
    <col min="4896" max="4897" width="8.85546875" style="624" customWidth="1"/>
    <col min="4898" max="4898" width="10.140625" style="624" customWidth="1"/>
    <col min="4899" max="4900" width="9.5703125" style="624" customWidth="1"/>
    <col min="4901" max="4901" width="9.85546875" style="624" customWidth="1"/>
    <col min="4902" max="4903" width="10.140625" style="624" customWidth="1"/>
    <col min="4904" max="4906" width="9.28515625" style="624" customWidth="1"/>
    <col min="4907" max="4907" width="9.85546875" style="624" customWidth="1"/>
    <col min="4908" max="4909" width="8.5703125" style="624" customWidth="1"/>
    <col min="4910" max="4912" width="8.85546875" style="624" customWidth="1"/>
    <col min="4913" max="4913" width="9.28515625" style="624" customWidth="1"/>
    <col min="4914" max="4915" width="8.85546875" style="624" customWidth="1"/>
    <col min="4916" max="4916" width="10" style="624" customWidth="1"/>
    <col min="4917" max="4918" width="8.85546875" style="624" customWidth="1"/>
    <col min="4919" max="4919" width="11" style="624" customWidth="1"/>
    <col min="4920" max="4921" width="9.5703125" style="624" customWidth="1"/>
    <col min="4922" max="4924" width="8.85546875" style="624" customWidth="1"/>
    <col min="4925" max="4925" width="10.42578125" style="624" customWidth="1"/>
    <col min="4926" max="4927" width="8.85546875" style="624" customWidth="1"/>
    <col min="4928" max="4928" width="9.7109375" style="624" customWidth="1"/>
    <col min="4929" max="4930" width="8.85546875" style="624" customWidth="1"/>
    <col min="4931" max="4931" width="9.28515625" style="624" customWidth="1"/>
    <col min="4932" max="4952" width="8.85546875" style="624" customWidth="1"/>
    <col min="4953" max="4953" width="9.85546875" style="624" customWidth="1"/>
    <col min="4954" max="4954" width="8.85546875" style="624" customWidth="1"/>
    <col min="4955" max="4955" width="10" style="624" customWidth="1"/>
    <col min="4956" max="4972" width="8.85546875" style="624" customWidth="1"/>
    <col min="4973" max="4973" width="9.42578125" style="624" customWidth="1"/>
    <col min="4974" max="4974" width="8.85546875" style="624" customWidth="1"/>
    <col min="4975" max="4975" width="12" style="624" customWidth="1"/>
    <col min="4976" max="4976" width="11.140625" style="624" customWidth="1"/>
    <col min="4977" max="4977" width="28.7109375" style="624" customWidth="1"/>
    <col min="4978" max="4978" width="5.85546875" style="624" customWidth="1"/>
    <col min="4979" max="5128" width="9.140625" style="624"/>
    <col min="5129" max="5129" width="3.42578125" style="624" customWidth="1"/>
    <col min="5130" max="5130" width="27.85546875" style="624" customWidth="1"/>
    <col min="5131" max="5131" width="11.85546875" style="624" customWidth="1"/>
    <col min="5132" max="5132" width="15.140625" style="624" customWidth="1"/>
    <col min="5133" max="5133" width="10.28515625" style="624" customWidth="1"/>
    <col min="5134" max="5135" width="9.7109375" style="624" customWidth="1"/>
    <col min="5136" max="5136" width="10.42578125" style="624" customWidth="1"/>
    <col min="5137" max="5137" width="10.42578125" style="624" bestFit="1" customWidth="1"/>
    <col min="5138" max="5138" width="16.28515625" style="624" customWidth="1"/>
    <col min="5139" max="5139" width="15.140625" style="624" customWidth="1"/>
    <col min="5140" max="5140" width="13.5703125" style="624" customWidth="1"/>
    <col min="5141" max="5141" width="10.5703125" style="624" customWidth="1"/>
    <col min="5142" max="5142" width="10.85546875" style="624" customWidth="1"/>
    <col min="5143" max="5143" width="18" style="624" customWidth="1"/>
    <col min="5144" max="5144" width="20.85546875" style="624" customWidth="1"/>
    <col min="5145" max="5145" width="13.5703125" style="624" customWidth="1"/>
    <col min="5146" max="5146" width="14.140625" style="624" customWidth="1"/>
    <col min="5147" max="5149" width="8.85546875" style="624" customWidth="1"/>
    <col min="5150" max="5150" width="9.28515625" style="624" customWidth="1"/>
    <col min="5151" max="5151" width="14" style="624" customWidth="1"/>
    <col min="5152" max="5153" width="8.85546875" style="624" customWidth="1"/>
    <col min="5154" max="5154" width="10.140625" style="624" customWidth="1"/>
    <col min="5155" max="5156" width="9.5703125" style="624" customWidth="1"/>
    <col min="5157" max="5157" width="9.85546875" style="624" customWidth="1"/>
    <col min="5158" max="5159" width="10.140625" style="624" customWidth="1"/>
    <col min="5160" max="5162" width="9.28515625" style="624" customWidth="1"/>
    <col min="5163" max="5163" width="9.85546875" style="624" customWidth="1"/>
    <col min="5164" max="5165" width="8.5703125" style="624" customWidth="1"/>
    <col min="5166" max="5168" width="8.85546875" style="624" customWidth="1"/>
    <col min="5169" max="5169" width="9.28515625" style="624" customWidth="1"/>
    <col min="5170" max="5171" width="8.85546875" style="624" customWidth="1"/>
    <col min="5172" max="5172" width="10" style="624" customWidth="1"/>
    <col min="5173" max="5174" width="8.85546875" style="624" customWidth="1"/>
    <col min="5175" max="5175" width="11" style="624" customWidth="1"/>
    <col min="5176" max="5177" width="9.5703125" style="624" customWidth="1"/>
    <col min="5178" max="5180" width="8.85546875" style="624" customWidth="1"/>
    <col min="5181" max="5181" width="10.42578125" style="624" customWidth="1"/>
    <col min="5182" max="5183" width="8.85546875" style="624" customWidth="1"/>
    <col min="5184" max="5184" width="9.7109375" style="624" customWidth="1"/>
    <col min="5185" max="5186" width="8.85546875" style="624" customWidth="1"/>
    <col min="5187" max="5187" width="9.28515625" style="624" customWidth="1"/>
    <col min="5188" max="5208" width="8.85546875" style="624" customWidth="1"/>
    <col min="5209" max="5209" width="9.85546875" style="624" customWidth="1"/>
    <col min="5210" max="5210" width="8.85546875" style="624" customWidth="1"/>
    <col min="5211" max="5211" width="10" style="624" customWidth="1"/>
    <col min="5212" max="5228" width="8.85546875" style="624" customWidth="1"/>
    <col min="5229" max="5229" width="9.42578125" style="624" customWidth="1"/>
    <col min="5230" max="5230" width="8.85546875" style="624" customWidth="1"/>
    <col min="5231" max="5231" width="12" style="624" customWidth="1"/>
    <col min="5232" max="5232" width="11.140625" style="624" customWidth="1"/>
    <col min="5233" max="5233" width="28.7109375" style="624" customWidth="1"/>
    <col min="5234" max="5234" width="5.85546875" style="624" customWidth="1"/>
    <col min="5235" max="5384" width="9.140625" style="624"/>
    <col min="5385" max="5385" width="3.42578125" style="624" customWidth="1"/>
    <col min="5386" max="5386" width="27.85546875" style="624" customWidth="1"/>
    <col min="5387" max="5387" width="11.85546875" style="624" customWidth="1"/>
    <col min="5388" max="5388" width="15.140625" style="624" customWidth="1"/>
    <col min="5389" max="5389" width="10.28515625" style="624" customWidth="1"/>
    <col min="5390" max="5391" width="9.7109375" style="624" customWidth="1"/>
    <col min="5392" max="5392" width="10.42578125" style="624" customWidth="1"/>
    <col min="5393" max="5393" width="10.42578125" style="624" bestFit="1" customWidth="1"/>
    <col min="5394" max="5394" width="16.28515625" style="624" customWidth="1"/>
    <col min="5395" max="5395" width="15.140625" style="624" customWidth="1"/>
    <col min="5396" max="5396" width="13.5703125" style="624" customWidth="1"/>
    <col min="5397" max="5397" width="10.5703125" style="624" customWidth="1"/>
    <col min="5398" max="5398" width="10.85546875" style="624" customWidth="1"/>
    <col min="5399" max="5399" width="18" style="624" customWidth="1"/>
    <col min="5400" max="5400" width="20.85546875" style="624" customWidth="1"/>
    <col min="5401" max="5401" width="13.5703125" style="624" customWidth="1"/>
    <col min="5402" max="5402" width="14.140625" style="624" customWidth="1"/>
    <col min="5403" max="5405" width="8.85546875" style="624" customWidth="1"/>
    <col min="5406" max="5406" width="9.28515625" style="624" customWidth="1"/>
    <col min="5407" max="5407" width="14" style="624" customWidth="1"/>
    <col min="5408" max="5409" width="8.85546875" style="624" customWidth="1"/>
    <col min="5410" max="5410" width="10.140625" style="624" customWidth="1"/>
    <col min="5411" max="5412" width="9.5703125" style="624" customWidth="1"/>
    <col min="5413" max="5413" width="9.85546875" style="624" customWidth="1"/>
    <col min="5414" max="5415" width="10.140625" style="624" customWidth="1"/>
    <col min="5416" max="5418" width="9.28515625" style="624" customWidth="1"/>
    <col min="5419" max="5419" width="9.85546875" style="624" customWidth="1"/>
    <col min="5420" max="5421" width="8.5703125" style="624" customWidth="1"/>
    <col min="5422" max="5424" width="8.85546875" style="624" customWidth="1"/>
    <col min="5425" max="5425" width="9.28515625" style="624" customWidth="1"/>
    <col min="5426" max="5427" width="8.85546875" style="624" customWidth="1"/>
    <col min="5428" max="5428" width="10" style="624" customWidth="1"/>
    <col min="5429" max="5430" width="8.85546875" style="624" customWidth="1"/>
    <col min="5431" max="5431" width="11" style="624" customWidth="1"/>
    <col min="5432" max="5433" width="9.5703125" style="624" customWidth="1"/>
    <col min="5434" max="5436" width="8.85546875" style="624" customWidth="1"/>
    <col min="5437" max="5437" width="10.42578125" style="624" customWidth="1"/>
    <col min="5438" max="5439" width="8.85546875" style="624" customWidth="1"/>
    <col min="5440" max="5440" width="9.7109375" style="624" customWidth="1"/>
    <col min="5441" max="5442" width="8.85546875" style="624" customWidth="1"/>
    <col min="5443" max="5443" width="9.28515625" style="624" customWidth="1"/>
    <col min="5444" max="5464" width="8.85546875" style="624" customWidth="1"/>
    <col min="5465" max="5465" width="9.85546875" style="624" customWidth="1"/>
    <col min="5466" max="5466" width="8.85546875" style="624" customWidth="1"/>
    <col min="5467" max="5467" width="10" style="624" customWidth="1"/>
    <col min="5468" max="5484" width="8.85546875" style="624" customWidth="1"/>
    <col min="5485" max="5485" width="9.42578125" style="624" customWidth="1"/>
    <col min="5486" max="5486" width="8.85546875" style="624" customWidth="1"/>
    <col min="5487" max="5487" width="12" style="624" customWidth="1"/>
    <col min="5488" max="5488" width="11.140625" style="624" customWidth="1"/>
    <col min="5489" max="5489" width="28.7109375" style="624" customWidth="1"/>
    <col min="5490" max="5490" width="5.85546875" style="624" customWidth="1"/>
    <col min="5491" max="5640" width="9.140625" style="624"/>
    <col min="5641" max="5641" width="3.42578125" style="624" customWidth="1"/>
    <col min="5642" max="5642" width="27.85546875" style="624" customWidth="1"/>
    <col min="5643" max="5643" width="11.85546875" style="624" customWidth="1"/>
    <col min="5644" max="5644" width="15.140625" style="624" customWidth="1"/>
    <col min="5645" max="5645" width="10.28515625" style="624" customWidth="1"/>
    <col min="5646" max="5647" width="9.7109375" style="624" customWidth="1"/>
    <col min="5648" max="5648" width="10.42578125" style="624" customWidth="1"/>
    <col min="5649" max="5649" width="10.42578125" style="624" bestFit="1" customWidth="1"/>
    <col min="5650" max="5650" width="16.28515625" style="624" customWidth="1"/>
    <col min="5651" max="5651" width="15.140625" style="624" customWidth="1"/>
    <col min="5652" max="5652" width="13.5703125" style="624" customWidth="1"/>
    <col min="5653" max="5653" width="10.5703125" style="624" customWidth="1"/>
    <col min="5654" max="5654" width="10.85546875" style="624" customWidth="1"/>
    <col min="5655" max="5655" width="18" style="624" customWidth="1"/>
    <col min="5656" max="5656" width="20.85546875" style="624" customWidth="1"/>
    <col min="5657" max="5657" width="13.5703125" style="624" customWidth="1"/>
    <col min="5658" max="5658" width="14.140625" style="624" customWidth="1"/>
    <col min="5659" max="5661" width="8.85546875" style="624" customWidth="1"/>
    <col min="5662" max="5662" width="9.28515625" style="624" customWidth="1"/>
    <col min="5663" max="5663" width="14" style="624" customWidth="1"/>
    <col min="5664" max="5665" width="8.85546875" style="624" customWidth="1"/>
    <col min="5666" max="5666" width="10.140625" style="624" customWidth="1"/>
    <col min="5667" max="5668" width="9.5703125" style="624" customWidth="1"/>
    <col min="5669" max="5669" width="9.85546875" style="624" customWidth="1"/>
    <col min="5670" max="5671" width="10.140625" style="624" customWidth="1"/>
    <col min="5672" max="5674" width="9.28515625" style="624" customWidth="1"/>
    <col min="5675" max="5675" width="9.85546875" style="624" customWidth="1"/>
    <col min="5676" max="5677" width="8.5703125" style="624" customWidth="1"/>
    <col min="5678" max="5680" width="8.85546875" style="624" customWidth="1"/>
    <col min="5681" max="5681" width="9.28515625" style="624" customWidth="1"/>
    <col min="5682" max="5683" width="8.85546875" style="624" customWidth="1"/>
    <col min="5684" max="5684" width="10" style="624" customWidth="1"/>
    <col min="5685" max="5686" width="8.85546875" style="624" customWidth="1"/>
    <col min="5687" max="5687" width="11" style="624" customWidth="1"/>
    <col min="5688" max="5689" width="9.5703125" style="624" customWidth="1"/>
    <col min="5690" max="5692" width="8.85546875" style="624" customWidth="1"/>
    <col min="5693" max="5693" width="10.42578125" style="624" customWidth="1"/>
    <col min="5694" max="5695" width="8.85546875" style="624" customWidth="1"/>
    <col min="5696" max="5696" width="9.7109375" style="624" customWidth="1"/>
    <col min="5697" max="5698" width="8.85546875" style="624" customWidth="1"/>
    <col min="5699" max="5699" width="9.28515625" style="624" customWidth="1"/>
    <col min="5700" max="5720" width="8.85546875" style="624" customWidth="1"/>
    <col min="5721" max="5721" width="9.85546875" style="624" customWidth="1"/>
    <col min="5722" max="5722" width="8.85546875" style="624" customWidth="1"/>
    <col min="5723" max="5723" width="10" style="624" customWidth="1"/>
    <col min="5724" max="5740" width="8.85546875" style="624" customWidth="1"/>
    <col min="5741" max="5741" width="9.42578125" style="624" customWidth="1"/>
    <col min="5742" max="5742" width="8.85546875" style="624" customWidth="1"/>
    <col min="5743" max="5743" width="12" style="624" customWidth="1"/>
    <col min="5744" max="5744" width="11.140625" style="624" customWidth="1"/>
    <col min="5745" max="5745" width="28.7109375" style="624" customWidth="1"/>
    <col min="5746" max="5746" width="5.85546875" style="624" customWidth="1"/>
    <col min="5747" max="5896" width="9.140625" style="624"/>
    <col min="5897" max="5897" width="3.42578125" style="624" customWidth="1"/>
    <col min="5898" max="5898" width="27.85546875" style="624" customWidth="1"/>
    <col min="5899" max="5899" width="11.85546875" style="624" customWidth="1"/>
    <col min="5900" max="5900" width="15.140625" style="624" customWidth="1"/>
    <col min="5901" max="5901" width="10.28515625" style="624" customWidth="1"/>
    <col min="5902" max="5903" width="9.7109375" style="624" customWidth="1"/>
    <col min="5904" max="5904" width="10.42578125" style="624" customWidth="1"/>
    <col min="5905" max="5905" width="10.42578125" style="624" bestFit="1" customWidth="1"/>
    <col min="5906" max="5906" width="16.28515625" style="624" customWidth="1"/>
    <col min="5907" max="5907" width="15.140625" style="624" customWidth="1"/>
    <col min="5908" max="5908" width="13.5703125" style="624" customWidth="1"/>
    <col min="5909" max="5909" width="10.5703125" style="624" customWidth="1"/>
    <col min="5910" max="5910" width="10.85546875" style="624" customWidth="1"/>
    <col min="5911" max="5911" width="18" style="624" customWidth="1"/>
    <col min="5912" max="5912" width="20.85546875" style="624" customWidth="1"/>
    <col min="5913" max="5913" width="13.5703125" style="624" customWidth="1"/>
    <col min="5914" max="5914" width="14.140625" style="624" customWidth="1"/>
    <col min="5915" max="5917" width="8.85546875" style="624" customWidth="1"/>
    <col min="5918" max="5918" width="9.28515625" style="624" customWidth="1"/>
    <col min="5919" max="5919" width="14" style="624" customWidth="1"/>
    <col min="5920" max="5921" width="8.85546875" style="624" customWidth="1"/>
    <col min="5922" max="5922" width="10.140625" style="624" customWidth="1"/>
    <col min="5923" max="5924" width="9.5703125" style="624" customWidth="1"/>
    <col min="5925" max="5925" width="9.85546875" style="624" customWidth="1"/>
    <col min="5926" max="5927" width="10.140625" style="624" customWidth="1"/>
    <col min="5928" max="5930" width="9.28515625" style="624" customWidth="1"/>
    <col min="5931" max="5931" width="9.85546875" style="624" customWidth="1"/>
    <col min="5932" max="5933" width="8.5703125" style="624" customWidth="1"/>
    <col min="5934" max="5936" width="8.85546875" style="624" customWidth="1"/>
    <col min="5937" max="5937" width="9.28515625" style="624" customWidth="1"/>
    <col min="5938" max="5939" width="8.85546875" style="624" customWidth="1"/>
    <col min="5940" max="5940" width="10" style="624" customWidth="1"/>
    <col min="5941" max="5942" width="8.85546875" style="624" customWidth="1"/>
    <col min="5943" max="5943" width="11" style="624" customWidth="1"/>
    <col min="5944" max="5945" width="9.5703125" style="624" customWidth="1"/>
    <col min="5946" max="5948" width="8.85546875" style="624" customWidth="1"/>
    <col min="5949" max="5949" width="10.42578125" style="624" customWidth="1"/>
    <col min="5950" max="5951" width="8.85546875" style="624" customWidth="1"/>
    <col min="5952" max="5952" width="9.7109375" style="624" customWidth="1"/>
    <col min="5953" max="5954" width="8.85546875" style="624" customWidth="1"/>
    <col min="5955" max="5955" width="9.28515625" style="624" customWidth="1"/>
    <col min="5956" max="5976" width="8.85546875" style="624" customWidth="1"/>
    <col min="5977" max="5977" width="9.85546875" style="624" customWidth="1"/>
    <col min="5978" max="5978" width="8.85546875" style="624" customWidth="1"/>
    <col min="5979" max="5979" width="10" style="624" customWidth="1"/>
    <col min="5980" max="5996" width="8.85546875" style="624" customWidth="1"/>
    <col min="5997" max="5997" width="9.42578125" style="624" customWidth="1"/>
    <col min="5998" max="5998" width="8.85546875" style="624" customWidth="1"/>
    <col min="5999" max="5999" width="12" style="624" customWidth="1"/>
    <col min="6000" max="6000" width="11.140625" style="624" customWidth="1"/>
    <col min="6001" max="6001" width="28.7109375" style="624" customWidth="1"/>
    <col min="6002" max="6002" width="5.85546875" style="624" customWidth="1"/>
    <col min="6003" max="6152" width="9.140625" style="624"/>
    <col min="6153" max="6153" width="3.42578125" style="624" customWidth="1"/>
    <col min="6154" max="6154" width="27.85546875" style="624" customWidth="1"/>
    <col min="6155" max="6155" width="11.85546875" style="624" customWidth="1"/>
    <col min="6156" max="6156" width="15.140625" style="624" customWidth="1"/>
    <col min="6157" max="6157" width="10.28515625" style="624" customWidth="1"/>
    <col min="6158" max="6159" width="9.7109375" style="624" customWidth="1"/>
    <col min="6160" max="6160" width="10.42578125" style="624" customWidth="1"/>
    <col min="6161" max="6161" width="10.42578125" style="624" bestFit="1" customWidth="1"/>
    <col min="6162" max="6162" width="16.28515625" style="624" customWidth="1"/>
    <col min="6163" max="6163" width="15.140625" style="624" customWidth="1"/>
    <col min="6164" max="6164" width="13.5703125" style="624" customWidth="1"/>
    <col min="6165" max="6165" width="10.5703125" style="624" customWidth="1"/>
    <col min="6166" max="6166" width="10.85546875" style="624" customWidth="1"/>
    <col min="6167" max="6167" width="18" style="624" customWidth="1"/>
    <col min="6168" max="6168" width="20.85546875" style="624" customWidth="1"/>
    <col min="6169" max="6169" width="13.5703125" style="624" customWidth="1"/>
    <col min="6170" max="6170" width="14.140625" style="624" customWidth="1"/>
    <col min="6171" max="6173" width="8.85546875" style="624" customWidth="1"/>
    <col min="6174" max="6174" width="9.28515625" style="624" customWidth="1"/>
    <col min="6175" max="6175" width="14" style="624" customWidth="1"/>
    <col min="6176" max="6177" width="8.85546875" style="624" customWidth="1"/>
    <col min="6178" max="6178" width="10.140625" style="624" customWidth="1"/>
    <col min="6179" max="6180" width="9.5703125" style="624" customWidth="1"/>
    <col min="6181" max="6181" width="9.85546875" style="624" customWidth="1"/>
    <col min="6182" max="6183" width="10.140625" style="624" customWidth="1"/>
    <col min="6184" max="6186" width="9.28515625" style="624" customWidth="1"/>
    <col min="6187" max="6187" width="9.85546875" style="624" customWidth="1"/>
    <col min="6188" max="6189" width="8.5703125" style="624" customWidth="1"/>
    <col min="6190" max="6192" width="8.85546875" style="624" customWidth="1"/>
    <col min="6193" max="6193" width="9.28515625" style="624" customWidth="1"/>
    <col min="6194" max="6195" width="8.85546875" style="624" customWidth="1"/>
    <col min="6196" max="6196" width="10" style="624" customWidth="1"/>
    <col min="6197" max="6198" width="8.85546875" style="624" customWidth="1"/>
    <col min="6199" max="6199" width="11" style="624" customWidth="1"/>
    <col min="6200" max="6201" width="9.5703125" style="624" customWidth="1"/>
    <col min="6202" max="6204" width="8.85546875" style="624" customWidth="1"/>
    <col min="6205" max="6205" width="10.42578125" style="624" customWidth="1"/>
    <col min="6206" max="6207" width="8.85546875" style="624" customWidth="1"/>
    <col min="6208" max="6208" width="9.7109375" style="624" customWidth="1"/>
    <col min="6209" max="6210" width="8.85546875" style="624" customWidth="1"/>
    <col min="6211" max="6211" width="9.28515625" style="624" customWidth="1"/>
    <col min="6212" max="6232" width="8.85546875" style="624" customWidth="1"/>
    <col min="6233" max="6233" width="9.85546875" style="624" customWidth="1"/>
    <col min="6234" max="6234" width="8.85546875" style="624" customWidth="1"/>
    <col min="6235" max="6235" width="10" style="624" customWidth="1"/>
    <col min="6236" max="6252" width="8.85546875" style="624" customWidth="1"/>
    <col min="6253" max="6253" width="9.42578125" style="624" customWidth="1"/>
    <col min="6254" max="6254" width="8.85546875" style="624" customWidth="1"/>
    <col min="6255" max="6255" width="12" style="624" customWidth="1"/>
    <col min="6256" max="6256" width="11.140625" style="624" customWidth="1"/>
    <col min="6257" max="6257" width="28.7109375" style="624" customWidth="1"/>
    <col min="6258" max="6258" width="5.85546875" style="624" customWidth="1"/>
    <col min="6259" max="6408" width="9.140625" style="624"/>
    <col min="6409" max="6409" width="3.42578125" style="624" customWidth="1"/>
    <col min="6410" max="6410" width="27.85546875" style="624" customWidth="1"/>
    <col min="6411" max="6411" width="11.85546875" style="624" customWidth="1"/>
    <col min="6412" max="6412" width="15.140625" style="624" customWidth="1"/>
    <col min="6413" max="6413" width="10.28515625" style="624" customWidth="1"/>
    <col min="6414" max="6415" width="9.7109375" style="624" customWidth="1"/>
    <col min="6416" max="6416" width="10.42578125" style="624" customWidth="1"/>
    <col min="6417" max="6417" width="10.42578125" style="624" bestFit="1" customWidth="1"/>
    <col min="6418" max="6418" width="16.28515625" style="624" customWidth="1"/>
    <col min="6419" max="6419" width="15.140625" style="624" customWidth="1"/>
    <col min="6420" max="6420" width="13.5703125" style="624" customWidth="1"/>
    <col min="6421" max="6421" width="10.5703125" style="624" customWidth="1"/>
    <col min="6422" max="6422" width="10.85546875" style="624" customWidth="1"/>
    <col min="6423" max="6423" width="18" style="624" customWidth="1"/>
    <col min="6424" max="6424" width="20.85546875" style="624" customWidth="1"/>
    <col min="6425" max="6425" width="13.5703125" style="624" customWidth="1"/>
    <col min="6426" max="6426" width="14.140625" style="624" customWidth="1"/>
    <col min="6427" max="6429" width="8.85546875" style="624" customWidth="1"/>
    <col min="6430" max="6430" width="9.28515625" style="624" customWidth="1"/>
    <col min="6431" max="6431" width="14" style="624" customWidth="1"/>
    <col min="6432" max="6433" width="8.85546875" style="624" customWidth="1"/>
    <col min="6434" max="6434" width="10.140625" style="624" customWidth="1"/>
    <col min="6435" max="6436" width="9.5703125" style="624" customWidth="1"/>
    <col min="6437" max="6437" width="9.85546875" style="624" customWidth="1"/>
    <col min="6438" max="6439" width="10.140625" style="624" customWidth="1"/>
    <col min="6440" max="6442" width="9.28515625" style="624" customWidth="1"/>
    <col min="6443" max="6443" width="9.85546875" style="624" customWidth="1"/>
    <col min="6444" max="6445" width="8.5703125" style="624" customWidth="1"/>
    <col min="6446" max="6448" width="8.85546875" style="624" customWidth="1"/>
    <col min="6449" max="6449" width="9.28515625" style="624" customWidth="1"/>
    <col min="6450" max="6451" width="8.85546875" style="624" customWidth="1"/>
    <col min="6452" max="6452" width="10" style="624" customWidth="1"/>
    <col min="6453" max="6454" width="8.85546875" style="624" customWidth="1"/>
    <col min="6455" max="6455" width="11" style="624" customWidth="1"/>
    <col min="6456" max="6457" width="9.5703125" style="624" customWidth="1"/>
    <col min="6458" max="6460" width="8.85546875" style="624" customWidth="1"/>
    <col min="6461" max="6461" width="10.42578125" style="624" customWidth="1"/>
    <col min="6462" max="6463" width="8.85546875" style="624" customWidth="1"/>
    <col min="6464" max="6464" width="9.7109375" style="624" customWidth="1"/>
    <col min="6465" max="6466" width="8.85546875" style="624" customWidth="1"/>
    <col min="6467" max="6467" width="9.28515625" style="624" customWidth="1"/>
    <col min="6468" max="6488" width="8.85546875" style="624" customWidth="1"/>
    <col min="6489" max="6489" width="9.85546875" style="624" customWidth="1"/>
    <col min="6490" max="6490" width="8.85546875" style="624" customWidth="1"/>
    <col min="6491" max="6491" width="10" style="624" customWidth="1"/>
    <col min="6492" max="6508" width="8.85546875" style="624" customWidth="1"/>
    <col min="6509" max="6509" width="9.42578125" style="624" customWidth="1"/>
    <col min="6510" max="6510" width="8.85546875" style="624" customWidth="1"/>
    <col min="6511" max="6511" width="12" style="624" customWidth="1"/>
    <col min="6512" max="6512" width="11.140625" style="624" customWidth="1"/>
    <col min="6513" max="6513" width="28.7109375" style="624" customWidth="1"/>
    <col min="6514" max="6514" width="5.85546875" style="624" customWidth="1"/>
    <col min="6515" max="6664" width="9.140625" style="624"/>
    <col min="6665" max="6665" width="3.42578125" style="624" customWidth="1"/>
    <col min="6666" max="6666" width="27.85546875" style="624" customWidth="1"/>
    <col min="6667" max="6667" width="11.85546875" style="624" customWidth="1"/>
    <col min="6668" max="6668" width="15.140625" style="624" customWidth="1"/>
    <col min="6669" max="6669" width="10.28515625" style="624" customWidth="1"/>
    <col min="6670" max="6671" width="9.7109375" style="624" customWidth="1"/>
    <col min="6672" max="6672" width="10.42578125" style="624" customWidth="1"/>
    <col min="6673" max="6673" width="10.42578125" style="624" bestFit="1" customWidth="1"/>
    <col min="6674" max="6674" width="16.28515625" style="624" customWidth="1"/>
    <col min="6675" max="6675" width="15.140625" style="624" customWidth="1"/>
    <col min="6676" max="6676" width="13.5703125" style="624" customWidth="1"/>
    <col min="6677" max="6677" width="10.5703125" style="624" customWidth="1"/>
    <col min="6678" max="6678" width="10.85546875" style="624" customWidth="1"/>
    <col min="6679" max="6679" width="18" style="624" customWidth="1"/>
    <col min="6680" max="6680" width="20.85546875" style="624" customWidth="1"/>
    <col min="6681" max="6681" width="13.5703125" style="624" customWidth="1"/>
    <col min="6682" max="6682" width="14.140625" style="624" customWidth="1"/>
    <col min="6683" max="6685" width="8.85546875" style="624" customWidth="1"/>
    <col min="6686" max="6686" width="9.28515625" style="624" customWidth="1"/>
    <col min="6687" max="6687" width="14" style="624" customWidth="1"/>
    <col min="6688" max="6689" width="8.85546875" style="624" customWidth="1"/>
    <col min="6690" max="6690" width="10.140625" style="624" customWidth="1"/>
    <col min="6691" max="6692" width="9.5703125" style="624" customWidth="1"/>
    <col min="6693" max="6693" width="9.85546875" style="624" customWidth="1"/>
    <col min="6694" max="6695" width="10.140625" style="624" customWidth="1"/>
    <col min="6696" max="6698" width="9.28515625" style="624" customWidth="1"/>
    <col min="6699" max="6699" width="9.85546875" style="624" customWidth="1"/>
    <col min="6700" max="6701" width="8.5703125" style="624" customWidth="1"/>
    <col min="6702" max="6704" width="8.85546875" style="624" customWidth="1"/>
    <col min="6705" max="6705" width="9.28515625" style="624" customWidth="1"/>
    <col min="6706" max="6707" width="8.85546875" style="624" customWidth="1"/>
    <col min="6708" max="6708" width="10" style="624" customWidth="1"/>
    <col min="6709" max="6710" width="8.85546875" style="624" customWidth="1"/>
    <col min="6711" max="6711" width="11" style="624" customWidth="1"/>
    <col min="6712" max="6713" width="9.5703125" style="624" customWidth="1"/>
    <col min="6714" max="6716" width="8.85546875" style="624" customWidth="1"/>
    <col min="6717" max="6717" width="10.42578125" style="624" customWidth="1"/>
    <col min="6718" max="6719" width="8.85546875" style="624" customWidth="1"/>
    <col min="6720" max="6720" width="9.7109375" style="624" customWidth="1"/>
    <col min="6721" max="6722" width="8.85546875" style="624" customWidth="1"/>
    <col min="6723" max="6723" width="9.28515625" style="624" customWidth="1"/>
    <col min="6724" max="6744" width="8.85546875" style="624" customWidth="1"/>
    <col min="6745" max="6745" width="9.85546875" style="624" customWidth="1"/>
    <col min="6746" max="6746" width="8.85546875" style="624" customWidth="1"/>
    <col min="6747" max="6747" width="10" style="624" customWidth="1"/>
    <col min="6748" max="6764" width="8.85546875" style="624" customWidth="1"/>
    <col min="6765" max="6765" width="9.42578125" style="624" customWidth="1"/>
    <col min="6766" max="6766" width="8.85546875" style="624" customWidth="1"/>
    <col min="6767" max="6767" width="12" style="624" customWidth="1"/>
    <col min="6768" max="6768" width="11.140625" style="624" customWidth="1"/>
    <col min="6769" max="6769" width="28.7109375" style="624" customWidth="1"/>
    <col min="6770" max="6770" width="5.85546875" style="624" customWidth="1"/>
    <col min="6771" max="6920" width="9.140625" style="624"/>
    <col min="6921" max="6921" width="3.42578125" style="624" customWidth="1"/>
    <col min="6922" max="6922" width="27.85546875" style="624" customWidth="1"/>
    <col min="6923" max="6923" width="11.85546875" style="624" customWidth="1"/>
    <col min="6924" max="6924" width="15.140625" style="624" customWidth="1"/>
    <col min="6925" max="6925" width="10.28515625" style="624" customWidth="1"/>
    <col min="6926" max="6927" width="9.7109375" style="624" customWidth="1"/>
    <col min="6928" max="6928" width="10.42578125" style="624" customWidth="1"/>
    <col min="6929" max="6929" width="10.42578125" style="624" bestFit="1" customWidth="1"/>
    <col min="6930" max="6930" width="16.28515625" style="624" customWidth="1"/>
    <col min="6931" max="6931" width="15.140625" style="624" customWidth="1"/>
    <col min="6932" max="6932" width="13.5703125" style="624" customWidth="1"/>
    <col min="6933" max="6933" width="10.5703125" style="624" customWidth="1"/>
    <col min="6934" max="6934" width="10.85546875" style="624" customWidth="1"/>
    <col min="6935" max="6935" width="18" style="624" customWidth="1"/>
    <col min="6936" max="6936" width="20.85546875" style="624" customWidth="1"/>
    <col min="6937" max="6937" width="13.5703125" style="624" customWidth="1"/>
    <col min="6938" max="6938" width="14.140625" style="624" customWidth="1"/>
    <col min="6939" max="6941" width="8.85546875" style="624" customWidth="1"/>
    <col min="6942" max="6942" width="9.28515625" style="624" customWidth="1"/>
    <col min="6943" max="6943" width="14" style="624" customWidth="1"/>
    <col min="6944" max="6945" width="8.85546875" style="624" customWidth="1"/>
    <col min="6946" max="6946" width="10.140625" style="624" customWidth="1"/>
    <col min="6947" max="6948" width="9.5703125" style="624" customWidth="1"/>
    <col min="6949" max="6949" width="9.85546875" style="624" customWidth="1"/>
    <col min="6950" max="6951" width="10.140625" style="624" customWidth="1"/>
    <col min="6952" max="6954" width="9.28515625" style="624" customWidth="1"/>
    <col min="6955" max="6955" width="9.85546875" style="624" customWidth="1"/>
    <col min="6956" max="6957" width="8.5703125" style="624" customWidth="1"/>
    <col min="6958" max="6960" width="8.85546875" style="624" customWidth="1"/>
    <col min="6961" max="6961" width="9.28515625" style="624" customWidth="1"/>
    <col min="6962" max="6963" width="8.85546875" style="624" customWidth="1"/>
    <col min="6964" max="6964" width="10" style="624" customWidth="1"/>
    <col min="6965" max="6966" width="8.85546875" style="624" customWidth="1"/>
    <col min="6967" max="6967" width="11" style="624" customWidth="1"/>
    <col min="6968" max="6969" width="9.5703125" style="624" customWidth="1"/>
    <col min="6970" max="6972" width="8.85546875" style="624" customWidth="1"/>
    <col min="6973" max="6973" width="10.42578125" style="624" customWidth="1"/>
    <col min="6974" max="6975" width="8.85546875" style="624" customWidth="1"/>
    <col min="6976" max="6976" width="9.7109375" style="624" customWidth="1"/>
    <col min="6977" max="6978" width="8.85546875" style="624" customWidth="1"/>
    <col min="6979" max="6979" width="9.28515625" style="624" customWidth="1"/>
    <col min="6980" max="7000" width="8.85546875" style="624" customWidth="1"/>
    <col min="7001" max="7001" width="9.85546875" style="624" customWidth="1"/>
    <col min="7002" max="7002" width="8.85546875" style="624" customWidth="1"/>
    <col min="7003" max="7003" width="10" style="624" customWidth="1"/>
    <col min="7004" max="7020" width="8.85546875" style="624" customWidth="1"/>
    <col min="7021" max="7021" width="9.42578125" style="624" customWidth="1"/>
    <col min="7022" max="7022" width="8.85546875" style="624" customWidth="1"/>
    <col min="7023" max="7023" width="12" style="624" customWidth="1"/>
    <col min="7024" max="7024" width="11.140625" style="624" customWidth="1"/>
    <col min="7025" max="7025" width="28.7109375" style="624" customWidth="1"/>
    <col min="7026" max="7026" width="5.85546875" style="624" customWidth="1"/>
    <col min="7027" max="7176" width="9.140625" style="624"/>
    <col min="7177" max="7177" width="3.42578125" style="624" customWidth="1"/>
    <col min="7178" max="7178" width="27.85546875" style="624" customWidth="1"/>
    <col min="7179" max="7179" width="11.85546875" style="624" customWidth="1"/>
    <col min="7180" max="7180" width="15.140625" style="624" customWidth="1"/>
    <col min="7181" max="7181" width="10.28515625" style="624" customWidth="1"/>
    <col min="7182" max="7183" width="9.7109375" style="624" customWidth="1"/>
    <col min="7184" max="7184" width="10.42578125" style="624" customWidth="1"/>
    <col min="7185" max="7185" width="10.42578125" style="624" bestFit="1" customWidth="1"/>
    <col min="7186" max="7186" width="16.28515625" style="624" customWidth="1"/>
    <col min="7187" max="7187" width="15.140625" style="624" customWidth="1"/>
    <col min="7188" max="7188" width="13.5703125" style="624" customWidth="1"/>
    <col min="7189" max="7189" width="10.5703125" style="624" customWidth="1"/>
    <col min="7190" max="7190" width="10.85546875" style="624" customWidth="1"/>
    <col min="7191" max="7191" width="18" style="624" customWidth="1"/>
    <col min="7192" max="7192" width="20.85546875" style="624" customWidth="1"/>
    <col min="7193" max="7193" width="13.5703125" style="624" customWidth="1"/>
    <col min="7194" max="7194" width="14.140625" style="624" customWidth="1"/>
    <col min="7195" max="7197" width="8.85546875" style="624" customWidth="1"/>
    <col min="7198" max="7198" width="9.28515625" style="624" customWidth="1"/>
    <col min="7199" max="7199" width="14" style="624" customWidth="1"/>
    <col min="7200" max="7201" width="8.85546875" style="624" customWidth="1"/>
    <col min="7202" max="7202" width="10.140625" style="624" customWidth="1"/>
    <col min="7203" max="7204" width="9.5703125" style="624" customWidth="1"/>
    <col min="7205" max="7205" width="9.85546875" style="624" customWidth="1"/>
    <col min="7206" max="7207" width="10.140625" style="624" customWidth="1"/>
    <col min="7208" max="7210" width="9.28515625" style="624" customWidth="1"/>
    <col min="7211" max="7211" width="9.85546875" style="624" customWidth="1"/>
    <col min="7212" max="7213" width="8.5703125" style="624" customWidth="1"/>
    <col min="7214" max="7216" width="8.85546875" style="624" customWidth="1"/>
    <col min="7217" max="7217" width="9.28515625" style="624" customWidth="1"/>
    <col min="7218" max="7219" width="8.85546875" style="624" customWidth="1"/>
    <col min="7220" max="7220" width="10" style="624" customWidth="1"/>
    <col min="7221" max="7222" width="8.85546875" style="624" customWidth="1"/>
    <col min="7223" max="7223" width="11" style="624" customWidth="1"/>
    <col min="7224" max="7225" width="9.5703125" style="624" customWidth="1"/>
    <col min="7226" max="7228" width="8.85546875" style="624" customWidth="1"/>
    <col min="7229" max="7229" width="10.42578125" style="624" customWidth="1"/>
    <col min="7230" max="7231" width="8.85546875" style="624" customWidth="1"/>
    <col min="7232" max="7232" width="9.7109375" style="624" customWidth="1"/>
    <col min="7233" max="7234" width="8.85546875" style="624" customWidth="1"/>
    <col min="7235" max="7235" width="9.28515625" style="624" customWidth="1"/>
    <col min="7236" max="7256" width="8.85546875" style="624" customWidth="1"/>
    <col min="7257" max="7257" width="9.85546875" style="624" customWidth="1"/>
    <col min="7258" max="7258" width="8.85546875" style="624" customWidth="1"/>
    <col min="7259" max="7259" width="10" style="624" customWidth="1"/>
    <col min="7260" max="7276" width="8.85546875" style="624" customWidth="1"/>
    <col min="7277" max="7277" width="9.42578125" style="624" customWidth="1"/>
    <col min="7278" max="7278" width="8.85546875" style="624" customWidth="1"/>
    <col min="7279" max="7279" width="12" style="624" customWidth="1"/>
    <col min="7280" max="7280" width="11.140625" style="624" customWidth="1"/>
    <col min="7281" max="7281" width="28.7109375" style="624" customWidth="1"/>
    <col min="7282" max="7282" width="5.85546875" style="624" customWidth="1"/>
    <col min="7283" max="7432" width="9.140625" style="624"/>
    <col min="7433" max="7433" width="3.42578125" style="624" customWidth="1"/>
    <col min="7434" max="7434" width="27.85546875" style="624" customWidth="1"/>
    <col min="7435" max="7435" width="11.85546875" style="624" customWidth="1"/>
    <col min="7436" max="7436" width="15.140625" style="624" customWidth="1"/>
    <col min="7437" max="7437" width="10.28515625" style="624" customWidth="1"/>
    <col min="7438" max="7439" width="9.7109375" style="624" customWidth="1"/>
    <col min="7440" max="7440" width="10.42578125" style="624" customWidth="1"/>
    <col min="7441" max="7441" width="10.42578125" style="624" bestFit="1" customWidth="1"/>
    <col min="7442" max="7442" width="16.28515625" style="624" customWidth="1"/>
    <col min="7443" max="7443" width="15.140625" style="624" customWidth="1"/>
    <col min="7444" max="7444" width="13.5703125" style="624" customWidth="1"/>
    <col min="7445" max="7445" width="10.5703125" style="624" customWidth="1"/>
    <col min="7446" max="7446" width="10.85546875" style="624" customWidth="1"/>
    <col min="7447" max="7447" width="18" style="624" customWidth="1"/>
    <col min="7448" max="7448" width="20.85546875" style="624" customWidth="1"/>
    <col min="7449" max="7449" width="13.5703125" style="624" customWidth="1"/>
    <col min="7450" max="7450" width="14.140625" style="624" customWidth="1"/>
    <col min="7451" max="7453" width="8.85546875" style="624" customWidth="1"/>
    <col min="7454" max="7454" width="9.28515625" style="624" customWidth="1"/>
    <col min="7455" max="7455" width="14" style="624" customWidth="1"/>
    <col min="7456" max="7457" width="8.85546875" style="624" customWidth="1"/>
    <col min="7458" max="7458" width="10.140625" style="624" customWidth="1"/>
    <col min="7459" max="7460" width="9.5703125" style="624" customWidth="1"/>
    <col min="7461" max="7461" width="9.85546875" style="624" customWidth="1"/>
    <col min="7462" max="7463" width="10.140625" style="624" customWidth="1"/>
    <col min="7464" max="7466" width="9.28515625" style="624" customWidth="1"/>
    <col min="7467" max="7467" width="9.85546875" style="624" customWidth="1"/>
    <col min="7468" max="7469" width="8.5703125" style="624" customWidth="1"/>
    <col min="7470" max="7472" width="8.85546875" style="624" customWidth="1"/>
    <col min="7473" max="7473" width="9.28515625" style="624" customWidth="1"/>
    <col min="7474" max="7475" width="8.85546875" style="624" customWidth="1"/>
    <col min="7476" max="7476" width="10" style="624" customWidth="1"/>
    <col min="7477" max="7478" width="8.85546875" style="624" customWidth="1"/>
    <col min="7479" max="7479" width="11" style="624" customWidth="1"/>
    <col min="7480" max="7481" width="9.5703125" style="624" customWidth="1"/>
    <col min="7482" max="7484" width="8.85546875" style="624" customWidth="1"/>
    <col min="7485" max="7485" width="10.42578125" style="624" customWidth="1"/>
    <col min="7486" max="7487" width="8.85546875" style="624" customWidth="1"/>
    <col min="7488" max="7488" width="9.7109375" style="624" customWidth="1"/>
    <col min="7489" max="7490" width="8.85546875" style="624" customWidth="1"/>
    <col min="7491" max="7491" width="9.28515625" style="624" customWidth="1"/>
    <col min="7492" max="7512" width="8.85546875" style="624" customWidth="1"/>
    <col min="7513" max="7513" width="9.85546875" style="624" customWidth="1"/>
    <col min="7514" max="7514" width="8.85546875" style="624" customWidth="1"/>
    <col min="7515" max="7515" width="10" style="624" customWidth="1"/>
    <col min="7516" max="7532" width="8.85546875" style="624" customWidth="1"/>
    <col min="7533" max="7533" width="9.42578125" style="624" customWidth="1"/>
    <col min="7534" max="7534" width="8.85546875" style="624" customWidth="1"/>
    <col min="7535" max="7535" width="12" style="624" customWidth="1"/>
    <col min="7536" max="7536" width="11.140625" style="624" customWidth="1"/>
    <col min="7537" max="7537" width="28.7109375" style="624" customWidth="1"/>
    <col min="7538" max="7538" width="5.85546875" style="624" customWidth="1"/>
    <col min="7539" max="7688" width="9.140625" style="624"/>
    <col min="7689" max="7689" width="3.42578125" style="624" customWidth="1"/>
    <col min="7690" max="7690" width="27.85546875" style="624" customWidth="1"/>
    <col min="7691" max="7691" width="11.85546875" style="624" customWidth="1"/>
    <col min="7692" max="7692" width="15.140625" style="624" customWidth="1"/>
    <col min="7693" max="7693" width="10.28515625" style="624" customWidth="1"/>
    <col min="7694" max="7695" width="9.7109375" style="624" customWidth="1"/>
    <col min="7696" max="7696" width="10.42578125" style="624" customWidth="1"/>
    <col min="7697" max="7697" width="10.42578125" style="624" bestFit="1" customWidth="1"/>
    <col min="7698" max="7698" width="16.28515625" style="624" customWidth="1"/>
    <col min="7699" max="7699" width="15.140625" style="624" customWidth="1"/>
    <col min="7700" max="7700" width="13.5703125" style="624" customWidth="1"/>
    <col min="7701" max="7701" width="10.5703125" style="624" customWidth="1"/>
    <col min="7702" max="7702" width="10.85546875" style="624" customWidth="1"/>
    <col min="7703" max="7703" width="18" style="624" customWidth="1"/>
    <col min="7704" max="7704" width="20.85546875" style="624" customWidth="1"/>
    <col min="7705" max="7705" width="13.5703125" style="624" customWidth="1"/>
    <col min="7706" max="7706" width="14.140625" style="624" customWidth="1"/>
    <col min="7707" max="7709" width="8.85546875" style="624" customWidth="1"/>
    <col min="7710" max="7710" width="9.28515625" style="624" customWidth="1"/>
    <col min="7711" max="7711" width="14" style="624" customWidth="1"/>
    <col min="7712" max="7713" width="8.85546875" style="624" customWidth="1"/>
    <col min="7714" max="7714" width="10.140625" style="624" customWidth="1"/>
    <col min="7715" max="7716" width="9.5703125" style="624" customWidth="1"/>
    <col min="7717" max="7717" width="9.85546875" style="624" customWidth="1"/>
    <col min="7718" max="7719" width="10.140625" style="624" customWidth="1"/>
    <col min="7720" max="7722" width="9.28515625" style="624" customWidth="1"/>
    <col min="7723" max="7723" width="9.85546875" style="624" customWidth="1"/>
    <col min="7724" max="7725" width="8.5703125" style="624" customWidth="1"/>
    <col min="7726" max="7728" width="8.85546875" style="624" customWidth="1"/>
    <col min="7729" max="7729" width="9.28515625" style="624" customWidth="1"/>
    <col min="7730" max="7731" width="8.85546875" style="624" customWidth="1"/>
    <col min="7732" max="7732" width="10" style="624" customWidth="1"/>
    <col min="7733" max="7734" width="8.85546875" style="624" customWidth="1"/>
    <col min="7735" max="7735" width="11" style="624" customWidth="1"/>
    <col min="7736" max="7737" width="9.5703125" style="624" customWidth="1"/>
    <col min="7738" max="7740" width="8.85546875" style="624" customWidth="1"/>
    <col min="7741" max="7741" width="10.42578125" style="624" customWidth="1"/>
    <col min="7742" max="7743" width="8.85546875" style="624" customWidth="1"/>
    <col min="7744" max="7744" width="9.7109375" style="624" customWidth="1"/>
    <col min="7745" max="7746" width="8.85546875" style="624" customWidth="1"/>
    <col min="7747" max="7747" width="9.28515625" style="624" customWidth="1"/>
    <col min="7748" max="7768" width="8.85546875" style="624" customWidth="1"/>
    <col min="7769" max="7769" width="9.85546875" style="624" customWidth="1"/>
    <col min="7770" max="7770" width="8.85546875" style="624" customWidth="1"/>
    <col min="7771" max="7771" width="10" style="624" customWidth="1"/>
    <col min="7772" max="7788" width="8.85546875" style="624" customWidth="1"/>
    <col min="7789" max="7789" width="9.42578125" style="624" customWidth="1"/>
    <col min="7790" max="7790" width="8.85546875" style="624" customWidth="1"/>
    <col min="7791" max="7791" width="12" style="624" customWidth="1"/>
    <col min="7792" max="7792" width="11.140625" style="624" customWidth="1"/>
    <col min="7793" max="7793" width="28.7109375" style="624" customWidth="1"/>
    <col min="7794" max="7794" width="5.85546875" style="624" customWidth="1"/>
    <col min="7795" max="7944" width="9.140625" style="624"/>
    <col min="7945" max="7945" width="3.42578125" style="624" customWidth="1"/>
    <col min="7946" max="7946" width="27.85546875" style="624" customWidth="1"/>
    <col min="7947" max="7947" width="11.85546875" style="624" customWidth="1"/>
    <col min="7948" max="7948" width="15.140625" style="624" customWidth="1"/>
    <col min="7949" max="7949" width="10.28515625" style="624" customWidth="1"/>
    <col min="7950" max="7951" width="9.7109375" style="624" customWidth="1"/>
    <col min="7952" max="7952" width="10.42578125" style="624" customWidth="1"/>
    <col min="7953" max="7953" width="10.42578125" style="624" bestFit="1" customWidth="1"/>
    <col min="7954" max="7954" width="16.28515625" style="624" customWidth="1"/>
    <col min="7955" max="7955" width="15.140625" style="624" customWidth="1"/>
    <col min="7956" max="7956" width="13.5703125" style="624" customWidth="1"/>
    <col min="7957" max="7957" width="10.5703125" style="624" customWidth="1"/>
    <col min="7958" max="7958" width="10.85546875" style="624" customWidth="1"/>
    <col min="7959" max="7959" width="18" style="624" customWidth="1"/>
    <col min="7960" max="7960" width="20.85546875" style="624" customWidth="1"/>
    <col min="7961" max="7961" width="13.5703125" style="624" customWidth="1"/>
    <col min="7962" max="7962" width="14.140625" style="624" customWidth="1"/>
    <col min="7963" max="7965" width="8.85546875" style="624" customWidth="1"/>
    <col min="7966" max="7966" width="9.28515625" style="624" customWidth="1"/>
    <col min="7967" max="7967" width="14" style="624" customWidth="1"/>
    <col min="7968" max="7969" width="8.85546875" style="624" customWidth="1"/>
    <col min="7970" max="7970" width="10.140625" style="624" customWidth="1"/>
    <col min="7971" max="7972" width="9.5703125" style="624" customWidth="1"/>
    <col min="7973" max="7973" width="9.85546875" style="624" customWidth="1"/>
    <col min="7974" max="7975" width="10.140625" style="624" customWidth="1"/>
    <col min="7976" max="7978" width="9.28515625" style="624" customWidth="1"/>
    <col min="7979" max="7979" width="9.85546875" style="624" customWidth="1"/>
    <col min="7980" max="7981" width="8.5703125" style="624" customWidth="1"/>
    <col min="7982" max="7984" width="8.85546875" style="624" customWidth="1"/>
    <col min="7985" max="7985" width="9.28515625" style="624" customWidth="1"/>
    <col min="7986" max="7987" width="8.85546875" style="624" customWidth="1"/>
    <col min="7988" max="7988" width="10" style="624" customWidth="1"/>
    <col min="7989" max="7990" width="8.85546875" style="624" customWidth="1"/>
    <col min="7991" max="7991" width="11" style="624" customWidth="1"/>
    <col min="7992" max="7993" width="9.5703125" style="624" customWidth="1"/>
    <col min="7994" max="7996" width="8.85546875" style="624" customWidth="1"/>
    <col min="7997" max="7997" width="10.42578125" style="624" customWidth="1"/>
    <col min="7998" max="7999" width="8.85546875" style="624" customWidth="1"/>
    <col min="8000" max="8000" width="9.7109375" style="624" customWidth="1"/>
    <col min="8001" max="8002" width="8.85546875" style="624" customWidth="1"/>
    <col min="8003" max="8003" width="9.28515625" style="624" customWidth="1"/>
    <col min="8004" max="8024" width="8.85546875" style="624" customWidth="1"/>
    <col min="8025" max="8025" width="9.85546875" style="624" customWidth="1"/>
    <col min="8026" max="8026" width="8.85546875" style="624" customWidth="1"/>
    <col min="8027" max="8027" width="10" style="624" customWidth="1"/>
    <col min="8028" max="8044" width="8.85546875" style="624" customWidth="1"/>
    <col min="8045" max="8045" width="9.42578125" style="624" customWidth="1"/>
    <col min="8046" max="8046" width="8.85546875" style="624" customWidth="1"/>
    <col min="8047" max="8047" width="12" style="624" customWidth="1"/>
    <col min="8048" max="8048" width="11.140625" style="624" customWidth="1"/>
    <col min="8049" max="8049" width="28.7109375" style="624" customWidth="1"/>
    <col min="8050" max="8050" width="5.85546875" style="624" customWidth="1"/>
    <col min="8051" max="8200" width="9.140625" style="624"/>
    <col min="8201" max="8201" width="3.42578125" style="624" customWidth="1"/>
    <col min="8202" max="8202" width="27.85546875" style="624" customWidth="1"/>
    <col min="8203" max="8203" width="11.85546875" style="624" customWidth="1"/>
    <col min="8204" max="8204" width="15.140625" style="624" customWidth="1"/>
    <col min="8205" max="8205" width="10.28515625" style="624" customWidth="1"/>
    <col min="8206" max="8207" width="9.7109375" style="624" customWidth="1"/>
    <col min="8208" max="8208" width="10.42578125" style="624" customWidth="1"/>
    <col min="8209" max="8209" width="10.42578125" style="624" bestFit="1" customWidth="1"/>
    <col min="8210" max="8210" width="16.28515625" style="624" customWidth="1"/>
    <col min="8211" max="8211" width="15.140625" style="624" customWidth="1"/>
    <col min="8212" max="8212" width="13.5703125" style="624" customWidth="1"/>
    <col min="8213" max="8213" width="10.5703125" style="624" customWidth="1"/>
    <col min="8214" max="8214" width="10.85546875" style="624" customWidth="1"/>
    <col min="8215" max="8215" width="18" style="624" customWidth="1"/>
    <col min="8216" max="8216" width="20.85546875" style="624" customWidth="1"/>
    <col min="8217" max="8217" width="13.5703125" style="624" customWidth="1"/>
    <col min="8218" max="8218" width="14.140625" style="624" customWidth="1"/>
    <col min="8219" max="8221" width="8.85546875" style="624" customWidth="1"/>
    <col min="8222" max="8222" width="9.28515625" style="624" customWidth="1"/>
    <col min="8223" max="8223" width="14" style="624" customWidth="1"/>
    <col min="8224" max="8225" width="8.85546875" style="624" customWidth="1"/>
    <col min="8226" max="8226" width="10.140625" style="624" customWidth="1"/>
    <col min="8227" max="8228" width="9.5703125" style="624" customWidth="1"/>
    <col min="8229" max="8229" width="9.85546875" style="624" customWidth="1"/>
    <col min="8230" max="8231" width="10.140625" style="624" customWidth="1"/>
    <col min="8232" max="8234" width="9.28515625" style="624" customWidth="1"/>
    <col min="8235" max="8235" width="9.85546875" style="624" customWidth="1"/>
    <col min="8236" max="8237" width="8.5703125" style="624" customWidth="1"/>
    <col min="8238" max="8240" width="8.85546875" style="624" customWidth="1"/>
    <col min="8241" max="8241" width="9.28515625" style="624" customWidth="1"/>
    <col min="8242" max="8243" width="8.85546875" style="624" customWidth="1"/>
    <col min="8244" max="8244" width="10" style="624" customWidth="1"/>
    <col min="8245" max="8246" width="8.85546875" style="624" customWidth="1"/>
    <col min="8247" max="8247" width="11" style="624" customWidth="1"/>
    <col min="8248" max="8249" width="9.5703125" style="624" customWidth="1"/>
    <col min="8250" max="8252" width="8.85546875" style="624" customWidth="1"/>
    <col min="8253" max="8253" width="10.42578125" style="624" customWidth="1"/>
    <col min="8254" max="8255" width="8.85546875" style="624" customWidth="1"/>
    <col min="8256" max="8256" width="9.7109375" style="624" customWidth="1"/>
    <col min="8257" max="8258" width="8.85546875" style="624" customWidth="1"/>
    <col min="8259" max="8259" width="9.28515625" style="624" customWidth="1"/>
    <col min="8260" max="8280" width="8.85546875" style="624" customWidth="1"/>
    <col min="8281" max="8281" width="9.85546875" style="624" customWidth="1"/>
    <col min="8282" max="8282" width="8.85546875" style="624" customWidth="1"/>
    <col min="8283" max="8283" width="10" style="624" customWidth="1"/>
    <col min="8284" max="8300" width="8.85546875" style="624" customWidth="1"/>
    <col min="8301" max="8301" width="9.42578125" style="624" customWidth="1"/>
    <col min="8302" max="8302" width="8.85546875" style="624" customWidth="1"/>
    <col min="8303" max="8303" width="12" style="624" customWidth="1"/>
    <col min="8304" max="8304" width="11.140625" style="624" customWidth="1"/>
    <col min="8305" max="8305" width="28.7109375" style="624" customWidth="1"/>
    <col min="8306" max="8306" width="5.85546875" style="624" customWidth="1"/>
    <col min="8307" max="8456" width="9.140625" style="624"/>
    <col min="8457" max="8457" width="3.42578125" style="624" customWidth="1"/>
    <col min="8458" max="8458" width="27.85546875" style="624" customWidth="1"/>
    <col min="8459" max="8459" width="11.85546875" style="624" customWidth="1"/>
    <col min="8460" max="8460" width="15.140625" style="624" customWidth="1"/>
    <col min="8461" max="8461" width="10.28515625" style="624" customWidth="1"/>
    <col min="8462" max="8463" width="9.7109375" style="624" customWidth="1"/>
    <col min="8464" max="8464" width="10.42578125" style="624" customWidth="1"/>
    <col min="8465" max="8465" width="10.42578125" style="624" bestFit="1" customWidth="1"/>
    <col min="8466" max="8466" width="16.28515625" style="624" customWidth="1"/>
    <col min="8467" max="8467" width="15.140625" style="624" customWidth="1"/>
    <col min="8468" max="8468" width="13.5703125" style="624" customWidth="1"/>
    <col min="8469" max="8469" width="10.5703125" style="624" customWidth="1"/>
    <col min="8470" max="8470" width="10.85546875" style="624" customWidth="1"/>
    <col min="8471" max="8471" width="18" style="624" customWidth="1"/>
    <col min="8472" max="8472" width="20.85546875" style="624" customWidth="1"/>
    <col min="8473" max="8473" width="13.5703125" style="624" customWidth="1"/>
    <col min="8474" max="8474" width="14.140625" style="624" customWidth="1"/>
    <col min="8475" max="8477" width="8.85546875" style="624" customWidth="1"/>
    <col min="8478" max="8478" width="9.28515625" style="624" customWidth="1"/>
    <col min="8479" max="8479" width="14" style="624" customWidth="1"/>
    <col min="8480" max="8481" width="8.85546875" style="624" customWidth="1"/>
    <col min="8482" max="8482" width="10.140625" style="624" customWidth="1"/>
    <col min="8483" max="8484" width="9.5703125" style="624" customWidth="1"/>
    <col min="8485" max="8485" width="9.85546875" style="624" customWidth="1"/>
    <col min="8486" max="8487" width="10.140625" style="624" customWidth="1"/>
    <col min="8488" max="8490" width="9.28515625" style="624" customWidth="1"/>
    <col min="8491" max="8491" width="9.85546875" style="624" customWidth="1"/>
    <col min="8492" max="8493" width="8.5703125" style="624" customWidth="1"/>
    <col min="8494" max="8496" width="8.85546875" style="624" customWidth="1"/>
    <col min="8497" max="8497" width="9.28515625" style="624" customWidth="1"/>
    <col min="8498" max="8499" width="8.85546875" style="624" customWidth="1"/>
    <col min="8500" max="8500" width="10" style="624" customWidth="1"/>
    <col min="8501" max="8502" width="8.85546875" style="624" customWidth="1"/>
    <col min="8503" max="8503" width="11" style="624" customWidth="1"/>
    <col min="8504" max="8505" width="9.5703125" style="624" customWidth="1"/>
    <col min="8506" max="8508" width="8.85546875" style="624" customWidth="1"/>
    <col min="8509" max="8509" width="10.42578125" style="624" customWidth="1"/>
    <col min="8510" max="8511" width="8.85546875" style="624" customWidth="1"/>
    <col min="8512" max="8512" width="9.7109375" style="624" customWidth="1"/>
    <col min="8513" max="8514" width="8.85546875" style="624" customWidth="1"/>
    <col min="8515" max="8515" width="9.28515625" style="624" customWidth="1"/>
    <col min="8516" max="8536" width="8.85546875" style="624" customWidth="1"/>
    <col min="8537" max="8537" width="9.85546875" style="624" customWidth="1"/>
    <col min="8538" max="8538" width="8.85546875" style="624" customWidth="1"/>
    <col min="8539" max="8539" width="10" style="624" customWidth="1"/>
    <col min="8540" max="8556" width="8.85546875" style="624" customWidth="1"/>
    <col min="8557" max="8557" width="9.42578125" style="624" customWidth="1"/>
    <col min="8558" max="8558" width="8.85546875" style="624" customWidth="1"/>
    <col min="8559" max="8559" width="12" style="624" customWidth="1"/>
    <col min="8560" max="8560" width="11.140625" style="624" customWidth="1"/>
    <col min="8561" max="8561" width="28.7109375" style="624" customWidth="1"/>
    <col min="8562" max="8562" width="5.85546875" style="624" customWidth="1"/>
    <col min="8563" max="8712" width="9.140625" style="624"/>
    <col min="8713" max="8713" width="3.42578125" style="624" customWidth="1"/>
    <col min="8714" max="8714" width="27.85546875" style="624" customWidth="1"/>
    <col min="8715" max="8715" width="11.85546875" style="624" customWidth="1"/>
    <col min="8716" max="8716" width="15.140625" style="624" customWidth="1"/>
    <col min="8717" max="8717" width="10.28515625" style="624" customWidth="1"/>
    <col min="8718" max="8719" width="9.7109375" style="624" customWidth="1"/>
    <col min="8720" max="8720" width="10.42578125" style="624" customWidth="1"/>
    <col min="8721" max="8721" width="10.42578125" style="624" bestFit="1" customWidth="1"/>
    <col min="8722" max="8722" width="16.28515625" style="624" customWidth="1"/>
    <col min="8723" max="8723" width="15.140625" style="624" customWidth="1"/>
    <col min="8724" max="8724" width="13.5703125" style="624" customWidth="1"/>
    <col min="8725" max="8725" width="10.5703125" style="624" customWidth="1"/>
    <col min="8726" max="8726" width="10.85546875" style="624" customWidth="1"/>
    <col min="8727" max="8727" width="18" style="624" customWidth="1"/>
    <col min="8728" max="8728" width="20.85546875" style="624" customWidth="1"/>
    <col min="8729" max="8729" width="13.5703125" style="624" customWidth="1"/>
    <col min="8730" max="8730" width="14.140625" style="624" customWidth="1"/>
    <col min="8731" max="8733" width="8.85546875" style="624" customWidth="1"/>
    <col min="8734" max="8734" width="9.28515625" style="624" customWidth="1"/>
    <col min="8735" max="8735" width="14" style="624" customWidth="1"/>
    <col min="8736" max="8737" width="8.85546875" style="624" customWidth="1"/>
    <col min="8738" max="8738" width="10.140625" style="624" customWidth="1"/>
    <col min="8739" max="8740" width="9.5703125" style="624" customWidth="1"/>
    <col min="8741" max="8741" width="9.85546875" style="624" customWidth="1"/>
    <col min="8742" max="8743" width="10.140625" style="624" customWidth="1"/>
    <col min="8744" max="8746" width="9.28515625" style="624" customWidth="1"/>
    <col min="8747" max="8747" width="9.85546875" style="624" customWidth="1"/>
    <col min="8748" max="8749" width="8.5703125" style="624" customWidth="1"/>
    <col min="8750" max="8752" width="8.85546875" style="624" customWidth="1"/>
    <col min="8753" max="8753" width="9.28515625" style="624" customWidth="1"/>
    <col min="8754" max="8755" width="8.85546875" style="624" customWidth="1"/>
    <col min="8756" max="8756" width="10" style="624" customWidth="1"/>
    <col min="8757" max="8758" width="8.85546875" style="624" customWidth="1"/>
    <col min="8759" max="8759" width="11" style="624" customWidth="1"/>
    <col min="8760" max="8761" width="9.5703125" style="624" customWidth="1"/>
    <col min="8762" max="8764" width="8.85546875" style="624" customWidth="1"/>
    <col min="8765" max="8765" width="10.42578125" style="624" customWidth="1"/>
    <col min="8766" max="8767" width="8.85546875" style="624" customWidth="1"/>
    <col min="8768" max="8768" width="9.7109375" style="624" customWidth="1"/>
    <col min="8769" max="8770" width="8.85546875" style="624" customWidth="1"/>
    <col min="8771" max="8771" width="9.28515625" style="624" customWidth="1"/>
    <col min="8772" max="8792" width="8.85546875" style="624" customWidth="1"/>
    <col min="8793" max="8793" width="9.85546875" style="624" customWidth="1"/>
    <col min="8794" max="8794" width="8.85546875" style="624" customWidth="1"/>
    <col min="8795" max="8795" width="10" style="624" customWidth="1"/>
    <col min="8796" max="8812" width="8.85546875" style="624" customWidth="1"/>
    <col min="8813" max="8813" width="9.42578125" style="624" customWidth="1"/>
    <col min="8814" max="8814" width="8.85546875" style="624" customWidth="1"/>
    <col min="8815" max="8815" width="12" style="624" customWidth="1"/>
    <col min="8816" max="8816" width="11.140625" style="624" customWidth="1"/>
    <col min="8817" max="8817" width="28.7109375" style="624" customWidth="1"/>
    <col min="8818" max="8818" width="5.85546875" style="624" customWidth="1"/>
    <col min="8819" max="8968" width="9.140625" style="624"/>
    <col min="8969" max="8969" width="3.42578125" style="624" customWidth="1"/>
    <col min="8970" max="8970" width="27.85546875" style="624" customWidth="1"/>
    <col min="8971" max="8971" width="11.85546875" style="624" customWidth="1"/>
    <col min="8972" max="8972" width="15.140625" style="624" customWidth="1"/>
    <col min="8973" max="8973" width="10.28515625" style="624" customWidth="1"/>
    <col min="8974" max="8975" width="9.7109375" style="624" customWidth="1"/>
    <col min="8976" max="8976" width="10.42578125" style="624" customWidth="1"/>
    <col min="8977" max="8977" width="10.42578125" style="624" bestFit="1" customWidth="1"/>
    <col min="8978" max="8978" width="16.28515625" style="624" customWidth="1"/>
    <col min="8979" max="8979" width="15.140625" style="624" customWidth="1"/>
    <col min="8980" max="8980" width="13.5703125" style="624" customWidth="1"/>
    <col min="8981" max="8981" width="10.5703125" style="624" customWidth="1"/>
    <col min="8982" max="8982" width="10.85546875" style="624" customWidth="1"/>
    <col min="8983" max="8983" width="18" style="624" customWidth="1"/>
    <col min="8984" max="8984" width="20.85546875" style="624" customWidth="1"/>
    <col min="8985" max="8985" width="13.5703125" style="624" customWidth="1"/>
    <col min="8986" max="8986" width="14.140625" style="624" customWidth="1"/>
    <col min="8987" max="8989" width="8.85546875" style="624" customWidth="1"/>
    <col min="8990" max="8990" width="9.28515625" style="624" customWidth="1"/>
    <col min="8991" max="8991" width="14" style="624" customWidth="1"/>
    <col min="8992" max="8993" width="8.85546875" style="624" customWidth="1"/>
    <col min="8994" max="8994" width="10.140625" style="624" customWidth="1"/>
    <col min="8995" max="8996" width="9.5703125" style="624" customWidth="1"/>
    <col min="8997" max="8997" width="9.85546875" style="624" customWidth="1"/>
    <col min="8998" max="8999" width="10.140625" style="624" customWidth="1"/>
    <col min="9000" max="9002" width="9.28515625" style="624" customWidth="1"/>
    <col min="9003" max="9003" width="9.85546875" style="624" customWidth="1"/>
    <col min="9004" max="9005" width="8.5703125" style="624" customWidth="1"/>
    <col min="9006" max="9008" width="8.85546875" style="624" customWidth="1"/>
    <col min="9009" max="9009" width="9.28515625" style="624" customWidth="1"/>
    <col min="9010" max="9011" width="8.85546875" style="624" customWidth="1"/>
    <col min="9012" max="9012" width="10" style="624" customWidth="1"/>
    <col min="9013" max="9014" width="8.85546875" style="624" customWidth="1"/>
    <col min="9015" max="9015" width="11" style="624" customWidth="1"/>
    <col min="9016" max="9017" width="9.5703125" style="624" customWidth="1"/>
    <col min="9018" max="9020" width="8.85546875" style="624" customWidth="1"/>
    <col min="9021" max="9021" width="10.42578125" style="624" customWidth="1"/>
    <col min="9022" max="9023" width="8.85546875" style="624" customWidth="1"/>
    <col min="9024" max="9024" width="9.7109375" style="624" customWidth="1"/>
    <col min="9025" max="9026" width="8.85546875" style="624" customWidth="1"/>
    <col min="9027" max="9027" width="9.28515625" style="624" customWidth="1"/>
    <col min="9028" max="9048" width="8.85546875" style="624" customWidth="1"/>
    <col min="9049" max="9049" width="9.85546875" style="624" customWidth="1"/>
    <col min="9050" max="9050" width="8.85546875" style="624" customWidth="1"/>
    <col min="9051" max="9051" width="10" style="624" customWidth="1"/>
    <col min="9052" max="9068" width="8.85546875" style="624" customWidth="1"/>
    <col min="9069" max="9069" width="9.42578125" style="624" customWidth="1"/>
    <col min="9070" max="9070" width="8.85546875" style="624" customWidth="1"/>
    <col min="9071" max="9071" width="12" style="624" customWidth="1"/>
    <col min="9072" max="9072" width="11.140625" style="624" customWidth="1"/>
    <col min="9073" max="9073" width="28.7109375" style="624" customWidth="1"/>
    <col min="9074" max="9074" width="5.85546875" style="624" customWidth="1"/>
    <col min="9075" max="9224" width="9.140625" style="624"/>
    <col min="9225" max="9225" width="3.42578125" style="624" customWidth="1"/>
    <col min="9226" max="9226" width="27.85546875" style="624" customWidth="1"/>
    <col min="9227" max="9227" width="11.85546875" style="624" customWidth="1"/>
    <col min="9228" max="9228" width="15.140625" style="624" customWidth="1"/>
    <col min="9229" max="9229" width="10.28515625" style="624" customWidth="1"/>
    <col min="9230" max="9231" width="9.7109375" style="624" customWidth="1"/>
    <col min="9232" max="9232" width="10.42578125" style="624" customWidth="1"/>
    <col min="9233" max="9233" width="10.42578125" style="624" bestFit="1" customWidth="1"/>
    <col min="9234" max="9234" width="16.28515625" style="624" customWidth="1"/>
    <col min="9235" max="9235" width="15.140625" style="624" customWidth="1"/>
    <col min="9236" max="9236" width="13.5703125" style="624" customWidth="1"/>
    <col min="9237" max="9237" width="10.5703125" style="624" customWidth="1"/>
    <col min="9238" max="9238" width="10.85546875" style="624" customWidth="1"/>
    <col min="9239" max="9239" width="18" style="624" customWidth="1"/>
    <col min="9240" max="9240" width="20.85546875" style="624" customWidth="1"/>
    <col min="9241" max="9241" width="13.5703125" style="624" customWidth="1"/>
    <col min="9242" max="9242" width="14.140625" style="624" customWidth="1"/>
    <col min="9243" max="9245" width="8.85546875" style="624" customWidth="1"/>
    <col min="9246" max="9246" width="9.28515625" style="624" customWidth="1"/>
    <col min="9247" max="9247" width="14" style="624" customWidth="1"/>
    <col min="9248" max="9249" width="8.85546875" style="624" customWidth="1"/>
    <col min="9250" max="9250" width="10.140625" style="624" customWidth="1"/>
    <col min="9251" max="9252" width="9.5703125" style="624" customWidth="1"/>
    <col min="9253" max="9253" width="9.85546875" style="624" customWidth="1"/>
    <col min="9254" max="9255" width="10.140625" style="624" customWidth="1"/>
    <col min="9256" max="9258" width="9.28515625" style="624" customWidth="1"/>
    <col min="9259" max="9259" width="9.85546875" style="624" customWidth="1"/>
    <col min="9260" max="9261" width="8.5703125" style="624" customWidth="1"/>
    <col min="9262" max="9264" width="8.85546875" style="624" customWidth="1"/>
    <col min="9265" max="9265" width="9.28515625" style="624" customWidth="1"/>
    <col min="9266" max="9267" width="8.85546875" style="624" customWidth="1"/>
    <col min="9268" max="9268" width="10" style="624" customWidth="1"/>
    <col min="9269" max="9270" width="8.85546875" style="624" customWidth="1"/>
    <col min="9271" max="9271" width="11" style="624" customWidth="1"/>
    <col min="9272" max="9273" width="9.5703125" style="624" customWidth="1"/>
    <col min="9274" max="9276" width="8.85546875" style="624" customWidth="1"/>
    <col min="9277" max="9277" width="10.42578125" style="624" customWidth="1"/>
    <col min="9278" max="9279" width="8.85546875" style="624" customWidth="1"/>
    <col min="9280" max="9280" width="9.7109375" style="624" customWidth="1"/>
    <col min="9281" max="9282" width="8.85546875" style="624" customWidth="1"/>
    <col min="9283" max="9283" width="9.28515625" style="624" customWidth="1"/>
    <col min="9284" max="9304" width="8.85546875" style="624" customWidth="1"/>
    <col min="9305" max="9305" width="9.85546875" style="624" customWidth="1"/>
    <col min="9306" max="9306" width="8.85546875" style="624" customWidth="1"/>
    <col min="9307" max="9307" width="10" style="624" customWidth="1"/>
    <col min="9308" max="9324" width="8.85546875" style="624" customWidth="1"/>
    <col min="9325" max="9325" width="9.42578125" style="624" customWidth="1"/>
    <col min="9326" max="9326" width="8.85546875" style="624" customWidth="1"/>
    <col min="9327" max="9327" width="12" style="624" customWidth="1"/>
    <col min="9328" max="9328" width="11.140625" style="624" customWidth="1"/>
    <col min="9329" max="9329" width="28.7109375" style="624" customWidth="1"/>
    <col min="9330" max="9330" width="5.85546875" style="624" customWidth="1"/>
    <col min="9331" max="9480" width="9.140625" style="624"/>
    <col min="9481" max="9481" width="3.42578125" style="624" customWidth="1"/>
    <col min="9482" max="9482" width="27.85546875" style="624" customWidth="1"/>
    <col min="9483" max="9483" width="11.85546875" style="624" customWidth="1"/>
    <col min="9484" max="9484" width="15.140625" style="624" customWidth="1"/>
    <col min="9485" max="9485" width="10.28515625" style="624" customWidth="1"/>
    <col min="9486" max="9487" width="9.7109375" style="624" customWidth="1"/>
    <col min="9488" max="9488" width="10.42578125" style="624" customWidth="1"/>
    <col min="9489" max="9489" width="10.42578125" style="624" bestFit="1" customWidth="1"/>
    <col min="9490" max="9490" width="16.28515625" style="624" customWidth="1"/>
    <col min="9491" max="9491" width="15.140625" style="624" customWidth="1"/>
    <col min="9492" max="9492" width="13.5703125" style="624" customWidth="1"/>
    <col min="9493" max="9493" width="10.5703125" style="624" customWidth="1"/>
    <col min="9494" max="9494" width="10.85546875" style="624" customWidth="1"/>
    <col min="9495" max="9495" width="18" style="624" customWidth="1"/>
    <col min="9496" max="9496" width="20.85546875" style="624" customWidth="1"/>
    <col min="9497" max="9497" width="13.5703125" style="624" customWidth="1"/>
    <col min="9498" max="9498" width="14.140625" style="624" customWidth="1"/>
    <col min="9499" max="9501" width="8.85546875" style="624" customWidth="1"/>
    <col min="9502" max="9502" width="9.28515625" style="624" customWidth="1"/>
    <col min="9503" max="9503" width="14" style="624" customWidth="1"/>
    <col min="9504" max="9505" width="8.85546875" style="624" customWidth="1"/>
    <col min="9506" max="9506" width="10.140625" style="624" customWidth="1"/>
    <col min="9507" max="9508" width="9.5703125" style="624" customWidth="1"/>
    <col min="9509" max="9509" width="9.85546875" style="624" customWidth="1"/>
    <col min="9510" max="9511" width="10.140625" style="624" customWidth="1"/>
    <col min="9512" max="9514" width="9.28515625" style="624" customWidth="1"/>
    <col min="9515" max="9515" width="9.85546875" style="624" customWidth="1"/>
    <col min="9516" max="9517" width="8.5703125" style="624" customWidth="1"/>
    <col min="9518" max="9520" width="8.85546875" style="624" customWidth="1"/>
    <col min="9521" max="9521" width="9.28515625" style="624" customWidth="1"/>
    <col min="9522" max="9523" width="8.85546875" style="624" customWidth="1"/>
    <col min="9524" max="9524" width="10" style="624" customWidth="1"/>
    <col min="9525" max="9526" width="8.85546875" style="624" customWidth="1"/>
    <col min="9527" max="9527" width="11" style="624" customWidth="1"/>
    <col min="9528" max="9529" width="9.5703125" style="624" customWidth="1"/>
    <col min="9530" max="9532" width="8.85546875" style="624" customWidth="1"/>
    <col min="9533" max="9533" width="10.42578125" style="624" customWidth="1"/>
    <col min="9534" max="9535" width="8.85546875" style="624" customWidth="1"/>
    <col min="9536" max="9536" width="9.7109375" style="624" customWidth="1"/>
    <col min="9537" max="9538" width="8.85546875" style="624" customWidth="1"/>
    <col min="9539" max="9539" width="9.28515625" style="624" customWidth="1"/>
    <col min="9540" max="9560" width="8.85546875" style="624" customWidth="1"/>
    <col min="9561" max="9561" width="9.85546875" style="624" customWidth="1"/>
    <col min="9562" max="9562" width="8.85546875" style="624" customWidth="1"/>
    <col min="9563" max="9563" width="10" style="624" customWidth="1"/>
    <col min="9564" max="9580" width="8.85546875" style="624" customWidth="1"/>
    <col min="9581" max="9581" width="9.42578125" style="624" customWidth="1"/>
    <col min="9582" max="9582" width="8.85546875" style="624" customWidth="1"/>
    <col min="9583" max="9583" width="12" style="624" customWidth="1"/>
    <col min="9584" max="9584" width="11.140625" style="624" customWidth="1"/>
    <col min="9585" max="9585" width="28.7109375" style="624" customWidth="1"/>
    <col min="9586" max="9586" width="5.85546875" style="624" customWidth="1"/>
    <col min="9587" max="9736" width="9.140625" style="624"/>
    <col min="9737" max="9737" width="3.42578125" style="624" customWidth="1"/>
    <col min="9738" max="9738" width="27.85546875" style="624" customWidth="1"/>
    <col min="9739" max="9739" width="11.85546875" style="624" customWidth="1"/>
    <col min="9740" max="9740" width="15.140625" style="624" customWidth="1"/>
    <col min="9741" max="9741" width="10.28515625" style="624" customWidth="1"/>
    <col min="9742" max="9743" width="9.7109375" style="624" customWidth="1"/>
    <col min="9744" max="9744" width="10.42578125" style="624" customWidth="1"/>
    <col min="9745" max="9745" width="10.42578125" style="624" bestFit="1" customWidth="1"/>
    <col min="9746" max="9746" width="16.28515625" style="624" customWidth="1"/>
    <col min="9747" max="9747" width="15.140625" style="624" customWidth="1"/>
    <col min="9748" max="9748" width="13.5703125" style="624" customWidth="1"/>
    <col min="9749" max="9749" width="10.5703125" style="624" customWidth="1"/>
    <col min="9750" max="9750" width="10.85546875" style="624" customWidth="1"/>
    <col min="9751" max="9751" width="18" style="624" customWidth="1"/>
    <col min="9752" max="9752" width="20.85546875" style="624" customWidth="1"/>
    <col min="9753" max="9753" width="13.5703125" style="624" customWidth="1"/>
    <col min="9754" max="9754" width="14.140625" style="624" customWidth="1"/>
    <col min="9755" max="9757" width="8.85546875" style="624" customWidth="1"/>
    <col min="9758" max="9758" width="9.28515625" style="624" customWidth="1"/>
    <col min="9759" max="9759" width="14" style="624" customWidth="1"/>
    <col min="9760" max="9761" width="8.85546875" style="624" customWidth="1"/>
    <col min="9762" max="9762" width="10.140625" style="624" customWidth="1"/>
    <col min="9763" max="9764" width="9.5703125" style="624" customWidth="1"/>
    <col min="9765" max="9765" width="9.85546875" style="624" customWidth="1"/>
    <col min="9766" max="9767" width="10.140625" style="624" customWidth="1"/>
    <col min="9768" max="9770" width="9.28515625" style="624" customWidth="1"/>
    <col min="9771" max="9771" width="9.85546875" style="624" customWidth="1"/>
    <col min="9772" max="9773" width="8.5703125" style="624" customWidth="1"/>
    <col min="9774" max="9776" width="8.85546875" style="624" customWidth="1"/>
    <col min="9777" max="9777" width="9.28515625" style="624" customWidth="1"/>
    <col min="9778" max="9779" width="8.85546875" style="624" customWidth="1"/>
    <col min="9780" max="9780" width="10" style="624" customWidth="1"/>
    <col min="9781" max="9782" width="8.85546875" style="624" customWidth="1"/>
    <col min="9783" max="9783" width="11" style="624" customWidth="1"/>
    <col min="9784" max="9785" width="9.5703125" style="624" customWidth="1"/>
    <col min="9786" max="9788" width="8.85546875" style="624" customWidth="1"/>
    <col min="9789" max="9789" width="10.42578125" style="624" customWidth="1"/>
    <col min="9790" max="9791" width="8.85546875" style="624" customWidth="1"/>
    <col min="9792" max="9792" width="9.7109375" style="624" customWidth="1"/>
    <col min="9793" max="9794" width="8.85546875" style="624" customWidth="1"/>
    <col min="9795" max="9795" width="9.28515625" style="624" customWidth="1"/>
    <col min="9796" max="9816" width="8.85546875" style="624" customWidth="1"/>
    <col min="9817" max="9817" width="9.85546875" style="624" customWidth="1"/>
    <col min="9818" max="9818" width="8.85546875" style="624" customWidth="1"/>
    <col min="9819" max="9819" width="10" style="624" customWidth="1"/>
    <col min="9820" max="9836" width="8.85546875" style="624" customWidth="1"/>
    <col min="9837" max="9837" width="9.42578125" style="624" customWidth="1"/>
    <col min="9838" max="9838" width="8.85546875" style="624" customWidth="1"/>
    <col min="9839" max="9839" width="12" style="624" customWidth="1"/>
    <col min="9840" max="9840" width="11.140625" style="624" customWidth="1"/>
    <col min="9841" max="9841" width="28.7109375" style="624" customWidth="1"/>
    <col min="9842" max="9842" width="5.85546875" style="624" customWidth="1"/>
    <col min="9843" max="9992" width="9.140625" style="624"/>
    <col min="9993" max="9993" width="3.42578125" style="624" customWidth="1"/>
    <col min="9994" max="9994" width="27.85546875" style="624" customWidth="1"/>
    <col min="9995" max="9995" width="11.85546875" style="624" customWidth="1"/>
    <col min="9996" max="9996" width="15.140625" style="624" customWidth="1"/>
    <col min="9997" max="9997" width="10.28515625" style="624" customWidth="1"/>
    <col min="9998" max="9999" width="9.7109375" style="624" customWidth="1"/>
    <col min="10000" max="10000" width="10.42578125" style="624" customWidth="1"/>
    <col min="10001" max="10001" width="10.42578125" style="624" bestFit="1" customWidth="1"/>
    <col min="10002" max="10002" width="16.28515625" style="624" customWidth="1"/>
    <col min="10003" max="10003" width="15.140625" style="624" customWidth="1"/>
    <col min="10004" max="10004" width="13.5703125" style="624" customWidth="1"/>
    <col min="10005" max="10005" width="10.5703125" style="624" customWidth="1"/>
    <col min="10006" max="10006" width="10.85546875" style="624" customWidth="1"/>
    <col min="10007" max="10007" width="18" style="624" customWidth="1"/>
    <col min="10008" max="10008" width="20.85546875" style="624" customWidth="1"/>
    <col min="10009" max="10009" width="13.5703125" style="624" customWidth="1"/>
    <col min="10010" max="10010" width="14.140625" style="624" customWidth="1"/>
    <col min="10011" max="10013" width="8.85546875" style="624" customWidth="1"/>
    <col min="10014" max="10014" width="9.28515625" style="624" customWidth="1"/>
    <col min="10015" max="10015" width="14" style="624" customWidth="1"/>
    <col min="10016" max="10017" width="8.85546875" style="624" customWidth="1"/>
    <col min="10018" max="10018" width="10.140625" style="624" customWidth="1"/>
    <col min="10019" max="10020" width="9.5703125" style="624" customWidth="1"/>
    <col min="10021" max="10021" width="9.85546875" style="624" customWidth="1"/>
    <col min="10022" max="10023" width="10.140625" style="624" customWidth="1"/>
    <col min="10024" max="10026" width="9.28515625" style="624" customWidth="1"/>
    <col min="10027" max="10027" width="9.85546875" style="624" customWidth="1"/>
    <col min="10028" max="10029" width="8.5703125" style="624" customWidth="1"/>
    <col min="10030" max="10032" width="8.85546875" style="624" customWidth="1"/>
    <col min="10033" max="10033" width="9.28515625" style="624" customWidth="1"/>
    <col min="10034" max="10035" width="8.85546875" style="624" customWidth="1"/>
    <col min="10036" max="10036" width="10" style="624" customWidth="1"/>
    <col min="10037" max="10038" width="8.85546875" style="624" customWidth="1"/>
    <col min="10039" max="10039" width="11" style="624" customWidth="1"/>
    <col min="10040" max="10041" width="9.5703125" style="624" customWidth="1"/>
    <col min="10042" max="10044" width="8.85546875" style="624" customWidth="1"/>
    <col min="10045" max="10045" width="10.42578125" style="624" customWidth="1"/>
    <col min="10046" max="10047" width="8.85546875" style="624" customWidth="1"/>
    <col min="10048" max="10048" width="9.7109375" style="624" customWidth="1"/>
    <col min="10049" max="10050" width="8.85546875" style="624" customWidth="1"/>
    <col min="10051" max="10051" width="9.28515625" style="624" customWidth="1"/>
    <col min="10052" max="10072" width="8.85546875" style="624" customWidth="1"/>
    <col min="10073" max="10073" width="9.85546875" style="624" customWidth="1"/>
    <col min="10074" max="10074" width="8.85546875" style="624" customWidth="1"/>
    <col min="10075" max="10075" width="10" style="624" customWidth="1"/>
    <col min="10076" max="10092" width="8.85546875" style="624" customWidth="1"/>
    <col min="10093" max="10093" width="9.42578125" style="624" customWidth="1"/>
    <col min="10094" max="10094" width="8.85546875" style="624" customWidth="1"/>
    <col min="10095" max="10095" width="12" style="624" customWidth="1"/>
    <col min="10096" max="10096" width="11.140625" style="624" customWidth="1"/>
    <col min="10097" max="10097" width="28.7109375" style="624" customWidth="1"/>
    <col min="10098" max="10098" width="5.85546875" style="624" customWidth="1"/>
    <col min="10099" max="10248" width="9.140625" style="624"/>
    <col min="10249" max="10249" width="3.42578125" style="624" customWidth="1"/>
    <col min="10250" max="10250" width="27.85546875" style="624" customWidth="1"/>
    <col min="10251" max="10251" width="11.85546875" style="624" customWidth="1"/>
    <col min="10252" max="10252" width="15.140625" style="624" customWidth="1"/>
    <col min="10253" max="10253" width="10.28515625" style="624" customWidth="1"/>
    <col min="10254" max="10255" width="9.7109375" style="624" customWidth="1"/>
    <col min="10256" max="10256" width="10.42578125" style="624" customWidth="1"/>
    <col min="10257" max="10257" width="10.42578125" style="624" bestFit="1" customWidth="1"/>
    <col min="10258" max="10258" width="16.28515625" style="624" customWidth="1"/>
    <col min="10259" max="10259" width="15.140625" style="624" customWidth="1"/>
    <col min="10260" max="10260" width="13.5703125" style="624" customWidth="1"/>
    <col min="10261" max="10261" width="10.5703125" style="624" customWidth="1"/>
    <col min="10262" max="10262" width="10.85546875" style="624" customWidth="1"/>
    <col min="10263" max="10263" width="18" style="624" customWidth="1"/>
    <col min="10264" max="10264" width="20.85546875" style="624" customWidth="1"/>
    <col min="10265" max="10265" width="13.5703125" style="624" customWidth="1"/>
    <col min="10266" max="10266" width="14.140625" style="624" customWidth="1"/>
    <col min="10267" max="10269" width="8.85546875" style="624" customWidth="1"/>
    <col min="10270" max="10270" width="9.28515625" style="624" customWidth="1"/>
    <col min="10271" max="10271" width="14" style="624" customWidth="1"/>
    <col min="10272" max="10273" width="8.85546875" style="624" customWidth="1"/>
    <col min="10274" max="10274" width="10.140625" style="624" customWidth="1"/>
    <col min="10275" max="10276" width="9.5703125" style="624" customWidth="1"/>
    <col min="10277" max="10277" width="9.85546875" style="624" customWidth="1"/>
    <col min="10278" max="10279" width="10.140625" style="624" customWidth="1"/>
    <col min="10280" max="10282" width="9.28515625" style="624" customWidth="1"/>
    <col min="10283" max="10283" width="9.85546875" style="624" customWidth="1"/>
    <col min="10284" max="10285" width="8.5703125" style="624" customWidth="1"/>
    <col min="10286" max="10288" width="8.85546875" style="624" customWidth="1"/>
    <col min="10289" max="10289" width="9.28515625" style="624" customWidth="1"/>
    <col min="10290" max="10291" width="8.85546875" style="624" customWidth="1"/>
    <col min="10292" max="10292" width="10" style="624" customWidth="1"/>
    <col min="10293" max="10294" width="8.85546875" style="624" customWidth="1"/>
    <col min="10295" max="10295" width="11" style="624" customWidth="1"/>
    <col min="10296" max="10297" width="9.5703125" style="624" customWidth="1"/>
    <col min="10298" max="10300" width="8.85546875" style="624" customWidth="1"/>
    <col min="10301" max="10301" width="10.42578125" style="624" customWidth="1"/>
    <col min="10302" max="10303" width="8.85546875" style="624" customWidth="1"/>
    <col min="10304" max="10304" width="9.7109375" style="624" customWidth="1"/>
    <col min="10305" max="10306" width="8.85546875" style="624" customWidth="1"/>
    <col min="10307" max="10307" width="9.28515625" style="624" customWidth="1"/>
    <col min="10308" max="10328" width="8.85546875" style="624" customWidth="1"/>
    <col min="10329" max="10329" width="9.85546875" style="624" customWidth="1"/>
    <col min="10330" max="10330" width="8.85546875" style="624" customWidth="1"/>
    <col min="10331" max="10331" width="10" style="624" customWidth="1"/>
    <col min="10332" max="10348" width="8.85546875" style="624" customWidth="1"/>
    <col min="10349" max="10349" width="9.42578125" style="624" customWidth="1"/>
    <col min="10350" max="10350" width="8.85546875" style="624" customWidth="1"/>
    <col min="10351" max="10351" width="12" style="624" customWidth="1"/>
    <col min="10352" max="10352" width="11.140625" style="624" customWidth="1"/>
    <col min="10353" max="10353" width="28.7109375" style="624" customWidth="1"/>
    <col min="10354" max="10354" width="5.85546875" style="624" customWidth="1"/>
    <col min="10355" max="10504" width="9.140625" style="624"/>
    <col min="10505" max="10505" width="3.42578125" style="624" customWidth="1"/>
    <col min="10506" max="10506" width="27.85546875" style="624" customWidth="1"/>
    <col min="10507" max="10507" width="11.85546875" style="624" customWidth="1"/>
    <col min="10508" max="10508" width="15.140625" style="624" customWidth="1"/>
    <col min="10509" max="10509" width="10.28515625" style="624" customWidth="1"/>
    <col min="10510" max="10511" width="9.7109375" style="624" customWidth="1"/>
    <col min="10512" max="10512" width="10.42578125" style="624" customWidth="1"/>
    <col min="10513" max="10513" width="10.42578125" style="624" bestFit="1" customWidth="1"/>
    <col min="10514" max="10514" width="16.28515625" style="624" customWidth="1"/>
    <col min="10515" max="10515" width="15.140625" style="624" customWidth="1"/>
    <col min="10516" max="10516" width="13.5703125" style="624" customWidth="1"/>
    <col min="10517" max="10517" width="10.5703125" style="624" customWidth="1"/>
    <col min="10518" max="10518" width="10.85546875" style="624" customWidth="1"/>
    <col min="10519" max="10519" width="18" style="624" customWidth="1"/>
    <col min="10520" max="10520" width="20.85546875" style="624" customWidth="1"/>
    <col min="10521" max="10521" width="13.5703125" style="624" customWidth="1"/>
    <col min="10522" max="10522" width="14.140625" style="624" customWidth="1"/>
    <col min="10523" max="10525" width="8.85546875" style="624" customWidth="1"/>
    <col min="10526" max="10526" width="9.28515625" style="624" customWidth="1"/>
    <col min="10527" max="10527" width="14" style="624" customWidth="1"/>
    <col min="10528" max="10529" width="8.85546875" style="624" customWidth="1"/>
    <col min="10530" max="10530" width="10.140625" style="624" customWidth="1"/>
    <col min="10531" max="10532" width="9.5703125" style="624" customWidth="1"/>
    <col min="10533" max="10533" width="9.85546875" style="624" customWidth="1"/>
    <col min="10534" max="10535" width="10.140625" style="624" customWidth="1"/>
    <col min="10536" max="10538" width="9.28515625" style="624" customWidth="1"/>
    <col min="10539" max="10539" width="9.85546875" style="624" customWidth="1"/>
    <col min="10540" max="10541" width="8.5703125" style="624" customWidth="1"/>
    <col min="10542" max="10544" width="8.85546875" style="624" customWidth="1"/>
    <col min="10545" max="10545" width="9.28515625" style="624" customWidth="1"/>
    <col min="10546" max="10547" width="8.85546875" style="624" customWidth="1"/>
    <col min="10548" max="10548" width="10" style="624" customWidth="1"/>
    <col min="10549" max="10550" width="8.85546875" style="624" customWidth="1"/>
    <col min="10551" max="10551" width="11" style="624" customWidth="1"/>
    <col min="10552" max="10553" width="9.5703125" style="624" customWidth="1"/>
    <col min="10554" max="10556" width="8.85546875" style="624" customWidth="1"/>
    <col min="10557" max="10557" width="10.42578125" style="624" customWidth="1"/>
    <col min="10558" max="10559" width="8.85546875" style="624" customWidth="1"/>
    <col min="10560" max="10560" width="9.7109375" style="624" customWidth="1"/>
    <col min="10561" max="10562" width="8.85546875" style="624" customWidth="1"/>
    <col min="10563" max="10563" width="9.28515625" style="624" customWidth="1"/>
    <col min="10564" max="10584" width="8.85546875" style="624" customWidth="1"/>
    <col min="10585" max="10585" width="9.85546875" style="624" customWidth="1"/>
    <col min="10586" max="10586" width="8.85546875" style="624" customWidth="1"/>
    <col min="10587" max="10587" width="10" style="624" customWidth="1"/>
    <col min="10588" max="10604" width="8.85546875" style="624" customWidth="1"/>
    <col min="10605" max="10605" width="9.42578125" style="624" customWidth="1"/>
    <col min="10606" max="10606" width="8.85546875" style="624" customWidth="1"/>
    <col min="10607" max="10607" width="12" style="624" customWidth="1"/>
    <col min="10608" max="10608" width="11.140625" style="624" customWidth="1"/>
    <col min="10609" max="10609" width="28.7109375" style="624" customWidth="1"/>
    <col min="10610" max="10610" width="5.85546875" style="624" customWidth="1"/>
    <col min="10611" max="10760" width="9.140625" style="624"/>
    <col min="10761" max="10761" width="3.42578125" style="624" customWidth="1"/>
    <col min="10762" max="10762" width="27.85546875" style="624" customWidth="1"/>
    <col min="10763" max="10763" width="11.85546875" style="624" customWidth="1"/>
    <col min="10764" max="10764" width="15.140625" style="624" customWidth="1"/>
    <col min="10765" max="10765" width="10.28515625" style="624" customWidth="1"/>
    <col min="10766" max="10767" width="9.7109375" style="624" customWidth="1"/>
    <col min="10768" max="10768" width="10.42578125" style="624" customWidth="1"/>
    <col min="10769" max="10769" width="10.42578125" style="624" bestFit="1" customWidth="1"/>
    <col min="10770" max="10770" width="16.28515625" style="624" customWidth="1"/>
    <col min="10771" max="10771" width="15.140625" style="624" customWidth="1"/>
    <col min="10772" max="10772" width="13.5703125" style="624" customWidth="1"/>
    <col min="10773" max="10773" width="10.5703125" style="624" customWidth="1"/>
    <col min="10774" max="10774" width="10.85546875" style="624" customWidth="1"/>
    <col min="10775" max="10775" width="18" style="624" customWidth="1"/>
    <col min="10776" max="10776" width="20.85546875" style="624" customWidth="1"/>
    <col min="10777" max="10777" width="13.5703125" style="624" customWidth="1"/>
    <col min="10778" max="10778" width="14.140625" style="624" customWidth="1"/>
    <col min="10779" max="10781" width="8.85546875" style="624" customWidth="1"/>
    <col min="10782" max="10782" width="9.28515625" style="624" customWidth="1"/>
    <col min="10783" max="10783" width="14" style="624" customWidth="1"/>
    <col min="10784" max="10785" width="8.85546875" style="624" customWidth="1"/>
    <col min="10786" max="10786" width="10.140625" style="624" customWidth="1"/>
    <col min="10787" max="10788" width="9.5703125" style="624" customWidth="1"/>
    <col min="10789" max="10789" width="9.85546875" style="624" customWidth="1"/>
    <col min="10790" max="10791" width="10.140625" style="624" customWidth="1"/>
    <col min="10792" max="10794" width="9.28515625" style="624" customWidth="1"/>
    <col min="10795" max="10795" width="9.85546875" style="624" customWidth="1"/>
    <col min="10796" max="10797" width="8.5703125" style="624" customWidth="1"/>
    <col min="10798" max="10800" width="8.85546875" style="624" customWidth="1"/>
    <col min="10801" max="10801" width="9.28515625" style="624" customWidth="1"/>
    <col min="10802" max="10803" width="8.85546875" style="624" customWidth="1"/>
    <col min="10804" max="10804" width="10" style="624" customWidth="1"/>
    <col min="10805" max="10806" width="8.85546875" style="624" customWidth="1"/>
    <col min="10807" max="10807" width="11" style="624" customWidth="1"/>
    <col min="10808" max="10809" width="9.5703125" style="624" customWidth="1"/>
    <col min="10810" max="10812" width="8.85546875" style="624" customWidth="1"/>
    <col min="10813" max="10813" width="10.42578125" style="624" customWidth="1"/>
    <col min="10814" max="10815" width="8.85546875" style="624" customWidth="1"/>
    <col min="10816" max="10816" width="9.7109375" style="624" customWidth="1"/>
    <col min="10817" max="10818" width="8.85546875" style="624" customWidth="1"/>
    <col min="10819" max="10819" width="9.28515625" style="624" customWidth="1"/>
    <col min="10820" max="10840" width="8.85546875" style="624" customWidth="1"/>
    <col min="10841" max="10841" width="9.85546875" style="624" customWidth="1"/>
    <col min="10842" max="10842" width="8.85546875" style="624" customWidth="1"/>
    <col min="10843" max="10843" width="10" style="624" customWidth="1"/>
    <col min="10844" max="10860" width="8.85546875" style="624" customWidth="1"/>
    <col min="10861" max="10861" width="9.42578125" style="624" customWidth="1"/>
    <col min="10862" max="10862" width="8.85546875" style="624" customWidth="1"/>
    <col min="10863" max="10863" width="12" style="624" customWidth="1"/>
    <col min="10864" max="10864" width="11.140625" style="624" customWidth="1"/>
    <col min="10865" max="10865" width="28.7109375" style="624" customWidth="1"/>
    <col min="10866" max="10866" width="5.85546875" style="624" customWidth="1"/>
    <col min="10867" max="11016" width="9.140625" style="624"/>
    <col min="11017" max="11017" width="3.42578125" style="624" customWidth="1"/>
    <col min="11018" max="11018" width="27.85546875" style="624" customWidth="1"/>
    <col min="11019" max="11019" width="11.85546875" style="624" customWidth="1"/>
    <col min="11020" max="11020" width="15.140625" style="624" customWidth="1"/>
    <col min="11021" max="11021" width="10.28515625" style="624" customWidth="1"/>
    <col min="11022" max="11023" width="9.7109375" style="624" customWidth="1"/>
    <col min="11024" max="11024" width="10.42578125" style="624" customWidth="1"/>
    <col min="11025" max="11025" width="10.42578125" style="624" bestFit="1" customWidth="1"/>
    <col min="11026" max="11026" width="16.28515625" style="624" customWidth="1"/>
    <col min="11027" max="11027" width="15.140625" style="624" customWidth="1"/>
    <col min="11028" max="11028" width="13.5703125" style="624" customWidth="1"/>
    <col min="11029" max="11029" width="10.5703125" style="624" customWidth="1"/>
    <col min="11030" max="11030" width="10.85546875" style="624" customWidth="1"/>
    <col min="11031" max="11031" width="18" style="624" customWidth="1"/>
    <col min="11032" max="11032" width="20.85546875" style="624" customWidth="1"/>
    <col min="11033" max="11033" width="13.5703125" style="624" customWidth="1"/>
    <col min="11034" max="11034" width="14.140625" style="624" customWidth="1"/>
    <col min="11035" max="11037" width="8.85546875" style="624" customWidth="1"/>
    <col min="11038" max="11038" width="9.28515625" style="624" customWidth="1"/>
    <col min="11039" max="11039" width="14" style="624" customWidth="1"/>
    <col min="11040" max="11041" width="8.85546875" style="624" customWidth="1"/>
    <col min="11042" max="11042" width="10.140625" style="624" customWidth="1"/>
    <col min="11043" max="11044" width="9.5703125" style="624" customWidth="1"/>
    <col min="11045" max="11045" width="9.85546875" style="624" customWidth="1"/>
    <col min="11046" max="11047" width="10.140625" style="624" customWidth="1"/>
    <col min="11048" max="11050" width="9.28515625" style="624" customWidth="1"/>
    <col min="11051" max="11051" width="9.85546875" style="624" customWidth="1"/>
    <col min="11052" max="11053" width="8.5703125" style="624" customWidth="1"/>
    <col min="11054" max="11056" width="8.85546875" style="624" customWidth="1"/>
    <col min="11057" max="11057" width="9.28515625" style="624" customWidth="1"/>
    <col min="11058" max="11059" width="8.85546875" style="624" customWidth="1"/>
    <col min="11060" max="11060" width="10" style="624" customWidth="1"/>
    <col min="11061" max="11062" width="8.85546875" style="624" customWidth="1"/>
    <col min="11063" max="11063" width="11" style="624" customWidth="1"/>
    <col min="11064" max="11065" width="9.5703125" style="624" customWidth="1"/>
    <col min="11066" max="11068" width="8.85546875" style="624" customWidth="1"/>
    <col min="11069" max="11069" width="10.42578125" style="624" customWidth="1"/>
    <col min="11070" max="11071" width="8.85546875" style="624" customWidth="1"/>
    <col min="11072" max="11072" width="9.7109375" style="624" customWidth="1"/>
    <col min="11073" max="11074" width="8.85546875" style="624" customWidth="1"/>
    <col min="11075" max="11075" width="9.28515625" style="624" customWidth="1"/>
    <col min="11076" max="11096" width="8.85546875" style="624" customWidth="1"/>
    <col min="11097" max="11097" width="9.85546875" style="624" customWidth="1"/>
    <col min="11098" max="11098" width="8.85546875" style="624" customWidth="1"/>
    <col min="11099" max="11099" width="10" style="624" customWidth="1"/>
    <col min="11100" max="11116" width="8.85546875" style="624" customWidth="1"/>
    <col min="11117" max="11117" width="9.42578125" style="624" customWidth="1"/>
    <col min="11118" max="11118" width="8.85546875" style="624" customWidth="1"/>
    <col min="11119" max="11119" width="12" style="624" customWidth="1"/>
    <col min="11120" max="11120" width="11.140625" style="624" customWidth="1"/>
    <col min="11121" max="11121" width="28.7109375" style="624" customWidth="1"/>
    <col min="11122" max="11122" width="5.85546875" style="624" customWidth="1"/>
    <col min="11123" max="11272" width="9.140625" style="624"/>
    <col min="11273" max="11273" width="3.42578125" style="624" customWidth="1"/>
    <col min="11274" max="11274" width="27.85546875" style="624" customWidth="1"/>
    <col min="11275" max="11275" width="11.85546875" style="624" customWidth="1"/>
    <col min="11276" max="11276" width="15.140625" style="624" customWidth="1"/>
    <col min="11277" max="11277" width="10.28515625" style="624" customWidth="1"/>
    <col min="11278" max="11279" width="9.7109375" style="624" customWidth="1"/>
    <col min="11280" max="11280" width="10.42578125" style="624" customWidth="1"/>
    <col min="11281" max="11281" width="10.42578125" style="624" bestFit="1" customWidth="1"/>
    <col min="11282" max="11282" width="16.28515625" style="624" customWidth="1"/>
    <col min="11283" max="11283" width="15.140625" style="624" customWidth="1"/>
    <col min="11284" max="11284" width="13.5703125" style="624" customWidth="1"/>
    <col min="11285" max="11285" width="10.5703125" style="624" customWidth="1"/>
    <col min="11286" max="11286" width="10.85546875" style="624" customWidth="1"/>
    <col min="11287" max="11287" width="18" style="624" customWidth="1"/>
    <col min="11288" max="11288" width="20.85546875" style="624" customWidth="1"/>
    <col min="11289" max="11289" width="13.5703125" style="624" customWidth="1"/>
    <col min="11290" max="11290" width="14.140625" style="624" customWidth="1"/>
    <col min="11291" max="11293" width="8.85546875" style="624" customWidth="1"/>
    <col min="11294" max="11294" width="9.28515625" style="624" customWidth="1"/>
    <col min="11295" max="11295" width="14" style="624" customWidth="1"/>
    <col min="11296" max="11297" width="8.85546875" style="624" customWidth="1"/>
    <col min="11298" max="11298" width="10.140625" style="624" customWidth="1"/>
    <col min="11299" max="11300" width="9.5703125" style="624" customWidth="1"/>
    <col min="11301" max="11301" width="9.85546875" style="624" customWidth="1"/>
    <col min="11302" max="11303" width="10.140625" style="624" customWidth="1"/>
    <col min="11304" max="11306" width="9.28515625" style="624" customWidth="1"/>
    <col min="11307" max="11307" width="9.85546875" style="624" customWidth="1"/>
    <col min="11308" max="11309" width="8.5703125" style="624" customWidth="1"/>
    <col min="11310" max="11312" width="8.85546875" style="624" customWidth="1"/>
    <col min="11313" max="11313" width="9.28515625" style="624" customWidth="1"/>
    <col min="11314" max="11315" width="8.85546875" style="624" customWidth="1"/>
    <col min="11316" max="11316" width="10" style="624" customWidth="1"/>
    <col min="11317" max="11318" width="8.85546875" style="624" customWidth="1"/>
    <col min="11319" max="11319" width="11" style="624" customWidth="1"/>
    <col min="11320" max="11321" width="9.5703125" style="624" customWidth="1"/>
    <col min="11322" max="11324" width="8.85546875" style="624" customWidth="1"/>
    <col min="11325" max="11325" width="10.42578125" style="624" customWidth="1"/>
    <col min="11326" max="11327" width="8.85546875" style="624" customWidth="1"/>
    <col min="11328" max="11328" width="9.7109375" style="624" customWidth="1"/>
    <col min="11329" max="11330" width="8.85546875" style="624" customWidth="1"/>
    <col min="11331" max="11331" width="9.28515625" style="624" customWidth="1"/>
    <col min="11332" max="11352" width="8.85546875" style="624" customWidth="1"/>
    <col min="11353" max="11353" width="9.85546875" style="624" customWidth="1"/>
    <col min="11354" max="11354" width="8.85546875" style="624" customWidth="1"/>
    <col min="11355" max="11355" width="10" style="624" customWidth="1"/>
    <col min="11356" max="11372" width="8.85546875" style="624" customWidth="1"/>
    <col min="11373" max="11373" width="9.42578125" style="624" customWidth="1"/>
    <col min="11374" max="11374" width="8.85546875" style="624" customWidth="1"/>
    <col min="11375" max="11375" width="12" style="624" customWidth="1"/>
    <col min="11376" max="11376" width="11.140625" style="624" customWidth="1"/>
    <col min="11377" max="11377" width="28.7109375" style="624" customWidth="1"/>
    <col min="11378" max="11378" width="5.85546875" style="624" customWidth="1"/>
    <col min="11379" max="11528" width="9.140625" style="624"/>
    <col min="11529" max="11529" width="3.42578125" style="624" customWidth="1"/>
    <col min="11530" max="11530" width="27.85546875" style="624" customWidth="1"/>
    <col min="11531" max="11531" width="11.85546875" style="624" customWidth="1"/>
    <col min="11532" max="11532" width="15.140625" style="624" customWidth="1"/>
    <col min="11533" max="11533" width="10.28515625" style="624" customWidth="1"/>
    <col min="11534" max="11535" width="9.7109375" style="624" customWidth="1"/>
    <col min="11536" max="11536" width="10.42578125" style="624" customWidth="1"/>
    <col min="11537" max="11537" width="10.42578125" style="624" bestFit="1" customWidth="1"/>
    <col min="11538" max="11538" width="16.28515625" style="624" customWidth="1"/>
    <col min="11539" max="11539" width="15.140625" style="624" customWidth="1"/>
    <col min="11540" max="11540" width="13.5703125" style="624" customWidth="1"/>
    <col min="11541" max="11541" width="10.5703125" style="624" customWidth="1"/>
    <col min="11542" max="11542" width="10.85546875" style="624" customWidth="1"/>
    <col min="11543" max="11543" width="18" style="624" customWidth="1"/>
    <col min="11544" max="11544" width="20.85546875" style="624" customWidth="1"/>
    <col min="11545" max="11545" width="13.5703125" style="624" customWidth="1"/>
    <col min="11546" max="11546" width="14.140625" style="624" customWidth="1"/>
    <col min="11547" max="11549" width="8.85546875" style="624" customWidth="1"/>
    <col min="11550" max="11550" width="9.28515625" style="624" customWidth="1"/>
    <col min="11551" max="11551" width="14" style="624" customWidth="1"/>
    <col min="11552" max="11553" width="8.85546875" style="624" customWidth="1"/>
    <col min="11554" max="11554" width="10.140625" style="624" customWidth="1"/>
    <col min="11555" max="11556" width="9.5703125" style="624" customWidth="1"/>
    <col min="11557" max="11557" width="9.85546875" style="624" customWidth="1"/>
    <col min="11558" max="11559" width="10.140625" style="624" customWidth="1"/>
    <col min="11560" max="11562" width="9.28515625" style="624" customWidth="1"/>
    <col min="11563" max="11563" width="9.85546875" style="624" customWidth="1"/>
    <col min="11564" max="11565" width="8.5703125" style="624" customWidth="1"/>
    <col min="11566" max="11568" width="8.85546875" style="624" customWidth="1"/>
    <col min="11569" max="11569" width="9.28515625" style="624" customWidth="1"/>
    <col min="11570" max="11571" width="8.85546875" style="624" customWidth="1"/>
    <col min="11572" max="11572" width="10" style="624" customWidth="1"/>
    <col min="11573" max="11574" width="8.85546875" style="624" customWidth="1"/>
    <col min="11575" max="11575" width="11" style="624" customWidth="1"/>
    <col min="11576" max="11577" width="9.5703125" style="624" customWidth="1"/>
    <col min="11578" max="11580" width="8.85546875" style="624" customWidth="1"/>
    <col min="11581" max="11581" width="10.42578125" style="624" customWidth="1"/>
    <col min="11582" max="11583" width="8.85546875" style="624" customWidth="1"/>
    <col min="11584" max="11584" width="9.7109375" style="624" customWidth="1"/>
    <col min="11585" max="11586" width="8.85546875" style="624" customWidth="1"/>
    <col min="11587" max="11587" width="9.28515625" style="624" customWidth="1"/>
    <col min="11588" max="11608" width="8.85546875" style="624" customWidth="1"/>
    <col min="11609" max="11609" width="9.85546875" style="624" customWidth="1"/>
    <col min="11610" max="11610" width="8.85546875" style="624" customWidth="1"/>
    <col min="11611" max="11611" width="10" style="624" customWidth="1"/>
    <col min="11612" max="11628" width="8.85546875" style="624" customWidth="1"/>
    <col min="11629" max="11629" width="9.42578125" style="624" customWidth="1"/>
    <col min="11630" max="11630" width="8.85546875" style="624" customWidth="1"/>
    <col min="11631" max="11631" width="12" style="624" customWidth="1"/>
    <col min="11632" max="11632" width="11.140625" style="624" customWidth="1"/>
    <col min="11633" max="11633" width="28.7109375" style="624" customWidth="1"/>
    <col min="11634" max="11634" width="5.85546875" style="624" customWidth="1"/>
    <col min="11635" max="11784" width="9.140625" style="624"/>
    <col min="11785" max="11785" width="3.42578125" style="624" customWidth="1"/>
    <col min="11786" max="11786" width="27.85546875" style="624" customWidth="1"/>
    <col min="11787" max="11787" width="11.85546875" style="624" customWidth="1"/>
    <col min="11788" max="11788" width="15.140625" style="624" customWidth="1"/>
    <col min="11789" max="11789" width="10.28515625" style="624" customWidth="1"/>
    <col min="11790" max="11791" width="9.7109375" style="624" customWidth="1"/>
    <col min="11792" max="11792" width="10.42578125" style="624" customWidth="1"/>
    <col min="11793" max="11793" width="10.42578125" style="624" bestFit="1" customWidth="1"/>
    <col min="11794" max="11794" width="16.28515625" style="624" customWidth="1"/>
    <col min="11795" max="11795" width="15.140625" style="624" customWidth="1"/>
    <col min="11796" max="11796" width="13.5703125" style="624" customWidth="1"/>
    <col min="11797" max="11797" width="10.5703125" style="624" customWidth="1"/>
    <col min="11798" max="11798" width="10.85546875" style="624" customWidth="1"/>
    <col min="11799" max="11799" width="18" style="624" customWidth="1"/>
    <col min="11800" max="11800" width="20.85546875" style="624" customWidth="1"/>
    <col min="11801" max="11801" width="13.5703125" style="624" customWidth="1"/>
    <col min="11802" max="11802" width="14.140625" style="624" customWidth="1"/>
    <col min="11803" max="11805" width="8.85546875" style="624" customWidth="1"/>
    <col min="11806" max="11806" width="9.28515625" style="624" customWidth="1"/>
    <col min="11807" max="11807" width="14" style="624" customWidth="1"/>
    <col min="11808" max="11809" width="8.85546875" style="624" customWidth="1"/>
    <col min="11810" max="11810" width="10.140625" style="624" customWidth="1"/>
    <col min="11811" max="11812" width="9.5703125" style="624" customWidth="1"/>
    <col min="11813" max="11813" width="9.85546875" style="624" customWidth="1"/>
    <col min="11814" max="11815" width="10.140625" style="624" customWidth="1"/>
    <col min="11816" max="11818" width="9.28515625" style="624" customWidth="1"/>
    <col min="11819" max="11819" width="9.85546875" style="624" customWidth="1"/>
    <col min="11820" max="11821" width="8.5703125" style="624" customWidth="1"/>
    <col min="11822" max="11824" width="8.85546875" style="624" customWidth="1"/>
    <col min="11825" max="11825" width="9.28515625" style="624" customWidth="1"/>
    <col min="11826" max="11827" width="8.85546875" style="624" customWidth="1"/>
    <col min="11828" max="11828" width="10" style="624" customWidth="1"/>
    <col min="11829" max="11830" width="8.85546875" style="624" customWidth="1"/>
    <col min="11831" max="11831" width="11" style="624" customWidth="1"/>
    <col min="11832" max="11833" width="9.5703125" style="624" customWidth="1"/>
    <col min="11834" max="11836" width="8.85546875" style="624" customWidth="1"/>
    <col min="11837" max="11837" width="10.42578125" style="624" customWidth="1"/>
    <col min="11838" max="11839" width="8.85546875" style="624" customWidth="1"/>
    <col min="11840" max="11840" width="9.7109375" style="624" customWidth="1"/>
    <col min="11841" max="11842" width="8.85546875" style="624" customWidth="1"/>
    <col min="11843" max="11843" width="9.28515625" style="624" customWidth="1"/>
    <col min="11844" max="11864" width="8.85546875" style="624" customWidth="1"/>
    <col min="11865" max="11865" width="9.85546875" style="624" customWidth="1"/>
    <col min="11866" max="11866" width="8.85546875" style="624" customWidth="1"/>
    <col min="11867" max="11867" width="10" style="624" customWidth="1"/>
    <col min="11868" max="11884" width="8.85546875" style="624" customWidth="1"/>
    <col min="11885" max="11885" width="9.42578125" style="624" customWidth="1"/>
    <col min="11886" max="11886" width="8.85546875" style="624" customWidth="1"/>
    <col min="11887" max="11887" width="12" style="624" customWidth="1"/>
    <col min="11888" max="11888" width="11.140625" style="624" customWidth="1"/>
    <col min="11889" max="11889" width="28.7109375" style="624" customWidth="1"/>
    <col min="11890" max="11890" width="5.85546875" style="624" customWidth="1"/>
    <col min="11891" max="12040" width="9.140625" style="624"/>
    <col min="12041" max="12041" width="3.42578125" style="624" customWidth="1"/>
    <col min="12042" max="12042" width="27.85546875" style="624" customWidth="1"/>
    <col min="12043" max="12043" width="11.85546875" style="624" customWidth="1"/>
    <col min="12044" max="12044" width="15.140625" style="624" customWidth="1"/>
    <col min="12045" max="12045" width="10.28515625" style="624" customWidth="1"/>
    <col min="12046" max="12047" width="9.7109375" style="624" customWidth="1"/>
    <col min="12048" max="12048" width="10.42578125" style="624" customWidth="1"/>
    <col min="12049" max="12049" width="10.42578125" style="624" bestFit="1" customWidth="1"/>
    <col min="12050" max="12050" width="16.28515625" style="624" customWidth="1"/>
    <col min="12051" max="12051" width="15.140625" style="624" customWidth="1"/>
    <col min="12052" max="12052" width="13.5703125" style="624" customWidth="1"/>
    <col min="12053" max="12053" width="10.5703125" style="624" customWidth="1"/>
    <col min="12054" max="12054" width="10.85546875" style="624" customWidth="1"/>
    <col min="12055" max="12055" width="18" style="624" customWidth="1"/>
    <col min="12056" max="12056" width="20.85546875" style="624" customWidth="1"/>
    <col min="12057" max="12057" width="13.5703125" style="624" customWidth="1"/>
    <col min="12058" max="12058" width="14.140625" style="624" customWidth="1"/>
    <col min="12059" max="12061" width="8.85546875" style="624" customWidth="1"/>
    <col min="12062" max="12062" width="9.28515625" style="624" customWidth="1"/>
    <col min="12063" max="12063" width="14" style="624" customWidth="1"/>
    <col min="12064" max="12065" width="8.85546875" style="624" customWidth="1"/>
    <col min="12066" max="12066" width="10.140625" style="624" customWidth="1"/>
    <col min="12067" max="12068" width="9.5703125" style="624" customWidth="1"/>
    <col min="12069" max="12069" width="9.85546875" style="624" customWidth="1"/>
    <col min="12070" max="12071" width="10.140625" style="624" customWidth="1"/>
    <col min="12072" max="12074" width="9.28515625" style="624" customWidth="1"/>
    <col min="12075" max="12075" width="9.85546875" style="624" customWidth="1"/>
    <col min="12076" max="12077" width="8.5703125" style="624" customWidth="1"/>
    <col min="12078" max="12080" width="8.85546875" style="624" customWidth="1"/>
    <col min="12081" max="12081" width="9.28515625" style="624" customWidth="1"/>
    <col min="12082" max="12083" width="8.85546875" style="624" customWidth="1"/>
    <col min="12084" max="12084" width="10" style="624" customWidth="1"/>
    <col min="12085" max="12086" width="8.85546875" style="624" customWidth="1"/>
    <col min="12087" max="12087" width="11" style="624" customWidth="1"/>
    <col min="12088" max="12089" width="9.5703125" style="624" customWidth="1"/>
    <col min="12090" max="12092" width="8.85546875" style="624" customWidth="1"/>
    <col min="12093" max="12093" width="10.42578125" style="624" customWidth="1"/>
    <col min="12094" max="12095" width="8.85546875" style="624" customWidth="1"/>
    <col min="12096" max="12096" width="9.7109375" style="624" customWidth="1"/>
    <col min="12097" max="12098" width="8.85546875" style="624" customWidth="1"/>
    <col min="12099" max="12099" width="9.28515625" style="624" customWidth="1"/>
    <col min="12100" max="12120" width="8.85546875" style="624" customWidth="1"/>
    <col min="12121" max="12121" width="9.85546875" style="624" customWidth="1"/>
    <col min="12122" max="12122" width="8.85546875" style="624" customWidth="1"/>
    <col min="12123" max="12123" width="10" style="624" customWidth="1"/>
    <col min="12124" max="12140" width="8.85546875" style="624" customWidth="1"/>
    <col min="12141" max="12141" width="9.42578125" style="624" customWidth="1"/>
    <col min="12142" max="12142" width="8.85546875" style="624" customWidth="1"/>
    <col min="12143" max="12143" width="12" style="624" customWidth="1"/>
    <col min="12144" max="12144" width="11.140625" style="624" customWidth="1"/>
    <col min="12145" max="12145" width="28.7109375" style="624" customWidth="1"/>
    <col min="12146" max="12146" width="5.85546875" style="624" customWidth="1"/>
    <col min="12147" max="12296" width="9.140625" style="624"/>
    <col min="12297" max="12297" width="3.42578125" style="624" customWidth="1"/>
    <col min="12298" max="12298" width="27.85546875" style="624" customWidth="1"/>
    <col min="12299" max="12299" width="11.85546875" style="624" customWidth="1"/>
    <col min="12300" max="12300" width="15.140625" style="624" customWidth="1"/>
    <col min="12301" max="12301" width="10.28515625" style="624" customWidth="1"/>
    <col min="12302" max="12303" width="9.7109375" style="624" customWidth="1"/>
    <col min="12304" max="12304" width="10.42578125" style="624" customWidth="1"/>
    <col min="12305" max="12305" width="10.42578125" style="624" bestFit="1" customWidth="1"/>
    <col min="12306" max="12306" width="16.28515625" style="624" customWidth="1"/>
    <col min="12307" max="12307" width="15.140625" style="624" customWidth="1"/>
    <col min="12308" max="12308" width="13.5703125" style="624" customWidth="1"/>
    <col min="12309" max="12309" width="10.5703125" style="624" customWidth="1"/>
    <col min="12310" max="12310" width="10.85546875" style="624" customWidth="1"/>
    <col min="12311" max="12311" width="18" style="624" customWidth="1"/>
    <col min="12312" max="12312" width="20.85546875" style="624" customWidth="1"/>
    <col min="12313" max="12313" width="13.5703125" style="624" customWidth="1"/>
    <col min="12314" max="12314" width="14.140625" style="624" customWidth="1"/>
    <col min="12315" max="12317" width="8.85546875" style="624" customWidth="1"/>
    <col min="12318" max="12318" width="9.28515625" style="624" customWidth="1"/>
    <col min="12319" max="12319" width="14" style="624" customWidth="1"/>
    <col min="12320" max="12321" width="8.85546875" style="624" customWidth="1"/>
    <col min="12322" max="12322" width="10.140625" style="624" customWidth="1"/>
    <col min="12323" max="12324" width="9.5703125" style="624" customWidth="1"/>
    <col min="12325" max="12325" width="9.85546875" style="624" customWidth="1"/>
    <col min="12326" max="12327" width="10.140625" style="624" customWidth="1"/>
    <col min="12328" max="12330" width="9.28515625" style="624" customWidth="1"/>
    <col min="12331" max="12331" width="9.85546875" style="624" customWidth="1"/>
    <col min="12332" max="12333" width="8.5703125" style="624" customWidth="1"/>
    <col min="12334" max="12336" width="8.85546875" style="624" customWidth="1"/>
    <col min="12337" max="12337" width="9.28515625" style="624" customWidth="1"/>
    <col min="12338" max="12339" width="8.85546875" style="624" customWidth="1"/>
    <col min="12340" max="12340" width="10" style="624" customWidth="1"/>
    <col min="12341" max="12342" width="8.85546875" style="624" customWidth="1"/>
    <col min="12343" max="12343" width="11" style="624" customWidth="1"/>
    <col min="12344" max="12345" width="9.5703125" style="624" customWidth="1"/>
    <col min="12346" max="12348" width="8.85546875" style="624" customWidth="1"/>
    <col min="12349" max="12349" width="10.42578125" style="624" customWidth="1"/>
    <col min="12350" max="12351" width="8.85546875" style="624" customWidth="1"/>
    <col min="12352" max="12352" width="9.7109375" style="624" customWidth="1"/>
    <col min="12353" max="12354" width="8.85546875" style="624" customWidth="1"/>
    <col min="12355" max="12355" width="9.28515625" style="624" customWidth="1"/>
    <col min="12356" max="12376" width="8.85546875" style="624" customWidth="1"/>
    <col min="12377" max="12377" width="9.85546875" style="624" customWidth="1"/>
    <col min="12378" max="12378" width="8.85546875" style="624" customWidth="1"/>
    <col min="12379" max="12379" width="10" style="624" customWidth="1"/>
    <col min="12380" max="12396" width="8.85546875" style="624" customWidth="1"/>
    <col min="12397" max="12397" width="9.42578125" style="624" customWidth="1"/>
    <col min="12398" max="12398" width="8.85546875" style="624" customWidth="1"/>
    <col min="12399" max="12399" width="12" style="624" customWidth="1"/>
    <col min="12400" max="12400" width="11.140625" style="624" customWidth="1"/>
    <col min="12401" max="12401" width="28.7109375" style="624" customWidth="1"/>
    <col min="12402" max="12402" width="5.85546875" style="624" customWidth="1"/>
    <col min="12403" max="12552" width="9.140625" style="624"/>
    <col min="12553" max="12553" width="3.42578125" style="624" customWidth="1"/>
    <col min="12554" max="12554" width="27.85546875" style="624" customWidth="1"/>
    <col min="12555" max="12555" width="11.85546875" style="624" customWidth="1"/>
    <col min="12556" max="12556" width="15.140625" style="624" customWidth="1"/>
    <col min="12557" max="12557" width="10.28515625" style="624" customWidth="1"/>
    <col min="12558" max="12559" width="9.7109375" style="624" customWidth="1"/>
    <col min="12560" max="12560" width="10.42578125" style="624" customWidth="1"/>
    <col min="12561" max="12561" width="10.42578125" style="624" bestFit="1" customWidth="1"/>
    <col min="12562" max="12562" width="16.28515625" style="624" customWidth="1"/>
    <col min="12563" max="12563" width="15.140625" style="624" customWidth="1"/>
    <col min="12564" max="12564" width="13.5703125" style="624" customWidth="1"/>
    <col min="12565" max="12565" width="10.5703125" style="624" customWidth="1"/>
    <col min="12566" max="12566" width="10.85546875" style="624" customWidth="1"/>
    <col min="12567" max="12567" width="18" style="624" customWidth="1"/>
    <col min="12568" max="12568" width="20.85546875" style="624" customWidth="1"/>
    <col min="12569" max="12569" width="13.5703125" style="624" customWidth="1"/>
    <col min="12570" max="12570" width="14.140625" style="624" customWidth="1"/>
    <col min="12571" max="12573" width="8.85546875" style="624" customWidth="1"/>
    <col min="12574" max="12574" width="9.28515625" style="624" customWidth="1"/>
    <col min="12575" max="12575" width="14" style="624" customWidth="1"/>
    <col min="12576" max="12577" width="8.85546875" style="624" customWidth="1"/>
    <col min="12578" max="12578" width="10.140625" style="624" customWidth="1"/>
    <col min="12579" max="12580" width="9.5703125" style="624" customWidth="1"/>
    <col min="12581" max="12581" width="9.85546875" style="624" customWidth="1"/>
    <col min="12582" max="12583" width="10.140625" style="624" customWidth="1"/>
    <col min="12584" max="12586" width="9.28515625" style="624" customWidth="1"/>
    <col min="12587" max="12587" width="9.85546875" style="624" customWidth="1"/>
    <col min="12588" max="12589" width="8.5703125" style="624" customWidth="1"/>
    <col min="12590" max="12592" width="8.85546875" style="624" customWidth="1"/>
    <col min="12593" max="12593" width="9.28515625" style="624" customWidth="1"/>
    <col min="12594" max="12595" width="8.85546875" style="624" customWidth="1"/>
    <col min="12596" max="12596" width="10" style="624" customWidth="1"/>
    <col min="12597" max="12598" width="8.85546875" style="624" customWidth="1"/>
    <col min="12599" max="12599" width="11" style="624" customWidth="1"/>
    <col min="12600" max="12601" width="9.5703125" style="624" customWidth="1"/>
    <col min="12602" max="12604" width="8.85546875" style="624" customWidth="1"/>
    <col min="12605" max="12605" width="10.42578125" style="624" customWidth="1"/>
    <col min="12606" max="12607" width="8.85546875" style="624" customWidth="1"/>
    <col min="12608" max="12608" width="9.7109375" style="624" customWidth="1"/>
    <col min="12609" max="12610" width="8.85546875" style="624" customWidth="1"/>
    <col min="12611" max="12611" width="9.28515625" style="624" customWidth="1"/>
    <col min="12612" max="12632" width="8.85546875" style="624" customWidth="1"/>
    <col min="12633" max="12633" width="9.85546875" style="624" customWidth="1"/>
    <col min="12634" max="12634" width="8.85546875" style="624" customWidth="1"/>
    <col min="12635" max="12635" width="10" style="624" customWidth="1"/>
    <col min="12636" max="12652" width="8.85546875" style="624" customWidth="1"/>
    <col min="12653" max="12653" width="9.42578125" style="624" customWidth="1"/>
    <col min="12654" max="12654" width="8.85546875" style="624" customWidth="1"/>
    <col min="12655" max="12655" width="12" style="624" customWidth="1"/>
    <col min="12656" max="12656" width="11.140625" style="624" customWidth="1"/>
    <col min="12657" max="12657" width="28.7109375" style="624" customWidth="1"/>
    <col min="12658" max="12658" width="5.85546875" style="624" customWidth="1"/>
    <col min="12659" max="12808" width="9.140625" style="624"/>
    <col min="12809" max="12809" width="3.42578125" style="624" customWidth="1"/>
    <col min="12810" max="12810" width="27.85546875" style="624" customWidth="1"/>
    <col min="12811" max="12811" width="11.85546875" style="624" customWidth="1"/>
    <col min="12812" max="12812" width="15.140625" style="624" customWidth="1"/>
    <col min="12813" max="12813" width="10.28515625" style="624" customWidth="1"/>
    <col min="12814" max="12815" width="9.7109375" style="624" customWidth="1"/>
    <col min="12816" max="12816" width="10.42578125" style="624" customWidth="1"/>
    <col min="12817" max="12817" width="10.42578125" style="624" bestFit="1" customWidth="1"/>
    <col min="12818" max="12818" width="16.28515625" style="624" customWidth="1"/>
    <col min="12819" max="12819" width="15.140625" style="624" customWidth="1"/>
    <col min="12820" max="12820" width="13.5703125" style="624" customWidth="1"/>
    <col min="12821" max="12821" width="10.5703125" style="624" customWidth="1"/>
    <col min="12822" max="12822" width="10.85546875" style="624" customWidth="1"/>
    <col min="12823" max="12823" width="18" style="624" customWidth="1"/>
    <col min="12824" max="12824" width="20.85546875" style="624" customWidth="1"/>
    <col min="12825" max="12825" width="13.5703125" style="624" customWidth="1"/>
    <col min="12826" max="12826" width="14.140625" style="624" customWidth="1"/>
    <col min="12827" max="12829" width="8.85546875" style="624" customWidth="1"/>
    <col min="12830" max="12830" width="9.28515625" style="624" customWidth="1"/>
    <col min="12831" max="12831" width="14" style="624" customWidth="1"/>
    <col min="12832" max="12833" width="8.85546875" style="624" customWidth="1"/>
    <col min="12834" max="12834" width="10.140625" style="624" customWidth="1"/>
    <col min="12835" max="12836" width="9.5703125" style="624" customWidth="1"/>
    <col min="12837" max="12837" width="9.85546875" style="624" customWidth="1"/>
    <col min="12838" max="12839" width="10.140625" style="624" customWidth="1"/>
    <col min="12840" max="12842" width="9.28515625" style="624" customWidth="1"/>
    <col min="12843" max="12843" width="9.85546875" style="624" customWidth="1"/>
    <col min="12844" max="12845" width="8.5703125" style="624" customWidth="1"/>
    <col min="12846" max="12848" width="8.85546875" style="624" customWidth="1"/>
    <col min="12849" max="12849" width="9.28515625" style="624" customWidth="1"/>
    <col min="12850" max="12851" width="8.85546875" style="624" customWidth="1"/>
    <col min="12852" max="12852" width="10" style="624" customWidth="1"/>
    <col min="12853" max="12854" width="8.85546875" style="624" customWidth="1"/>
    <col min="12855" max="12855" width="11" style="624" customWidth="1"/>
    <col min="12856" max="12857" width="9.5703125" style="624" customWidth="1"/>
    <col min="12858" max="12860" width="8.85546875" style="624" customWidth="1"/>
    <col min="12861" max="12861" width="10.42578125" style="624" customWidth="1"/>
    <col min="12862" max="12863" width="8.85546875" style="624" customWidth="1"/>
    <col min="12864" max="12864" width="9.7109375" style="624" customWidth="1"/>
    <col min="12865" max="12866" width="8.85546875" style="624" customWidth="1"/>
    <col min="12867" max="12867" width="9.28515625" style="624" customWidth="1"/>
    <col min="12868" max="12888" width="8.85546875" style="624" customWidth="1"/>
    <col min="12889" max="12889" width="9.85546875" style="624" customWidth="1"/>
    <col min="12890" max="12890" width="8.85546875" style="624" customWidth="1"/>
    <col min="12891" max="12891" width="10" style="624" customWidth="1"/>
    <col min="12892" max="12908" width="8.85546875" style="624" customWidth="1"/>
    <col min="12909" max="12909" width="9.42578125" style="624" customWidth="1"/>
    <col min="12910" max="12910" width="8.85546875" style="624" customWidth="1"/>
    <col min="12911" max="12911" width="12" style="624" customWidth="1"/>
    <col min="12912" max="12912" width="11.140625" style="624" customWidth="1"/>
    <col min="12913" max="12913" width="28.7109375" style="624" customWidth="1"/>
    <col min="12914" max="12914" width="5.85546875" style="624" customWidth="1"/>
    <col min="12915" max="13064" width="9.140625" style="624"/>
    <col min="13065" max="13065" width="3.42578125" style="624" customWidth="1"/>
    <col min="13066" max="13066" width="27.85546875" style="624" customWidth="1"/>
    <col min="13067" max="13067" width="11.85546875" style="624" customWidth="1"/>
    <col min="13068" max="13068" width="15.140625" style="624" customWidth="1"/>
    <col min="13069" max="13069" width="10.28515625" style="624" customWidth="1"/>
    <col min="13070" max="13071" width="9.7109375" style="624" customWidth="1"/>
    <col min="13072" max="13072" width="10.42578125" style="624" customWidth="1"/>
    <col min="13073" max="13073" width="10.42578125" style="624" bestFit="1" customWidth="1"/>
    <col min="13074" max="13074" width="16.28515625" style="624" customWidth="1"/>
    <col min="13075" max="13075" width="15.140625" style="624" customWidth="1"/>
    <col min="13076" max="13076" width="13.5703125" style="624" customWidth="1"/>
    <col min="13077" max="13077" width="10.5703125" style="624" customWidth="1"/>
    <col min="13078" max="13078" width="10.85546875" style="624" customWidth="1"/>
    <col min="13079" max="13079" width="18" style="624" customWidth="1"/>
    <col min="13080" max="13080" width="20.85546875" style="624" customWidth="1"/>
    <col min="13081" max="13081" width="13.5703125" style="624" customWidth="1"/>
    <col min="13082" max="13082" width="14.140625" style="624" customWidth="1"/>
    <col min="13083" max="13085" width="8.85546875" style="624" customWidth="1"/>
    <col min="13086" max="13086" width="9.28515625" style="624" customWidth="1"/>
    <col min="13087" max="13087" width="14" style="624" customWidth="1"/>
    <col min="13088" max="13089" width="8.85546875" style="624" customWidth="1"/>
    <col min="13090" max="13090" width="10.140625" style="624" customWidth="1"/>
    <col min="13091" max="13092" width="9.5703125" style="624" customWidth="1"/>
    <col min="13093" max="13093" width="9.85546875" style="624" customWidth="1"/>
    <col min="13094" max="13095" width="10.140625" style="624" customWidth="1"/>
    <col min="13096" max="13098" width="9.28515625" style="624" customWidth="1"/>
    <col min="13099" max="13099" width="9.85546875" style="624" customWidth="1"/>
    <col min="13100" max="13101" width="8.5703125" style="624" customWidth="1"/>
    <col min="13102" max="13104" width="8.85546875" style="624" customWidth="1"/>
    <col min="13105" max="13105" width="9.28515625" style="624" customWidth="1"/>
    <col min="13106" max="13107" width="8.85546875" style="624" customWidth="1"/>
    <col min="13108" max="13108" width="10" style="624" customWidth="1"/>
    <col min="13109" max="13110" width="8.85546875" style="624" customWidth="1"/>
    <col min="13111" max="13111" width="11" style="624" customWidth="1"/>
    <col min="13112" max="13113" width="9.5703125" style="624" customWidth="1"/>
    <col min="13114" max="13116" width="8.85546875" style="624" customWidth="1"/>
    <col min="13117" max="13117" width="10.42578125" style="624" customWidth="1"/>
    <col min="13118" max="13119" width="8.85546875" style="624" customWidth="1"/>
    <col min="13120" max="13120" width="9.7109375" style="624" customWidth="1"/>
    <col min="13121" max="13122" width="8.85546875" style="624" customWidth="1"/>
    <col min="13123" max="13123" width="9.28515625" style="624" customWidth="1"/>
    <col min="13124" max="13144" width="8.85546875" style="624" customWidth="1"/>
    <col min="13145" max="13145" width="9.85546875" style="624" customWidth="1"/>
    <col min="13146" max="13146" width="8.85546875" style="624" customWidth="1"/>
    <col min="13147" max="13147" width="10" style="624" customWidth="1"/>
    <col min="13148" max="13164" width="8.85546875" style="624" customWidth="1"/>
    <col min="13165" max="13165" width="9.42578125" style="624" customWidth="1"/>
    <col min="13166" max="13166" width="8.85546875" style="624" customWidth="1"/>
    <col min="13167" max="13167" width="12" style="624" customWidth="1"/>
    <col min="13168" max="13168" width="11.140625" style="624" customWidth="1"/>
    <col min="13169" max="13169" width="28.7109375" style="624" customWidth="1"/>
    <col min="13170" max="13170" width="5.85546875" style="624" customWidth="1"/>
    <col min="13171" max="13320" width="9.140625" style="624"/>
    <col min="13321" max="13321" width="3.42578125" style="624" customWidth="1"/>
    <col min="13322" max="13322" width="27.85546875" style="624" customWidth="1"/>
    <col min="13323" max="13323" width="11.85546875" style="624" customWidth="1"/>
    <col min="13324" max="13324" width="15.140625" style="624" customWidth="1"/>
    <col min="13325" max="13325" width="10.28515625" style="624" customWidth="1"/>
    <col min="13326" max="13327" width="9.7109375" style="624" customWidth="1"/>
    <col min="13328" max="13328" width="10.42578125" style="624" customWidth="1"/>
    <col min="13329" max="13329" width="10.42578125" style="624" bestFit="1" customWidth="1"/>
    <col min="13330" max="13330" width="16.28515625" style="624" customWidth="1"/>
    <col min="13331" max="13331" width="15.140625" style="624" customWidth="1"/>
    <col min="13332" max="13332" width="13.5703125" style="624" customWidth="1"/>
    <col min="13333" max="13333" width="10.5703125" style="624" customWidth="1"/>
    <col min="13334" max="13334" width="10.85546875" style="624" customWidth="1"/>
    <col min="13335" max="13335" width="18" style="624" customWidth="1"/>
    <col min="13336" max="13336" width="20.85546875" style="624" customWidth="1"/>
    <col min="13337" max="13337" width="13.5703125" style="624" customWidth="1"/>
    <col min="13338" max="13338" width="14.140625" style="624" customWidth="1"/>
    <col min="13339" max="13341" width="8.85546875" style="624" customWidth="1"/>
    <col min="13342" max="13342" width="9.28515625" style="624" customWidth="1"/>
    <col min="13343" max="13343" width="14" style="624" customWidth="1"/>
    <col min="13344" max="13345" width="8.85546875" style="624" customWidth="1"/>
    <col min="13346" max="13346" width="10.140625" style="624" customWidth="1"/>
    <col min="13347" max="13348" width="9.5703125" style="624" customWidth="1"/>
    <col min="13349" max="13349" width="9.85546875" style="624" customWidth="1"/>
    <col min="13350" max="13351" width="10.140625" style="624" customWidth="1"/>
    <col min="13352" max="13354" width="9.28515625" style="624" customWidth="1"/>
    <col min="13355" max="13355" width="9.85546875" style="624" customWidth="1"/>
    <col min="13356" max="13357" width="8.5703125" style="624" customWidth="1"/>
    <col min="13358" max="13360" width="8.85546875" style="624" customWidth="1"/>
    <col min="13361" max="13361" width="9.28515625" style="624" customWidth="1"/>
    <col min="13362" max="13363" width="8.85546875" style="624" customWidth="1"/>
    <col min="13364" max="13364" width="10" style="624" customWidth="1"/>
    <col min="13365" max="13366" width="8.85546875" style="624" customWidth="1"/>
    <col min="13367" max="13367" width="11" style="624" customWidth="1"/>
    <col min="13368" max="13369" width="9.5703125" style="624" customWidth="1"/>
    <col min="13370" max="13372" width="8.85546875" style="624" customWidth="1"/>
    <col min="13373" max="13373" width="10.42578125" style="624" customWidth="1"/>
    <col min="13374" max="13375" width="8.85546875" style="624" customWidth="1"/>
    <col min="13376" max="13376" width="9.7109375" style="624" customWidth="1"/>
    <col min="13377" max="13378" width="8.85546875" style="624" customWidth="1"/>
    <col min="13379" max="13379" width="9.28515625" style="624" customWidth="1"/>
    <col min="13380" max="13400" width="8.85546875" style="624" customWidth="1"/>
    <col min="13401" max="13401" width="9.85546875" style="624" customWidth="1"/>
    <col min="13402" max="13402" width="8.85546875" style="624" customWidth="1"/>
    <col min="13403" max="13403" width="10" style="624" customWidth="1"/>
    <col min="13404" max="13420" width="8.85546875" style="624" customWidth="1"/>
    <col min="13421" max="13421" width="9.42578125" style="624" customWidth="1"/>
    <col min="13422" max="13422" width="8.85546875" style="624" customWidth="1"/>
    <col min="13423" max="13423" width="12" style="624" customWidth="1"/>
    <col min="13424" max="13424" width="11.140625" style="624" customWidth="1"/>
    <col min="13425" max="13425" width="28.7109375" style="624" customWidth="1"/>
    <col min="13426" max="13426" width="5.85546875" style="624" customWidth="1"/>
    <col min="13427" max="13576" width="9.140625" style="624"/>
    <col min="13577" max="13577" width="3.42578125" style="624" customWidth="1"/>
    <col min="13578" max="13578" width="27.85546875" style="624" customWidth="1"/>
    <col min="13579" max="13579" width="11.85546875" style="624" customWidth="1"/>
    <col min="13580" max="13580" width="15.140625" style="624" customWidth="1"/>
    <col min="13581" max="13581" width="10.28515625" style="624" customWidth="1"/>
    <col min="13582" max="13583" width="9.7109375" style="624" customWidth="1"/>
    <col min="13584" max="13584" width="10.42578125" style="624" customWidth="1"/>
    <col min="13585" max="13585" width="10.42578125" style="624" bestFit="1" customWidth="1"/>
    <col min="13586" max="13586" width="16.28515625" style="624" customWidth="1"/>
    <col min="13587" max="13587" width="15.140625" style="624" customWidth="1"/>
    <col min="13588" max="13588" width="13.5703125" style="624" customWidth="1"/>
    <col min="13589" max="13589" width="10.5703125" style="624" customWidth="1"/>
    <col min="13590" max="13590" width="10.85546875" style="624" customWidth="1"/>
    <col min="13591" max="13591" width="18" style="624" customWidth="1"/>
    <col min="13592" max="13592" width="20.85546875" style="624" customWidth="1"/>
    <col min="13593" max="13593" width="13.5703125" style="624" customWidth="1"/>
    <col min="13594" max="13594" width="14.140625" style="624" customWidth="1"/>
    <col min="13595" max="13597" width="8.85546875" style="624" customWidth="1"/>
    <col min="13598" max="13598" width="9.28515625" style="624" customWidth="1"/>
    <col min="13599" max="13599" width="14" style="624" customWidth="1"/>
    <col min="13600" max="13601" width="8.85546875" style="624" customWidth="1"/>
    <col min="13602" max="13602" width="10.140625" style="624" customWidth="1"/>
    <col min="13603" max="13604" width="9.5703125" style="624" customWidth="1"/>
    <col min="13605" max="13605" width="9.85546875" style="624" customWidth="1"/>
    <col min="13606" max="13607" width="10.140625" style="624" customWidth="1"/>
    <col min="13608" max="13610" width="9.28515625" style="624" customWidth="1"/>
    <col min="13611" max="13611" width="9.85546875" style="624" customWidth="1"/>
    <col min="13612" max="13613" width="8.5703125" style="624" customWidth="1"/>
    <col min="13614" max="13616" width="8.85546875" style="624" customWidth="1"/>
    <col min="13617" max="13617" width="9.28515625" style="624" customWidth="1"/>
    <col min="13618" max="13619" width="8.85546875" style="624" customWidth="1"/>
    <col min="13620" max="13620" width="10" style="624" customWidth="1"/>
    <col min="13621" max="13622" width="8.85546875" style="624" customWidth="1"/>
    <col min="13623" max="13623" width="11" style="624" customWidth="1"/>
    <col min="13624" max="13625" width="9.5703125" style="624" customWidth="1"/>
    <col min="13626" max="13628" width="8.85546875" style="624" customWidth="1"/>
    <col min="13629" max="13629" width="10.42578125" style="624" customWidth="1"/>
    <col min="13630" max="13631" width="8.85546875" style="624" customWidth="1"/>
    <col min="13632" max="13632" width="9.7109375" style="624" customWidth="1"/>
    <col min="13633" max="13634" width="8.85546875" style="624" customWidth="1"/>
    <col min="13635" max="13635" width="9.28515625" style="624" customWidth="1"/>
    <col min="13636" max="13656" width="8.85546875" style="624" customWidth="1"/>
    <col min="13657" max="13657" width="9.85546875" style="624" customWidth="1"/>
    <col min="13658" max="13658" width="8.85546875" style="624" customWidth="1"/>
    <col min="13659" max="13659" width="10" style="624" customWidth="1"/>
    <col min="13660" max="13676" width="8.85546875" style="624" customWidth="1"/>
    <col min="13677" max="13677" width="9.42578125" style="624" customWidth="1"/>
    <col min="13678" max="13678" width="8.85546875" style="624" customWidth="1"/>
    <col min="13679" max="13679" width="12" style="624" customWidth="1"/>
    <col min="13680" max="13680" width="11.140625" style="624" customWidth="1"/>
    <col min="13681" max="13681" width="28.7109375" style="624" customWidth="1"/>
    <col min="13682" max="13682" width="5.85546875" style="624" customWidth="1"/>
    <col min="13683" max="13832" width="9.140625" style="624"/>
    <col min="13833" max="13833" width="3.42578125" style="624" customWidth="1"/>
    <col min="13834" max="13834" width="27.85546875" style="624" customWidth="1"/>
    <col min="13835" max="13835" width="11.85546875" style="624" customWidth="1"/>
    <col min="13836" max="13836" width="15.140625" style="624" customWidth="1"/>
    <col min="13837" max="13837" width="10.28515625" style="624" customWidth="1"/>
    <col min="13838" max="13839" width="9.7109375" style="624" customWidth="1"/>
    <col min="13840" max="13840" width="10.42578125" style="624" customWidth="1"/>
    <col min="13841" max="13841" width="10.42578125" style="624" bestFit="1" customWidth="1"/>
    <col min="13842" max="13842" width="16.28515625" style="624" customWidth="1"/>
    <col min="13843" max="13843" width="15.140625" style="624" customWidth="1"/>
    <col min="13844" max="13844" width="13.5703125" style="624" customWidth="1"/>
    <col min="13845" max="13845" width="10.5703125" style="624" customWidth="1"/>
    <col min="13846" max="13846" width="10.85546875" style="624" customWidth="1"/>
    <col min="13847" max="13847" width="18" style="624" customWidth="1"/>
    <col min="13848" max="13848" width="20.85546875" style="624" customWidth="1"/>
    <col min="13849" max="13849" width="13.5703125" style="624" customWidth="1"/>
    <col min="13850" max="13850" width="14.140625" style="624" customWidth="1"/>
    <col min="13851" max="13853" width="8.85546875" style="624" customWidth="1"/>
    <col min="13854" max="13854" width="9.28515625" style="624" customWidth="1"/>
    <col min="13855" max="13855" width="14" style="624" customWidth="1"/>
    <col min="13856" max="13857" width="8.85546875" style="624" customWidth="1"/>
    <col min="13858" max="13858" width="10.140625" style="624" customWidth="1"/>
    <col min="13859" max="13860" width="9.5703125" style="624" customWidth="1"/>
    <col min="13861" max="13861" width="9.85546875" style="624" customWidth="1"/>
    <col min="13862" max="13863" width="10.140625" style="624" customWidth="1"/>
    <col min="13864" max="13866" width="9.28515625" style="624" customWidth="1"/>
    <col min="13867" max="13867" width="9.85546875" style="624" customWidth="1"/>
    <col min="13868" max="13869" width="8.5703125" style="624" customWidth="1"/>
    <col min="13870" max="13872" width="8.85546875" style="624" customWidth="1"/>
    <col min="13873" max="13873" width="9.28515625" style="624" customWidth="1"/>
    <col min="13874" max="13875" width="8.85546875" style="624" customWidth="1"/>
    <col min="13876" max="13876" width="10" style="624" customWidth="1"/>
    <col min="13877" max="13878" width="8.85546875" style="624" customWidth="1"/>
    <col min="13879" max="13879" width="11" style="624" customWidth="1"/>
    <col min="13880" max="13881" width="9.5703125" style="624" customWidth="1"/>
    <col min="13882" max="13884" width="8.85546875" style="624" customWidth="1"/>
    <col min="13885" max="13885" width="10.42578125" style="624" customWidth="1"/>
    <col min="13886" max="13887" width="8.85546875" style="624" customWidth="1"/>
    <col min="13888" max="13888" width="9.7109375" style="624" customWidth="1"/>
    <col min="13889" max="13890" width="8.85546875" style="624" customWidth="1"/>
    <col min="13891" max="13891" width="9.28515625" style="624" customWidth="1"/>
    <col min="13892" max="13912" width="8.85546875" style="624" customWidth="1"/>
    <col min="13913" max="13913" width="9.85546875" style="624" customWidth="1"/>
    <col min="13914" max="13914" width="8.85546875" style="624" customWidth="1"/>
    <col min="13915" max="13915" width="10" style="624" customWidth="1"/>
    <col min="13916" max="13932" width="8.85546875" style="624" customWidth="1"/>
    <col min="13933" max="13933" width="9.42578125" style="624" customWidth="1"/>
    <col min="13934" max="13934" width="8.85546875" style="624" customWidth="1"/>
    <col min="13935" max="13935" width="12" style="624" customWidth="1"/>
    <col min="13936" max="13936" width="11.140625" style="624" customWidth="1"/>
    <col min="13937" max="13937" width="28.7109375" style="624" customWidth="1"/>
    <col min="13938" max="13938" width="5.85546875" style="624" customWidth="1"/>
    <col min="13939" max="14088" width="9.140625" style="624"/>
    <col min="14089" max="14089" width="3.42578125" style="624" customWidth="1"/>
    <col min="14090" max="14090" width="27.85546875" style="624" customWidth="1"/>
    <col min="14091" max="14091" width="11.85546875" style="624" customWidth="1"/>
    <col min="14092" max="14092" width="15.140625" style="624" customWidth="1"/>
    <col min="14093" max="14093" width="10.28515625" style="624" customWidth="1"/>
    <col min="14094" max="14095" width="9.7109375" style="624" customWidth="1"/>
    <col min="14096" max="14096" width="10.42578125" style="624" customWidth="1"/>
    <col min="14097" max="14097" width="10.42578125" style="624" bestFit="1" customWidth="1"/>
    <col min="14098" max="14098" width="16.28515625" style="624" customWidth="1"/>
    <col min="14099" max="14099" width="15.140625" style="624" customWidth="1"/>
    <col min="14100" max="14100" width="13.5703125" style="624" customWidth="1"/>
    <col min="14101" max="14101" width="10.5703125" style="624" customWidth="1"/>
    <col min="14102" max="14102" width="10.85546875" style="624" customWidth="1"/>
    <col min="14103" max="14103" width="18" style="624" customWidth="1"/>
    <col min="14104" max="14104" width="20.85546875" style="624" customWidth="1"/>
    <col min="14105" max="14105" width="13.5703125" style="624" customWidth="1"/>
    <col min="14106" max="14106" width="14.140625" style="624" customWidth="1"/>
    <col min="14107" max="14109" width="8.85546875" style="624" customWidth="1"/>
    <col min="14110" max="14110" width="9.28515625" style="624" customWidth="1"/>
    <col min="14111" max="14111" width="14" style="624" customWidth="1"/>
    <col min="14112" max="14113" width="8.85546875" style="624" customWidth="1"/>
    <col min="14114" max="14114" width="10.140625" style="624" customWidth="1"/>
    <col min="14115" max="14116" width="9.5703125" style="624" customWidth="1"/>
    <col min="14117" max="14117" width="9.85546875" style="624" customWidth="1"/>
    <col min="14118" max="14119" width="10.140625" style="624" customWidth="1"/>
    <col min="14120" max="14122" width="9.28515625" style="624" customWidth="1"/>
    <col min="14123" max="14123" width="9.85546875" style="624" customWidth="1"/>
    <col min="14124" max="14125" width="8.5703125" style="624" customWidth="1"/>
    <col min="14126" max="14128" width="8.85546875" style="624" customWidth="1"/>
    <col min="14129" max="14129" width="9.28515625" style="624" customWidth="1"/>
    <col min="14130" max="14131" width="8.85546875" style="624" customWidth="1"/>
    <col min="14132" max="14132" width="10" style="624" customWidth="1"/>
    <col min="14133" max="14134" width="8.85546875" style="624" customWidth="1"/>
    <col min="14135" max="14135" width="11" style="624" customWidth="1"/>
    <col min="14136" max="14137" width="9.5703125" style="624" customWidth="1"/>
    <col min="14138" max="14140" width="8.85546875" style="624" customWidth="1"/>
    <col min="14141" max="14141" width="10.42578125" style="624" customWidth="1"/>
    <col min="14142" max="14143" width="8.85546875" style="624" customWidth="1"/>
    <col min="14144" max="14144" width="9.7109375" style="624" customWidth="1"/>
    <col min="14145" max="14146" width="8.85546875" style="624" customWidth="1"/>
    <col min="14147" max="14147" width="9.28515625" style="624" customWidth="1"/>
    <col min="14148" max="14168" width="8.85546875" style="624" customWidth="1"/>
    <col min="14169" max="14169" width="9.85546875" style="624" customWidth="1"/>
    <col min="14170" max="14170" width="8.85546875" style="624" customWidth="1"/>
    <col min="14171" max="14171" width="10" style="624" customWidth="1"/>
    <col min="14172" max="14188" width="8.85546875" style="624" customWidth="1"/>
    <col min="14189" max="14189" width="9.42578125" style="624" customWidth="1"/>
    <col min="14190" max="14190" width="8.85546875" style="624" customWidth="1"/>
    <col min="14191" max="14191" width="12" style="624" customWidth="1"/>
    <col min="14192" max="14192" width="11.140625" style="624" customWidth="1"/>
    <col min="14193" max="14193" width="28.7109375" style="624" customWidth="1"/>
    <col min="14194" max="14194" width="5.85546875" style="624" customWidth="1"/>
    <col min="14195" max="14344" width="9.140625" style="624"/>
    <col min="14345" max="14345" width="3.42578125" style="624" customWidth="1"/>
    <col min="14346" max="14346" width="27.85546875" style="624" customWidth="1"/>
    <col min="14347" max="14347" width="11.85546875" style="624" customWidth="1"/>
    <col min="14348" max="14348" width="15.140625" style="624" customWidth="1"/>
    <col min="14349" max="14349" width="10.28515625" style="624" customWidth="1"/>
    <col min="14350" max="14351" width="9.7109375" style="624" customWidth="1"/>
    <col min="14352" max="14352" width="10.42578125" style="624" customWidth="1"/>
    <col min="14353" max="14353" width="10.42578125" style="624" bestFit="1" customWidth="1"/>
    <col min="14354" max="14354" width="16.28515625" style="624" customWidth="1"/>
    <col min="14355" max="14355" width="15.140625" style="624" customWidth="1"/>
    <col min="14356" max="14356" width="13.5703125" style="624" customWidth="1"/>
    <col min="14357" max="14357" width="10.5703125" style="624" customWidth="1"/>
    <col min="14358" max="14358" width="10.85546875" style="624" customWidth="1"/>
    <col min="14359" max="14359" width="18" style="624" customWidth="1"/>
    <col min="14360" max="14360" width="20.85546875" style="624" customWidth="1"/>
    <col min="14361" max="14361" width="13.5703125" style="624" customWidth="1"/>
    <col min="14362" max="14362" width="14.140625" style="624" customWidth="1"/>
    <col min="14363" max="14365" width="8.85546875" style="624" customWidth="1"/>
    <col min="14366" max="14366" width="9.28515625" style="624" customWidth="1"/>
    <col min="14367" max="14367" width="14" style="624" customWidth="1"/>
    <col min="14368" max="14369" width="8.85546875" style="624" customWidth="1"/>
    <col min="14370" max="14370" width="10.140625" style="624" customWidth="1"/>
    <col min="14371" max="14372" width="9.5703125" style="624" customWidth="1"/>
    <col min="14373" max="14373" width="9.85546875" style="624" customWidth="1"/>
    <col min="14374" max="14375" width="10.140625" style="624" customWidth="1"/>
    <col min="14376" max="14378" width="9.28515625" style="624" customWidth="1"/>
    <col min="14379" max="14379" width="9.85546875" style="624" customWidth="1"/>
    <col min="14380" max="14381" width="8.5703125" style="624" customWidth="1"/>
    <col min="14382" max="14384" width="8.85546875" style="624" customWidth="1"/>
    <col min="14385" max="14385" width="9.28515625" style="624" customWidth="1"/>
    <col min="14386" max="14387" width="8.85546875" style="624" customWidth="1"/>
    <col min="14388" max="14388" width="10" style="624" customWidth="1"/>
    <col min="14389" max="14390" width="8.85546875" style="624" customWidth="1"/>
    <col min="14391" max="14391" width="11" style="624" customWidth="1"/>
    <col min="14392" max="14393" width="9.5703125" style="624" customWidth="1"/>
    <col min="14394" max="14396" width="8.85546875" style="624" customWidth="1"/>
    <col min="14397" max="14397" width="10.42578125" style="624" customWidth="1"/>
    <col min="14398" max="14399" width="8.85546875" style="624" customWidth="1"/>
    <col min="14400" max="14400" width="9.7109375" style="624" customWidth="1"/>
    <col min="14401" max="14402" width="8.85546875" style="624" customWidth="1"/>
    <col min="14403" max="14403" width="9.28515625" style="624" customWidth="1"/>
    <col min="14404" max="14424" width="8.85546875" style="624" customWidth="1"/>
    <col min="14425" max="14425" width="9.85546875" style="624" customWidth="1"/>
    <col min="14426" max="14426" width="8.85546875" style="624" customWidth="1"/>
    <col min="14427" max="14427" width="10" style="624" customWidth="1"/>
    <col min="14428" max="14444" width="8.85546875" style="624" customWidth="1"/>
    <col min="14445" max="14445" width="9.42578125" style="624" customWidth="1"/>
    <col min="14446" max="14446" width="8.85546875" style="624" customWidth="1"/>
    <col min="14447" max="14447" width="12" style="624" customWidth="1"/>
    <col min="14448" max="14448" width="11.140625" style="624" customWidth="1"/>
    <col min="14449" max="14449" width="28.7109375" style="624" customWidth="1"/>
    <col min="14450" max="14450" width="5.85546875" style="624" customWidth="1"/>
    <col min="14451" max="14600" width="9.140625" style="624"/>
    <col min="14601" max="14601" width="3.42578125" style="624" customWidth="1"/>
    <col min="14602" max="14602" width="27.85546875" style="624" customWidth="1"/>
    <col min="14603" max="14603" width="11.85546875" style="624" customWidth="1"/>
    <col min="14604" max="14604" width="15.140625" style="624" customWidth="1"/>
    <col min="14605" max="14605" width="10.28515625" style="624" customWidth="1"/>
    <col min="14606" max="14607" width="9.7109375" style="624" customWidth="1"/>
    <col min="14608" max="14608" width="10.42578125" style="624" customWidth="1"/>
    <col min="14609" max="14609" width="10.42578125" style="624" bestFit="1" customWidth="1"/>
    <col min="14610" max="14610" width="16.28515625" style="624" customWidth="1"/>
    <col min="14611" max="14611" width="15.140625" style="624" customWidth="1"/>
    <col min="14612" max="14612" width="13.5703125" style="624" customWidth="1"/>
    <col min="14613" max="14613" width="10.5703125" style="624" customWidth="1"/>
    <col min="14614" max="14614" width="10.85546875" style="624" customWidth="1"/>
    <col min="14615" max="14615" width="18" style="624" customWidth="1"/>
    <col min="14616" max="14616" width="20.85546875" style="624" customWidth="1"/>
    <col min="14617" max="14617" width="13.5703125" style="624" customWidth="1"/>
    <col min="14618" max="14618" width="14.140625" style="624" customWidth="1"/>
    <col min="14619" max="14621" width="8.85546875" style="624" customWidth="1"/>
    <col min="14622" max="14622" width="9.28515625" style="624" customWidth="1"/>
    <col min="14623" max="14623" width="14" style="624" customWidth="1"/>
    <col min="14624" max="14625" width="8.85546875" style="624" customWidth="1"/>
    <col min="14626" max="14626" width="10.140625" style="624" customWidth="1"/>
    <col min="14627" max="14628" width="9.5703125" style="624" customWidth="1"/>
    <col min="14629" max="14629" width="9.85546875" style="624" customWidth="1"/>
    <col min="14630" max="14631" width="10.140625" style="624" customWidth="1"/>
    <col min="14632" max="14634" width="9.28515625" style="624" customWidth="1"/>
    <col min="14635" max="14635" width="9.85546875" style="624" customWidth="1"/>
    <col min="14636" max="14637" width="8.5703125" style="624" customWidth="1"/>
    <col min="14638" max="14640" width="8.85546875" style="624" customWidth="1"/>
    <col min="14641" max="14641" width="9.28515625" style="624" customWidth="1"/>
    <col min="14642" max="14643" width="8.85546875" style="624" customWidth="1"/>
    <col min="14644" max="14644" width="10" style="624" customWidth="1"/>
    <col min="14645" max="14646" width="8.85546875" style="624" customWidth="1"/>
    <col min="14647" max="14647" width="11" style="624" customWidth="1"/>
    <col min="14648" max="14649" width="9.5703125" style="624" customWidth="1"/>
    <col min="14650" max="14652" width="8.85546875" style="624" customWidth="1"/>
    <col min="14653" max="14653" width="10.42578125" style="624" customWidth="1"/>
    <col min="14654" max="14655" width="8.85546875" style="624" customWidth="1"/>
    <col min="14656" max="14656" width="9.7109375" style="624" customWidth="1"/>
    <col min="14657" max="14658" width="8.85546875" style="624" customWidth="1"/>
    <col min="14659" max="14659" width="9.28515625" style="624" customWidth="1"/>
    <col min="14660" max="14680" width="8.85546875" style="624" customWidth="1"/>
    <col min="14681" max="14681" width="9.85546875" style="624" customWidth="1"/>
    <col min="14682" max="14682" width="8.85546875" style="624" customWidth="1"/>
    <col min="14683" max="14683" width="10" style="624" customWidth="1"/>
    <col min="14684" max="14700" width="8.85546875" style="624" customWidth="1"/>
    <col min="14701" max="14701" width="9.42578125" style="624" customWidth="1"/>
    <col min="14702" max="14702" width="8.85546875" style="624" customWidth="1"/>
    <col min="14703" max="14703" width="12" style="624" customWidth="1"/>
    <col min="14704" max="14704" width="11.140625" style="624" customWidth="1"/>
    <col min="14705" max="14705" width="28.7109375" style="624" customWidth="1"/>
    <col min="14706" max="14706" width="5.85546875" style="624" customWidth="1"/>
    <col min="14707" max="14856" width="9.140625" style="624"/>
    <col min="14857" max="14857" width="3.42578125" style="624" customWidth="1"/>
    <col min="14858" max="14858" width="27.85546875" style="624" customWidth="1"/>
    <col min="14859" max="14859" width="11.85546875" style="624" customWidth="1"/>
    <col min="14860" max="14860" width="15.140625" style="624" customWidth="1"/>
    <col min="14861" max="14861" width="10.28515625" style="624" customWidth="1"/>
    <col min="14862" max="14863" width="9.7109375" style="624" customWidth="1"/>
    <col min="14864" max="14864" width="10.42578125" style="624" customWidth="1"/>
    <col min="14865" max="14865" width="10.42578125" style="624" bestFit="1" customWidth="1"/>
    <col min="14866" max="14866" width="16.28515625" style="624" customWidth="1"/>
    <col min="14867" max="14867" width="15.140625" style="624" customWidth="1"/>
    <col min="14868" max="14868" width="13.5703125" style="624" customWidth="1"/>
    <col min="14869" max="14869" width="10.5703125" style="624" customWidth="1"/>
    <col min="14870" max="14870" width="10.85546875" style="624" customWidth="1"/>
    <col min="14871" max="14871" width="18" style="624" customWidth="1"/>
    <col min="14872" max="14872" width="20.85546875" style="624" customWidth="1"/>
    <col min="14873" max="14873" width="13.5703125" style="624" customWidth="1"/>
    <col min="14874" max="14874" width="14.140625" style="624" customWidth="1"/>
    <col min="14875" max="14877" width="8.85546875" style="624" customWidth="1"/>
    <col min="14878" max="14878" width="9.28515625" style="624" customWidth="1"/>
    <col min="14879" max="14879" width="14" style="624" customWidth="1"/>
    <col min="14880" max="14881" width="8.85546875" style="624" customWidth="1"/>
    <col min="14882" max="14882" width="10.140625" style="624" customWidth="1"/>
    <col min="14883" max="14884" width="9.5703125" style="624" customWidth="1"/>
    <col min="14885" max="14885" width="9.85546875" style="624" customWidth="1"/>
    <col min="14886" max="14887" width="10.140625" style="624" customWidth="1"/>
    <col min="14888" max="14890" width="9.28515625" style="624" customWidth="1"/>
    <col min="14891" max="14891" width="9.85546875" style="624" customWidth="1"/>
    <col min="14892" max="14893" width="8.5703125" style="624" customWidth="1"/>
    <col min="14894" max="14896" width="8.85546875" style="624" customWidth="1"/>
    <col min="14897" max="14897" width="9.28515625" style="624" customWidth="1"/>
    <col min="14898" max="14899" width="8.85546875" style="624" customWidth="1"/>
    <col min="14900" max="14900" width="10" style="624" customWidth="1"/>
    <col min="14901" max="14902" width="8.85546875" style="624" customWidth="1"/>
    <col min="14903" max="14903" width="11" style="624" customWidth="1"/>
    <col min="14904" max="14905" width="9.5703125" style="624" customWidth="1"/>
    <col min="14906" max="14908" width="8.85546875" style="624" customWidth="1"/>
    <col min="14909" max="14909" width="10.42578125" style="624" customWidth="1"/>
    <col min="14910" max="14911" width="8.85546875" style="624" customWidth="1"/>
    <col min="14912" max="14912" width="9.7109375" style="624" customWidth="1"/>
    <col min="14913" max="14914" width="8.85546875" style="624" customWidth="1"/>
    <col min="14915" max="14915" width="9.28515625" style="624" customWidth="1"/>
    <col min="14916" max="14936" width="8.85546875" style="624" customWidth="1"/>
    <col min="14937" max="14937" width="9.85546875" style="624" customWidth="1"/>
    <col min="14938" max="14938" width="8.85546875" style="624" customWidth="1"/>
    <col min="14939" max="14939" width="10" style="624" customWidth="1"/>
    <col min="14940" max="14956" width="8.85546875" style="624" customWidth="1"/>
    <col min="14957" max="14957" width="9.42578125" style="624" customWidth="1"/>
    <col min="14958" max="14958" width="8.85546875" style="624" customWidth="1"/>
    <col min="14959" max="14959" width="12" style="624" customWidth="1"/>
    <col min="14960" max="14960" width="11.140625" style="624" customWidth="1"/>
    <col min="14961" max="14961" width="28.7109375" style="624" customWidth="1"/>
    <col min="14962" max="14962" width="5.85546875" style="624" customWidth="1"/>
    <col min="14963" max="15112" width="9.140625" style="624"/>
    <col min="15113" max="15113" width="3.42578125" style="624" customWidth="1"/>
    <col min="15114" max="15114" width="27.85546875" style="624" customWidth="1"/>
    <col min="15115" max="15115" width="11.85546875" style="624" customWidth="1"/>
    <col min="15116" max="15116" width="15.140625" style="624" customWidth="1"/>
    <col min="15117" max="15117" width="10.28515625" style="624" customWidth="1"/>
    <col min="15118" max="15119" width="9.7109375" style="624" customWidth="1"/>
    <col min="15120" max="15120" width="10.42578125" style="624" customWidth="1"/>
    <col min="15121" max="15121" width="10.42578125" style="624" bestFit="1" customWidth="1"/>
    <col min="15122" max="15122" width="16.28515625" style="624" customWidth="1"/>
    <col min="15123" max="15123" width="15.140625" style="624" customWidth="1"/>
    <col min="15124" max="15124" width="13.5703125" style="624" customWidth="1"/>
    <col min="15125" max="15125" width="10.5703125" style="624" customWidth="1"/>
    <col min="15126" max="15126" width="10.85546875" style="624" customWidth="1"/>
    <col min="15127" max="15127" width="18" style="624" customWidth="1"/>
    <col min="15128" max="15128" width="20.85546875" style="624" customWidth="1"/>
    <col min="15129" max="15129" width="13.5703125" style="624" customWidth="1"/>
    <col min="15130" max="15130" width="14.140625" style="624" customWidth="1"/>
    <col min="15131" max="15133" width="8.85546875" style="624" customWidth="1"/>
    <col min="15134" max="15134" width="9.28515625" style="624" customWidth="1"/>
    <col min="15135" max="15135" width="14" style="624" customWidth="1"/>
    <col min="15136" max="15137" width="8.85546875" style="624" customWidth="1"/>
    <col min="15138" max="15138" width="10.140625" style="624" customWidth="1"/>
    <col min="15139" max="15140" width="9.5703125" style="624" customWidth="1"/>
    <col min="15141" max="15141" width="9.85546875" style="624" customWidth="1"/>
    <col min="15142" max="15143" width="10.140625" style="624" customWidth="1"/>
    <col min="15144" max="15146" width="9.28515625" style="624" customWidth="1"/>
    <col min="15147" max="15147" width="9.85546875" style="624" customWidth="1"/>
    <col min="15148" max="15149" width="8.5703125" style="624" customWidth="1"/>
    <col min="15150" max="15152" width="8.85546875" style="624" customWidth="1"/>
    <col min="15153" max="15153" width="9.28515625" style="624" customWidth="1"/>
    <col min="15154" max="15155" width="8.85546875" style="624" customWidth="1"/>
    <col min="15156" max="15156" width="10" style="624" customWidth="1"/>
    <col min="15157" max="15158" width="8.85546875" style="624" customWidth="1"/>
    <col min="15159" max="15159" width="11" style="624" customWidth="1"/>
    <col min="15160" max="15161" width="9.5703125" style="624" customWidth="1"/>
    <col min="15162" max="15164" width="8.85546875" style="624" customWidth="1"/>
    <col min="15165" max="15165" width="10.42578125" style="624" customWidth="1"/>
    <col min="15166" max="15167" width="8.85546875" style="624" customWidth="1"/>
    <col min="15168" max="15168" width="9.7109375" style="624" customWidth="1"/>
    <col min="15169" max="15170" width="8.85546875" style="624" customWidth="1"/>
    <col min="15171" max="15171" width="9.28515625" style="624" customWidth="1"/>
    <col min="15172" max="15192" width="8.85546875" style="624" customWidth="1"/>
    <col min="15193" max="15193" width="9.85546875" style="624" customWidth="1"/>
    <col min="15194" max="15194" width="8.85546875" style="624" customWidth="1"/>
    <col min="15195" max="15195" width="10" style="624" customWidth="1"/>
    <col min="15196" max="15212" width="8.85546875" style="624" customWidth="1"/>
    <col min="15213" max="15213" width="9.42578125" style="624" customWidth="1"/>
    <col min="15214" max="15214" width="8.85546875" style="624" customWidth="1"/>
    <col min="15215" max="15215" width="12" style="624" customWidth="1"/>
    <col min="15216" max="15216" width="11.140625" style="624" customWidth="1"/>
    <col min="15217" max="15217" width="28.7109375" style="624" customWidth="1"/>
    <col min="15218" max="15218" width="5.85546875" style="624" customWidth="1"/>
    <col min="15219" max="15368" width="9.140625" style="624"/>
    <col min="15369" max="15369" width="3.42578125" style="624" customWidth="1"/>
    <col min="15370" max="15370" width="27.85546875" style="624" customWidth="1"/>
    <col min="15371" max="15371" width="11.85546875" style="624" customWidth="1"/>
    <col min="15372" max="15372" width="15.140625" style="624" customWidth="1"/>
    <col min="15373" max="15373" width="10.28515625" style="624" customWidth="1"/>
    <col min="15374" max="15375" width="9.7109375" style="624" customWidth="1"/>
    <col min="15376" max="15376" width="10.42578125" style="624" customWidth="1"/>
    <col min="15377" max="15377" width="10.42578125" style="624" bestFit="1" customWidth="1"/>
    <col min="15378" max="15378" width="16.28515625" style="624" customWidth="1"/>
    <col min="15379" max="15379" width="15.140625" style="624" customWidth="1"/>
    <col min="15380" max="15380" width="13.5703125" style="624" customWidth="1"/>
    <col min="15381" max="15381" width="10.5703125" style="624" customWidth="1"/>
    <col min="15382" max="15382" width="10.85546875" style="624" customWidth="1"/>
    <col min="15383" max="15383" width="18" style="624" customWidth="1"/>
    <col min="15384" max="15384" width="20.85546875" style="624" customWidth="1"/>
    <col min="15385" max="15385" width="13.5703125" style="624" customWidth="1"/>
    <col min="15386" max="15386" width="14.140625" style="624" customWidth="1"/>
    <col min="15387" max="15389" width="8.85546875" style="624" customWidth="1"/>
    <col min="15390" max="15390" width="9.28515625" style="624" customWidth="1"/>
    <col min="15391" max="15391" width="14" style="624" customWidth="1"/>
    <col min="15392" max="15393" width="8.85546875" style="624" customWidth="1"/>
    <col min="15394" max="15394" width="10.140625" style="624" customWidth="1"/>
    <col min="15395" max="15396" width="9.5703125" style="624" customWidth="1"/>
    <col min="15397" max="15397" width="9.85546875" style="624" customWidth="1"/>
    <col min="15398" max="15399" width="10.140625" style="624" customWidth="1"/>
    <col min="15400" max="15402" width="9.28515625" style="624" customWidth="1"/>
    <col min="15403" max="15403" width="9.85546875" style="624" customWidth="1"/>
    <col min="15404" max="15405" width="8.5703125" style="624" customWidth="1"/>
    <col min="15406" max="15408" width="8.85546875" style="624" customWidth="1"/>
    <col min="15409" max="15409" width="9.28515625" style="624" customWidth="1"/>
    <col min="15410" max="15411" width="8.85546875" style="624" customWidth="1"/>
    <col min="15412" max="15412" width="10" style="624" customWidth="1"/>
    <col min="15413" max="15414" width="8.85546875" style="624" customWidth="1"/>
    <col min="15415" max="15415" width="11" style="624" customWidth="1"/>
    <col min="15416" max="15417" width="9.5703125" style="624" customWidth="1"/>
    <col min="15418" max="15420" width="8.85546875" style="624" customWidth="1"/>
    <col min="15421" max="15421" width="10.42578125" style="624" customWidth="1"/>
    <col min="15422" max="15423" width="8.85546875" style="624" customWidth="1"/>
    <col min="15424" max="15424" width="9.7109375" style="624" customWidth="1"/>
    <col min="15425" max="15426" width="8.85546875" style="624" customWidth="1"/>
    <col min="15427" max="15427" width="9.28515625" style="624" customWidth="1"/>
    <col min="15428" max="15448" width="8.85546875" style="624" customWidth="1"/>
    <col min="15449" max="15449" width="9.85546875" style="624" customWidth="1"/>
    <col min="15450" max="15450" width="8.85546875" style="624" customWidth="1"/>
    <col min="15451" max="15451" width="10" style="624" customWidth="1"/>
    <col min="15452" max="15468" width="8.85546875" style="624" customWidth="1"/>
    <col min="15469" max="15469" width="9.42578125" style="624" customWidth="1"/>
    <col min="15470" max="15470" width="8.85546875" style="624" customWidth="1"/>
    <col min="15471" max="15471" width="12" style="624" customWidth="1"/>
    <col min="15472" max="15472" width="11.140625" style="624" customWidth="1"/>
    <col min="15473" max="15473" width="28.7109375" style="624" customWidth="1"/>
    <col min="15474" max="15474" width="5.85546875" style="624" customWidth="1"/>
    <col min="15475" max="15624" width="9.140625" style="624"/>
    <col min="15625" max="15625" width="3.42578125" style="624" customWidth="1"/>
    <col min="15626" max="15626" width="27.85546875" style="624" customWidth="1"/>
    <col min="15627" max="15627" width="11.85546875" style="624" customWidth="1"/>
    <col min="15628" max="15628" width="15.140625" style="624" customWidth="1"/>
    <col min="15629" max="15629" width="10.28515625" style="624" customWidth="1"/>
    <col min="15630" max="15631" width="9.7109375" style="624" customWidth="1"/>
    <col min="15632" max="15632" width="10.42578125" style="624" customWidth="1"/>
    <col min="15633" max="15633" width="10.42578125" style="624" bestFit="1" customWidth="1"/>
    <col min="15634" max="15634" width="16.28515625" style="624" customWidth="1"/>
    <col min="15635" max="15635" width="15.140625" style="624" customWidth="1"/>
    <col min="15636" max="15636" width="13.5703125" style="624" customWidth="1"/>
    <col min="15637" max="15637" width="10.5703125" style="624" customWidth="1"/>
    <col min="15638" max="15638" width="10.85546875" style="624" customWidth="1"/>
    <col min="15639" max="15639" width="18" style="624" customWidth="1"/>
    <col min="15640" max="15640" width="20.85546875" style="624" customWidth="1"/>
    <col min="15641" max="15641" width="13.5703125" style="624" customWidth="1"/>
    <col min="15642" max="15642" width="14.140625" style="624" customWidth="1"/>
    <col min="15643" max="15645" width="8.85546875" style="624" customWidth="1"/>
    <col min="15646" max="15646" width="9.28515625" style="624" customWidth="1"/>
    <col min="15647" max="15647" width="14" style="624" customWidth="1"/>
    <col min="15648" max="15649" width="8.85546875" style="624" customWidth="1"/>
    <col min="15650" max="15650" width="10.140625" style="624" customWidth="1"/>
    <col min="15651" max="15652" width="9.5703125" style="624" customWidth="1"/>
    <col min="15653" max="15653" width="9.85546875" style="624" customWidth="1"/>
    <col min="15654" max="15655" width="10.140625" style="624" customWidth="1"/>
    <col min="15656" max="15658" width="9.28515625" style="624" customWidth="1"/>
    <col min="15659" max="15659" width="9.85546875" style="624" customWidth="1"/>
    <col min="15660" max="15661" width="8.5703125" style="624" customWidth="1"/>
    <col min="15662" max="15664" width="8.85546875" style="624" customWidth="1"/>
    <col min="15665" max="15665" width="9.28515625" style="624" customWidth="1"/>
    <col min="15666" max="15667" width="8.85546875" style="624" customWidth="1"/>
    <col min="15668" max="15668" width="10" style="624" customWidth="1"/>
    <col min="15669" max="15670" width="8.85546875" style="624" customWidth="1"/>
    <col min="15671" max="15671" width="11" style="624" customWidth="1"/>
    <col min="15672" max="15673" width="9.5703125" style="624" customWidth="1"/>
    <col min="15674" max="15676" width="8.85546875" style="624" customWidth="1"/>
    <col min="15677" max="15677" width="10.42578125" style="624" customWidth="1"/>
    <col min="15678" max="15679" width="8.85546875" style="624" customWidth="1"/>
    <col min="15680" max="15680" width="9.7109375" style="624" customWidth="1"/>
    <col min="15681" max="15682" width="8.85546875" style="624" customWidth="1"/>
    <col min="15683" max="15683" width="9.28515625" style="624" customWidth="1"/>
    <col min="15684" max="15704" width="8.85546875" style="624" customWidth="1"/>
    <col min="15705" max="15705" width="9.85546875" style="624" customWidth="1"/>
    <col min="15706" max="15706" width="8.85546875" style="624" customWidth="1"/>
    <col min="15707" max="15707" width="10" style="624" customWidth="1"/>
    <col min="15708" max="15724" width="8.85546875" style="624" customWidth="1"/>
    <col min="15725" max="15725" width="9.42578125" style="624" customWidth="1"/>
    <col min="15726" max="15726" width="8.85546875" style="624" customWidth="1"/>
    <col min="15727" max="15727" width="12" style="624" customWidth="1"/>
    <col min="15728" max="15728" width="11.140625" style="624" customWidth="1"/>
    <col min="15729" max="15729" width="28.7109375" style="624" customWidth="1"/>
    <col min="15730" max="15730" width="5.85546875" style="624" customWidth="1"/>
    <col min="15731" max="15880" width="9.140625" style="624"/>
    <col min="15881" max="15881" width="3.42578125" style="624" customWidth="1"/>
    <col min="15882" max="15882" width="27.85546875" style="624" customWidth="1"/>
    <col min="15883" max="15883" width="11.85546875" style="624" customWidth="1"/>
    <col min="15884" max="15884" width="15.140625" style="624" customWidth="1"/>
    <col min="15885" max="15885" width="10.28515625" style="624" customWidth="1"/>
    <col min="15886" max="15887" width="9.7109375" style="624" customWidth="1"/>
    <col min="15888" max="15888" width="10.42578125" style="624" customWidth="1"/>
    <col min="15889" max="15889" width="10.42578125" style="624" bestFit="1" customWidth="1"/>
    <col min="15890" max="15890" width="16.28515625" style="624" customWidth="1"/>
    <col min="15891" max="15891" width="15.140625" style="624" customWidth="1"/>
    <col min="15892" max="15892" width="13.5703125" style="624" customWidth="1"/>
    <col min="15893" max="15893" width="10.5703125" style="624" customWidth="1"/>
    <col min="15894" max="15894" width="10.85546875" style="624" customWidth="1"/>
    <col min="15895" max="15895" width="18" style="624" customWidth="1"/>
    <col min="15896" max="15896" width="20.85546875" style="624" customWidth="1"/>
    <col min="15897" max="15897" width="13.5703125" style="624" customWidth="1"/>
    <col min="15898" max="15898" width="14.140625" style="624" customWidth="1"/>
    <col min="15899" max="15901" width="8.85546875" style="624" customWidth="1"/>
    <col min="15902" max="15902" width="9.28515625" style="624" customWidth="1"/>
    <col min="15903" max="15903" width="14" style="624" customWidth="1"/>
    <col min="15904" max="15905" width="8.85546875" style="624" customWidth="1"/>
    <col min="15906" max="15906" width="10.140625" style="624" customWidth="1"/>
    <col min="15907" max="15908" width="9.5703125" style="624" customWidth="1"/>
    <col min="15909" max="15909" width="9.85546875" style="624" customWidth="1"/>
    <col min="15910" max="15911" width="10.140625" style="624" customWidth="1"/>
    <col min="15912" max="15914" width="9.28515625" style="624" customWidth="1"/>
    <col min="15915" max="15915" width="9.85546875" style="624" customWidth="1"/>
    <col min="15916" max="15917" width="8.5703125" style="624" customWidth="1"/>
    <col min="15918" max="15920" width="8.85546875" style="624" customWidth="1"/>
    <col min="15921" max="15921" width="9.28515625" style="624" customWidth="1"/>
    <col min="15922" max="15923" width="8.85546875" style="624" customWidth="1"/>
    <col min="15924" max="15924" width="10" style="624" customWidth="1"/>
    <col min="15925" max="15926" width="8.85546875" style="624" customWidth="1"/>
    <col min="15927" max="15927" width="11" style="624" customWidth="1"/>
    <col min="15928" max="15929" width="9.5703125" style="624" customWidth="1"/>
    <col min="15930" max="15932" width="8.85546875" style="624" customWidth="1"/>
    <col min="15933" max="15933" width="10.42578125" style="624" customWidth="1"/>
    <col min="15934" max="15935" width="8.85546875" style="624" customWidth="1"/>
    <col min="15936" max="15936" width="9.7109375" style="624" customWidth="1"/>
    <col min="15937" max="15938" width="8.85546875" style="624" customWidth="1"/>
    <col min="15939" max="15939" width="9.28515625" style="624" customWidth="1"/>
    <col min="15940" max="15960" width="8.85546875" style="624" customWidth="1"/>
    <col min="15961" max="15961" width="9.85546875" style="624" customWidth="1"/>
    <col min="15962" max="15962" width="8.85546875" style="624" customWidth="1"/>
    <col min="15963" max="15963" width="10" style="624" customWidth="1"/>
    <col min="15964" max="15980" width="8.85546875" style="624" customWidth="1"/>
    <col min="15981" max="15981" width="9.42578125" style="624" customWidth="1"/>
    <col min="15982" max="15982" width="8.85546875" style="624" customWidth="1"/>
    <col min="15983" max="15983" width="12" style="624" customWidth="1"/>
    <col min="15984" max="15984" width="11.140625" style="624" customWidth="1"/>
    <col min="15985" max="15985" width="28.7109375" style="624" customWidth="1"/>
    <col min="15986" max="15986" width="5.85546875" style="624" customWidth="1"/>
    <col min="15987" max="16136" width="9.140625" style="624"/>
    <col min="16137" max="16137" width="3.42578125" style="624" customWidth="1"/>
    <col min="16138" max="16138" width="27.85546875" style="624" customWidth="1"/>
    <col min="16139" max="16139" width="11.85546875" style="624" customWidth="1"/>
    <col min="16140" max="16140" width="15.140625" style="624" customWidth="1"/>
    <col min="16141" max="16141" width="10.28515625" style="624" customWidth="1"/>
    <col min="16142" max="16143" width="9.7109375" style="624" customWidth="1"/>
    <col min="16144" max="16144" width="10.42578125" style="624" customWidth="1"/>
    <col min="16145" max="16145" width="10.42578125" style="624" bestFit="1" customWidth="1"/>
    <col min="16146" max="16146" width="16.28515625" style="624" customWidth="1"/>
    <col min="16147" max="16147" width="15.140625" style="624" customWidth="1"/>
    <col min="16148" max="16148" width="13.5703125" style="624" customWidth="1"/>
    <col min="16149" max="16149" width="10.5703125" style="624" customWidth="1"/>
    <col min="16150" max="16150" width="10.85546875" style="624" customWidth="1"/>
    <col min="16151" max="16151" width="18" style="624" customWidth="1"/>
    <col min="16152" max="16152" width="20.85546875" style="624" customWidth="1"/>
    <col min="16153" max="16153" width="13.5703125" style="624" customWidth="1"/>
    <col min="16154" max="16154" width="14.140625" style="624" customWidth="1"/>
    <col min="16155" max="16157" width="8.85546875" style="624" customWidth="1"/>
    <col min="16158" max="16158" width="9.28515625" style="624" customWidth="1"/>
    <col min="16159" max="16159" width="14" style="624" customWidth="1"/>
    <col min="16160" max="16161" width="8.85546875" style="624" customWidth="1"/>
    <col min="16162" max="16162" width="10.140625" style="624" customWidth="1"/>
    <col min="16163" max="16164" width="9.5703125" style="624" customWidth="1"/>
    <col min="16165" max="16165" width="9.85546875" style="624" customWidth="1"/>
    <col min="16166" max="16167" width="10.140625" style="624" customWidth="1"/>
    <col min="16168" max="16170" width="9.28515625" style="624" customWidth="1"/>
    <col min="16171" max="16171" width="9.85546875" style="624" customWidth="1"/>
    <col min="16172" max="16173" width="8.5703125" style="624" customWidth="1"/>
    <col min="16174" max="16176" width="8.85546875" style="624" customWidth="1"/>
    <col min="16177" max="16177" width="9.28515625" style="624" customWidth="1"/>
    <col min="16178" max="16179" width="8.85546875" style="624" customWidth="1"/>
    <col min="16180" max="16180" width="10" style="624" customWidth="1"/>
    <col min="16181" max="16182" width="8.85546875" style="624" customWidth="1"/>
    <col min="16183" max="16183" width="11" style="624" customWidth="1"/>
    <col min="16184" max="16185" width="9.5703125" style="624" customWidth="1"/>
    <col min="16186" max="16188" width="8.85546875" style="624" customWidth="1"/>
    <col min="16189" max="16189" width="10.42578125" style="624" customWidth="1"/>
    <col min="16190" max="16191" width="8.85546875" style="624" customWidth="1"/>
    <col min="16192" max="16192" width="9.7109375" style="624" customWidth="1"/>
    <col min="16193" max="16194" width="8.85546875" style="624" customWidth="1"/>
    <col min="16195" max="16195" width="9.28515625" style="624" customWidth="1"/>
    <col min="16196" max="16216" width="8.85546875" style="624" customWidth="1"/>
    <col min="16217" max="16217" width="9.85546875" style="624" customWidth="1"/>
    <col min="16218" max="16218" width="8.85546875" style="624" customWidth="1"/>
    <col min="16219" max="16219" width="10" style="624" customWidth="1"/>
    <col min="16220" max="16236" width="8.85546875" style="624" customWidth="1"/>
    <col min="16237" max="16237" width="9.42578125" style="624" customWidth="1"/>
    <col min="16238" max="16238" width="8.85546875" style="624" customWidth="1"/>
    <col min="16239" max="16239" width="12" style="624" customWidth="1"/>
    <col min="16240" max="16240" width="11.140625" style="624" customWidth="1"/>
    <col min="16241" max="16241" width="28.7109375" style="624" customWidth="1"/>
    <col min="16242" max="16242" width="5.85546875" style="624" customWidth="1"/>
    <col min="16243" max="16384" width="9.140625" style="624"/>
  </cols>
  <sheetData>
    <row r="1" spans="1:114" ht="28.5" customHeight="1">
      <c r="A1" s="630" t="s">
        <v>23</v>
      </c>
      <c r="B1" s="585" t="s">
        <v>0</v>
      </c>
      <c r="C1" s="585" t="s">
        <v>29</v>
      </c>
      <c r="D1" s="585" t="s">
        <v>30</v>
      </c>
      <c r="E1" s="585" t="s">
        <v>24</v>
      </c>
      <c r="F1" s="585"/>
      <c r="G1" s="585"/>
      <c r="H1" s="585"/>
      <c r="I1" s="585"/>
      <c r="J1" s="585"/>
      <c r="K1" s="585"/>
      <c r="L1" s="585" t="s">
        <v>25</v>
      </c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 t="s">
        <v>26</v>
      </c>
      <c r="X1" s="631"/>
      <c r="Y1" s="585" t="s">
        <v>27</v>
      </c>
      <c r="Z1" s="631"/>
      <c r="AA1" s="109"/>
      <c r="AB1" s="109"/>
      <c r="AC1" s="585" t="s">
        <v>28</v>
      </c>
      <c r="AD1" s="631"/>
      <c r="AE1" s="109"/>
      <c r="AF1" s="109"/>
      <c r="AG1" s="109"/>
      <c r="AH1" s="573"/>
      <c r="AI1" s="632"/>
      <c r="AJ1" s="633" t="s">
        <v>74</v>
      </c>
    </row>
    <row r="2" spans="1:114" ht="0.75" customHeight="1" thickBot="1">
      <c r="A2" s="634"/>
      <c r="B2" s="635"/>
      <c r="C2" s="636"/>
      <c r="D2" s="636"/>
      <c r="E2" s="636"/>
      <c r="F2" s="636"/>
      <c r="G2" s="636"/>
      <c r="H2" s="636"/>
      <c r="I2" s="636"/>
      <c r="J2" s="636"/>
      <c r="K2" s="636"/>
      <c r="L2" s="636" t="s">
        <v>1</v>
      </c>
      <c r="M2" s="636"/>
      <c r="N2" s="636"/>
      <c r="O2" s="636" t="s">
        <v>2</v>
      </c>
      <c r="P2" s="636" t="s">
        <v>33</v>
      </c>
      <c r="Q2" s="636" t="s">
        <v>34</v>
      </c>
      <c r="R2" s="636" t="s">
        <v>35</v>
      </c>
      <c r="S2" s="636" t="s">
        <v>36</v>
      </c>
      <c r="T2" s="636" t="s">
        <v>37</v>
      </c>
      <c r="U2" s="636" t="s">
        <v>38</v>
      </c>
      <c r="V2" s="636" t="s">
        <v>39</v>
      </c>
      <c r="W2" s="635"/>
      <c r="X2" s="635"/>
      <c r="Y2" s="635"/>
      <c r="Z2" s="635"/>
      <c r="AA2" s="637"/>
      <c r="AB2" s="637"/>
      <c r="AC2" s="635"/>
      <c r="AD2" s="635"/>
      <c r="AE2" s="637"/>
      <c r="AF2" s="637"/>
      <c r="AG2" s="637"/>
      <c r="AH2" s="638"/>
      <c r="AI2" s="639"/>
      <c r="AJ2" s="640"/>
    </row>
    <row r="3" spans="1:114" ht="45.75" hidden="1" customHeight="1" thickBot="1">
      <c r="A3" s="634"/>
      <c r="B3" s="635"/>
      <c r="C3" s="636"/>
      <c r="D3" s="636"/>
      <c r="E3" s="636" t="s">
        <v>31</v>
      </c>
      <c r="F3" s="641"/>
      <c r="G3" s="636" t="s">
        <v>3</v>
      </c>
      <c r="H3" s="642"/>
      <c r="I3" s="636" t="s">
        <v>32</v>
      </c>
      <c r="J3" s="642"/>
      <c r="K3" s="636" t="s">
        <v>21</v>
      </c>
      <c r="L3" s="643" t="s">
        <v>3</v>
      </c>
      <c r="M3" s="643" t="s">
        <v>4</v>
      </c>
      <c r="N3" s="643" t="s">
        <v>22</v>
      </c>
      <c r="O3" s="636"/>
      <c r="P3" s="636"/>
      <c r="Q3" s="636"/>
      <c r="R3" s="636"/>
      <c r="S3" s="636"/>
      <c r="T3" s="636"/>
      <c r="U3" s="636"/>
      <c r="V3" s="636"/>
      <c r="W3" s="636" t="s">
        <v>40</v>
      </c>
      <c r="X3" s="636" t="s">
        <v>82</v>
      </c>
      <c r="Y3" s="636" t="s">
        <v>42</v>
      </c>
      <c r="Z3" s="636" t="s">
        <v>5</v>
      </c>
      <c r="AA3" s="636" t="s">
        <v>43</v>
      </c>
      <c r="AB3" s="636" t="s">
        <v>44</v>
      </c>
      <c r="AC3" s="636" t="s">
        <v>45</v>
      </c>
      <c r="AD3" s="636" t="s">
        <v>46</v>
      </c>
      <c r="AE3" s="637"/>
      <c r="AF3" s="637"/>
      <c r="AG3" s="636" t="s">
        <v>47</v>
      </c>
      <c r="AH3" s="644" t="s">
        <v>48</v>
      </c>
      <c r="AI3" s="645"/>
      <c r="AJ3" s="640"/>
    </row>
    <row r="4" spans="1:114" ht="111" hidden="1" customHeight="1" thickBot="1">
      <c r="A4" s="646"/>
      <c r="B4" s="647"/>
      <c r="C4" s="602"/>
      <c r="D4" s="602"/>
      <c r="E4" s="602"/>
      <c r="F4" s="614"/>
      <c r="G4" s="602"/>
      <c r="H4" s="615"/>
      <c r="I4" s="562"/>
      <c r="J4" s="620"/>
      <c r="K4" s="602"/>
      <c r="L4" s="648"/>
      <c r="M4" s="648"/>
      <c r="N4" s="648"/>
      <c r="O4" s="602"/>
      <c r="P4" s="602"/>
      <c r="Q4" s="602"/>
      <c r="R4" s="602"/>
      <c r="S4" s="602"/>
      <c r="T4" s="602"/>
      <c r="U4" s="602"/>
      <c r="V4" s="602"/>
      <c r="W4" s="602"/>
      <c r="X4" s="562"/>
      <c r="Y4" s="602"/>
      <c r="Z4" s="602"/>
      <c r="AA4" s="562"/>
      <c r="AB4" s="602"/>
      <c r="AC4" s="602"/>
      <c r="AD4" s="602" t="s">
        <v>49</v>
      </c>
      <c r="AE4" s="602" t="s">
        <v>50</v>
      </c>
      <c r="AF4" s="602" t="s">
        <v>51</v>
      </c>
      <c r="AG4" s="602"/>
      <c r="AH4" s="565"/>
      <c r="AI4" s="649"/>
      <c r="AJ4" s="650"/>
    </row>
    <row r="5" spans="1:114" s="559" customFormat="1" ht="15" thickBot="1">
      <c r="A5" s="551"/>
      <c r="B5" s="552"/>
      <c r="C5" s="553" t="s">
        <v>52</v>
      </c>
      <c r="D5" s="553" t="s">
        <v>53</v>
      </c>
      <c r="E5" s="553" t="s">
        <v>52</v>
      </c>
      <c r="F5" s="554"/>
      <c r="G5" s="553" t="s">
        <v>52</v>
      </c>
      <c r="H5" s="555"/>
      <c r="I5" s="553" t="s">
        <v>52</v>
      </c>
      <c r="J5" s="555"/>
      <c r="K5" s="553"/>
      <c r="L5" s="553" t="s">
        <v>52</v>
      </c>
      <c r="M5" s="553" t="s">
        <v>52</v>
      </c>
      <c r="N5" s="553"/>
      <c r="O5" s="553" t="s">
        <v>52</v>
      </c>
      <c r="P5" s="553" t="s">
        <v>52</v>
      </c>
      <c r="Q5" s="553" t="s">
        <v>54</v>
      </c>
      <c r="R5" s="553" t="s">
        <v>55</v>
      </c>
      <c r="S5" s="553" t="s">
        <v>55</v>
      </c>
      <c r="T5" s="553" t="s">
        <v>54</v>
      </c>
      <c r="U5" s="553" t="s">
        <v>54</v>
      </c>
      <c r="V5" s="553" t="s">
        <v>54</v>
      </c>
      <c r="W5" s="553" t="s">
        <v>54</v>
      </c>
      <c r="X5" s="553" t="s">
        <v>54</v>
      </c>
      <c r="Y5" s="553" t="s">
        <v>54</v>
      </c>
      <c r="Z5" s="553" t="s">
        <v>54</v>
      </c>
      <c r="AA5" s="553" t="s">
        <v>54</v>
      </c>
      <c r="AB5" s="553" t="s">
        <v>54</v>
      </c>
      <c r="AC5" s="553"/>
      <c r="AD5" s="553"/>
      <c r="AE5" s="553"/>
      <c r="AF5" s="553"/>
      <c r="AG5" s="553"/>
      <c r="AH5" s="556"/>
      <c r="AI5" s="557"/>
      <c r="AJ5" s="558"/>
      <c r="AK5" s="624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624"/>
      <c r="AY5" s="624"/>
      <c r="AZ5" s="624"/>
      <c r="BA5" s="624"/>
      <c r="BB5" s="624"/>
      <c r="BC5" s="624"/>
      <c r="BD5" s="624"/>
      <c r="BE5" s="624"/>
      <c r="BF5" s="624"/>
      <c r="BG5" s="624"/>
      <c r="BH5" s="624"/>
      <c r="BI5" s="624"/>
      <c r="BJ5" s="624"/>
      <c r="BK5" s="624"/>
      <c r="BL5" s="624"/>
      <c r="BM5" s="624"/>
      <c r="BN5" s="624"/>
      <c r="BO5" s="624"/>
      <c r="BP5" s="624"/>
      <c r="BQ5" s="624"/>
      <c r="BR5" s="624"/>
      <c r="BS5" s="624"/>
      <c r="BT5" s="624"/>
      <c r="BU5" s="624"/>
      <c r="BV5" s="624"/>
      <c r="BW5" s="624"/>
      <c r="BX5" s="624"/>
      <c r="BY5" s="624"/>
      <c r="BZ5" s="624"/>
      <c r="CA5" s="624"/>
      <c r="CB5" s="624"/>
      <c r="CC5" s="624"/>
      <c r="CD5" s="624"/>
      <c r="CE5" s="624"/>
      <c r="CF5" s="624"/>
      <c r="CG5" s="624"/>
      <c r="CH5" s="624"/>
      <c r="CI5" s="624"/>
      <c r="CJ5" s="624"/>
      <c r="CK5" s="624"/>
      <c r="CL5" s="624"/>
      <c r="CM5" s="624"/>
      <c r="CN5" s="624"/>
      <c r="CO5" s="624"/>
      <c r="CP5" s="624"/>
      <c r="CQ5" s="624"/>
      <c r="CR5" s="624"/>
      <c r="CS5" s="624"/>
      <c r="CT5" s="624"/>
      <c r="CU5" s="624"/>
      <c r="CV5" s="624"/>
      <c r="CW5" s="624"/>
      <c r="CX5" s="624"/>
      <c r="CY5" s="624"/>
      <c r="CZ5" s="624"/>
      <c r="DA5" s="624"/>
      <c r="DB5" s="624"/>
      <c r="DC5" s="624"/>
      <c r="DD5" s="624"/>
      <c r="DE5" s="624"/>
      <c r="DF5" s="624"/>
      <c r="DG5" s="624"/>
      <c r="DH5" s="624"/>
      <c r="DI5" s="624"/>
      <c r="DJ5" s="624"/>
    </row>
    <row r="6" spans="1:114" ht="19.5" thickBot="1">
      <c r="A6" s="89">
        <v>1</v>
      </c>
      <c r="B6" s="651" t="s">
        <v>7</v>
      </c>
      <c r="C6" s="91">
        <v>384</v>
      </c>
      <c r="D6" s="92">
        <v>1086589</v>
      </c>
      <c r="E6" s="91">
        <v>19</v>
      </c>
      <c r="F6" s="533">
        <f>E6/AI6*100</f>
        <v>4.6329033673892371E-2</v>
      </c>
      <c r="G6" s="93">
        <v>195</v>
      </c>
      <c r="H6" s="523">
        <f>G6/AI6*100</f>
        <v>0.47548218770573747</v>
      </c>
      <c r="I6" s="93">
        <v>153</v>
      </c>
      <c r="J6" s="523">
        <f>I6/AI6*100</f>
        <v>0.37307063958450171</v>
      </c>
      <c r="K6" s="91"/>
      <c r="L6" s="93">
        <v>5</v>
      </c>
      <c r="M6" s="91">
        <v>0</v>
      </c>
      <c r="N6" s="91"/>
      <c r="O6" s="91" t="s">
        <v>78</v>
      </c>
      <c r="P6" s="91"/>
      <c r="Q6" s="93">
        <v>71</v>
      </c>
      <c r="R6" s="91" t="s">
        <v>81</v>
      </c>
      <c r="S6" s="91" t="s">
        <v>81</v>
      </c>
      <c r="T6" s="91">
        <v>36.24</v>
      </c>
      <c r="U6" s="96">
        <f>26*100/C6</f>
        <v>6.770833333333333</v>
      </c>
      <c r="V6" s="91">
        <v>5.73</v>
      </c>
      <c r="W6" s="91"/>
      <c r="X6" s="94"/>
      <c r="Y6" s="96">
        <v>5.6</v>
      </c>
      <c r="Z6" s="96">
        <v>6</v>
      </c>
      <c r="AA6" s="96">
        <v>11.3</v>
      </c>
      <c r="AB6" s="96">
        <v>7</v>
      </c>
      <c r="AC6" s="97"/>
      <c r="AD6" s="91"/>
      <c r="AE6" s="91"/>
      <c r="AF6" s="98"/>
      <c r="AG6" s="91"/>
      <c r="AH6" s="94"/>
      <c r="AI6" s="265">
        <v>41011</v>
      </c>
      <c r="AJ6" s="560">
        <f>SUM(C7:AH7)</f>
        <v>39</v>
      </c>
    </row>
    <row r="7" spans="1:114" ht="15" customHeight="1" thickBot="1">
      <c r="A7" s="561"/>
      <c r="B7" s="652"/>
      <c r="C7" s="562"/>
      <c r="D7" s="117"/>
      <c r="E7" s="562"/>
      <c r="F7" s="563">
        <v>0</v>
      </c>
      <c r="G7" s="563"/>
      <c r="H7" s="563">
        <v>0</v>
      </c>
      <c r="I7" s="563"/>
      <c r="J7" s="563">
        <v>2</v>
      </c>
      <c r="K7" s="562"/>
      <c r="L7" s="563">
        <v>6</v>
      </c>
      <c r="M7" s="562">
        <v>10</v>
      </c>
      <c r="N7" s="562"/>
      <c r="O7" s="562">
        <v>7</v>
      </c>
      <c r="P7" s="562"/>
      <c r="Q7" s="563">
        <v>8</v>
      </c>
      <c r="R7" s="562">
        <v>0</v>
      </c>
      <c r="S7" s="562">
        <v>0</v>
      </c>
      <c r="T7" s="562">
        <v>6</v>
      </c>
      <c r="U7" s="564">
        <v>0</v>
      </c>
      <c r="V7" s="562">
        <v>0</v>
      </c>
      <c r="W7" s="562"/>
      <c r="X7" s="565"/>
      <c r="Y7" s="562"/>
      <c r="Z7" s="562"/>
      <c r="AA7" s="562"/>
      <c r="AB7" s="562"/>
      <c r="AC7" s="566"/>
      <c r="AD7" s="562"/>
      <c r="AE7" s="562"/>
      <c r="AF7" s="567"/>
      <c r="AG7" s="562"/>
      <c r="AH7" s="565"/>
      <c r="AI7" s="568"/>
      <c r="AJ7" s="569"/>
    </row>
    <row r="8" spans="1:114" ht="18.75">
      <c r="A8" s="570">
        <v>2</v>
      </c>
      <c r="B8" s="653" t="s">
        <v>6</v>
      </c>
      <c r="C8" s="109">
        <v>291</v>
      </c>
      <c r="D8" s="116">
        <v>674255</v>
      </c>
      <c r="E8" s="109">
        <v>3</v>
      </c>
      <c r="F8" s="533">
        <f t="shared" ref="F8" si="0">E8/AI8*100</f>
        <v>8.3733392877079378E-3</v>
      </c>
      <c r="G8" s="571">
        <v>43</v>
      </c>
      <c r="H8" s="523">
        <f t="shared" ref="H8" si="1">G8/AI8*100</f>
        <v>0.12001786312381378</v>
      </c>
      <c r="I8" s="571">
        <v>67</v>
      </c>
      <c r="J8" s="523">
        <f t="shared" ref="J8" si="2">I8/AI8*100</f>
        <v>0.18700457742547727</v>
      </c>
      <c r="K8" s="109"/>
      <c r="L8" s="571">
        <v>6</v>
      </c>
      <c r="M8" s="109">
        <v>0</v>
      </c>
      <c r="N8" s="109"/>
      <c r="O8" s="109">
        <v>0</v>
      </c>
      <c r="P8" s="109"/>
      <c r="Q8" s="571">
        <v>127</v>
      </c>
      <c r="R8" s="109" t="s">
        <v>81</v>
      </c>
      <c r="S8" s="109" t="s">
        <v>81</v>
      </c>
      <c r="T8" s="109">
        <v>50.23</v>
      </c>
      <c r="U8" s="572">
        <f>107*100/C8</f>
        <v>36.769759450171819</v>
      </c>
      <c r="V8" s="109">
        <v>0</v>
      </c>
      <c r="W8" s="109"/>
      <c r="X8" s="573"/>
      <c r="Y8" s="574">
        <v>19</v>
      </c>
      <c r="Z8" s="574">
        <v>16</v>
      </c>
      <c r="AA8" s="574">
        <v>20</v>
      </c>
      <c r="AB8" s="574">
        <v>40</v>
      </c>
      <c r="AC8" s="575"/>
      <c r="AD8" s="109"/>
      <c r="AE8" s="109"/>
      <c r="AF8" s="576"/>
      <c r="AG8" s="109"/>
      <c r="AH8" s="573"/>
      <c r="AI8" s="577">
        <v>35828</v>
      </c>
      <c r="AJ8" s="560">
        <f>SUM(C9:AH9)</f>
        <v>65.3</v>
      </c>
    </row>
    <row r="9" spans="1:114" ht="16.5" customHeight="1" thickBot="1">
      <c r="A9" s="561"/>
      <c r="B9" s="652"/>
      <c r="C9" s="562"/>
      <c r="D9" s="117"/>
      <c r="E9" s="562"/>
      <c r="F9" s="563">
        <v>8</v>
      </c>
      <c r="G9" s="563"/>
      <c r="H9" s="563">
        <f>7</f>
        <v>7</v>
      </c>
      <c r="I9" s="563"/>
      <c r="J9" s="563">
        <v>6</v>
      </c>
      <c r="K9" s="562">
        <v>-0.7</v>
      </c>
      <c r="L9" s="563">
        <v>5</v>
      </c>
      <c r="M9" s="562">
        <v>10</v>
      </c>
      <c r="N9" s="562"/>
      <c r="O9" s="562">
        <v>10</v>
      </c>
      <c r="P9" s="562"/>
      <c r="Q9" s="563">
        <v>10</v>
      </c>
      <c r="R9" s="562">
        <v>0</v>
      </c>
      <c r="S9" s="562">
        <v>0</v>
      </c>
      <c r="T9" s="562">
        <v>6</v>
      </c>
      <c r="U9" s="564">
        <v>4</v>
      </c>
      <c r="V9" s="562">
        <v>0</v>
      </c>
      <c r="W9" s="562"/>
      <c r="X9" s="565"/>
      <c r="Y9" s="562"/>
      <c r="Z9" s="562"/>
      <c r="AA9" s="562"/>
      <c r="AB9" s="562"/>
      <c r="AC9" s="566"/>
      <c r="AD9" s="562"/>
      <c r="AE9" s="562"/>
      <c r="AF9" s="567"/>
      <c r="AG9" s="562"/>
      <c r="AH9" s="565"/>
      <c r="AI9" s="578"/>
      <c r="AJ9" s="541"/>
    </row>
    <row r="10" spans="1:114" ht="19.5" thickBot="1">
      <c r="A10" s="570">
        <v>3</v>
      </c>
      <c r="B10" s="653" t="s">
        <v>56</v>
      </c>
      <c r="C10" s="579">
        <v>526</v>
      </c>
      <c r="D10" s="200">
        <v>1269182</v>
      </c>
      <c r="E10" s="571">
        <v>17</v>
      </c>
      <c r="F10" s="533">
        <f t="shared" ref="F10" si="3">E10/AI10*100</f>
        <v>2.6339437885407952E-2</v>
      </c>
      <c r="G10" s="571">
        <v>341</v>
      </c>
      <c r="H10" s="523">
        <f t="shared" ref="H10" si="4">G10/AI10*100</f>
        <v>0.52833813640730065</v>
      </c>
      <c r="I10" s="571">
        <v>221</v>
      </c>
      <c r="J10" s="523">
        <f t="shared" ref="J10" si="5">I10/AI10*100</f>
        <v>0.34241269251030337</v>
      </c>
      <c r="K10" s="200"/>
      <c r="L10" s="571">
        <v>73</v>
      </c>
      <c r="M10" s="116">
        <v>0</v>
      </c>
      <c r="N10" s="116"/>
      <c r="O10" s="200">
        <v>0</v>
      </c>
      <c r="P10" s="200"/>
      <c r="Q10" s="571">
        <v>141</v>
      </c>
      <c r="R10" s="200" t="s">
        <v>81</v>
      </c>
      <c r="S10" s="200" t="s">
        <v>81</v>
      </c>
      <c r="T10" s="200">
        <v>14.82</v>
      </c>
      <c r="U10" s="572">
        <f>10*100/C10</f>
        <v>1.9011406844106464</v>
      </c>
      <c r="V10" s="200">
        <v>0</v>
      </c>
      <c r="W10" s="200"/>
      <c r="X10" s="580"/>
      <c r="Y10" s="574">
        <v>32.619999999999997</v>
      </c>
      <c r="Z10" s="574">
        <v>49.36</v>
      </c>
      <c r="AA10" s="574">
        <v>50.65</v>
      </c>
      <c r="AB10" s="574">
        <v>64.510000000000005</v>
      </c>
      <c r="AC10" s="575"/>
      <c r="AD10" s="200"/>
      <c r="AE10" s="200"/>
      <c r="AF10" s="576"/>
      <c r="AG10" s="200"/>
      <c r="AH10" s="580"/>
      <c r="AI10" s="265">
        <v>64542</v>
      </c>
      <c r="AJ10" s="560">
        <f>SUM(C11:AH11)</f>
        <v>39</v>
      </c>
    </row>
    <row r="11" spans="1:114" ht="15.75" customHeight="1" thickBot="1">
      <c r="A11" s="561"/>
      <c r="B11" s="652"/>
      <c r="C11" s="581"/>
      <c r="D11" s="582"/>
      <c r="E11" s="563"/>
      <c r="F11" s="563">
        <v>4</v>
      </c>
      <c r="G11" s="563"/>
      <c r="H11" s="563">
        <v>0</v>
      </c>
      <c r="I11" s="563"/>
      <c r="J11" s="563">
        <v>3</v>
      </c>
      <c r="K11" s="582"/>
      <c r="L11" s="563">
        <v>0</v>
      </c>
      <c r="M11" s="117">
        <v>10</v>
      </c>
      <c r="N11" s="117"/>
      <c r="O11" s="582">
        <v>10</v>
      </c>
      <c r="P11" s="582"/>
      <c r="Q11" s="563">
        <v>10</v>
      </c>
      <c r="R11" s="582">
        <v>0</v>
      </c>
      <c r="S11" s="582">
        <v>0</v>
      </c>
      <c r="T11" s="582">
        <v>2</v>
      </c>
      <c r="U11" s="564">
        <v>0</v>
      </c>
      <c r="V11" s="582">
        <v>0</v>
      </c>
      <c r="W11" s="582"/>
      <c r="X11" s="583"/>
      <c r="Y11" s="562"/>
      <c r="Z11" s="582"/>
      <c r="AA11" s="582"/>
      <c r="AB11" s="582"/>
      <c r="AC11" s="584"/>
      <c r="AD11" s="582"/>
      <c r="AE11" s="582"/>
      <c r="AF11" s="567"/>
      <c r="AG11" s="582"/>
      <c r="AH11" s="583"/>
      <c r="AI11" s="568"/>
      <c r="AJ11" s="569"/>
    </row>
    <row r="12" spans="1:114" ht="19.5" thickBot="1">
      <c r="A12" s="570">
        <v>4</v>
      </c>
      <c r="B12" s="653" t="s">
        <v>8</v>
      </c>
      <c r="C12" s="579">
        <v>561</v>
      </c>
      <c r="D12" s="200">
        <v>1190658</v>
      </c>
      <c r="E12" s="571">
        <v>13</v>
      </c>
      <c r="F12" s="533">
        <f t="shared" ref="F12" si="6">E12/AI12*100</f>
        <v>2.2695530726256984E-2</v>
      </c>
      <c r="G12" s="571">
        <v>160</v>
      </c>
      <c r="H12" s="523">
        <f t="shared" ref="H12" si="7">G12/AI12*100</f>
        <v>0.27932960893854747</v>
      </c>
      <c r="I12" s="571">
        <v>99</v>
      </c>
      <c r="J12" s="523">
        <f t="shared" ref="J12" si="8">I12/AI12*100</f>
        <v>0.17283519553072624</v>
      </c>
      <c r="K12" s="201"/>
      <c r="L12" s="571">
        <v>10</v>
      </c>
      <c r="M12" s="118">
        <v>0</v>
      </c>
      <c r="N12" s="118"/>
      <c r="O12" s="109">
        <v>0</v>
      </c>
      <c r="P12" s="585"/>
      <c r="Q12" s="571">
        <v>179</v>
      </c>
      <c r="R12" s="200" t="s">
        <v>81</v>
      </c>
      <c r="S12" s="200" t="s">
        <v>81</v>
      </c>
      <c r="T12" s="200">
        <v>87.14</v>
      </c>
      <c r="U12" s="572">
        <f>23*100/C12</f>
        <v>4.0998217468805702</v>
      </c>
      <c r="V12" s="200">
        <v>16.22</v>
      </c>
      <c r="W12" s="109"/>
      <c r="X12" s="573"/>
      <c r="Y12" s="574">
        <v>7.3</v>
      </c>
      <c r="Z12" s="574">
        <v>6.8</v>
      </c>
      <c r="AA12" s="574">
        <v>6.8</v>
      </c>
      <c r="AB12" s="574">
        <v>59.3</v>
      </c>
      <c r="AC12" s="575"/>
      <c r="AD12" s="109"/>
      <c r="AE12" s="109"/>
      <c r="AF12" s="576"/>
      <c r="AG12" s="109"/>
      <c r="AH12" s="573"/>
      <c r="AI12" s="577">
        <v>57280</v>
      </c>
      <c r="AJ12" s="586">
        <f>SUM(C13:AH13)</f>
        <v>56.6</v>
      </c>
    </row>
    <row r="13" spans="1:114" s="655" customFormat="1" ht="19.5" thickBot="1">
      <c r="A13" s="587"/>
      <c r="B13" s="654"/>
      <c r="C13" s="588"/>
      <c r="D13" s="589"/>
      <c r="E13" s="590"/>
      <c r="F13" s="563">
        <v>5</v>
      </c>
      <c r="G13" s="590"/>
      <c r="H13" s="563">
        <v>4</v>
      </c>
      <c r="I13" s="590"/>
      <c r="J13" s="563">
        <v>6</v>
      </c>
      <c r="K13" s="589">
        <v>-0.4</v>
      </c>
      <c r="L13" s="590">
        <v>1</v>
      </c>
      <c r="M13" s="591">
        <v>10</v>
      </c>
      <c r="N13" s="591"/>
      <c r="O13" s="592">
        <v>10</v>
      </c>
      <c r="P13" s="592"/>
      <c r="Q13" s="590">
        <v>10</v>
      </c>
      <c r="R13" s="589">
        <v>0</v>
      </c>
      <c r="S13" s="589">
        <v>0</v>
      </c>
      <c r="T13" s="589">
        <v>9</v>
      </c>
      <c r="U13" s="593">
        <v>0</v>
      </c>
      <c r="V13" s="589">
        <v>2</v>
      </c>
      <c r="W13" s="592"/>
      <c r="X13" s="594"/>
      <c r="Y13" s="592"/>
      <c r="Z13" s="592"/>
      <c r="AA13" s="592"/>
      <c r="AB13" s="592"/>
      <c r="AC13" s="595"/>
      <c r="AD13" s="592"/>
      <c r="AE13" s="592"/>
      <c r="AF13" s="596"/>
      <c r="AG13" s="592"/>
      <c r="AH13" s="594"/>
      <c r="AI13" s="597"/>
      <c r="AJ13" s="541"/>
      <c r="AK13" s="624"/>
      <c r="AL13" s="624"/>
      <c r="AM13" s="624"/>
      <c r="AN13" s="624"/>
      <c r="AO13" s="624"/>
      <c r="AP13" s="624"/>
      <c r="AQ13" s="624"/>
      <c r="AR13" s="624"/>
      <c r="AS13" s="624"/>
      <c r="AT13" s="624"/>
      <c r="AU13" s="624"/>
      <c r="AV13" s="624"/>
      <c r="AW13" s="624"/>
      <c r="AX13" s="624"/>
      <c r="AY13" s="624"/>
      <c r="AZ13" s="624"/>
      <c r="BA13" s="624"/>
      <c r="BB13" s="624"/>
      <c r="BC13" s="624"/>
      <c r="BD13" s="624"/>
      <c r="BE13" s="624"/>
      <c r="BF13" s="624"/>
      <c r="BG13" s="624"/>
      <c r="BH13" s="624"/>
      <c r="BI13" s="624"/>
      <c r="BJ13" s="624"/>
      <c r="BK13" s="624"/>
      <c r="BL13" s="624"/>
      <c r="BM13" s="624"/>
      <c r="BN13" s="624"/>
      <c r="BO13" s="624"/>
      <c r="BP13" s="624"/>
      <c r="BQ13" s="624"/>
      <c r="BR13" s="624"/>
      <c r="BS13" s="624"/>
      <c r="BT13" s="624"/>
      <c r="BU13" s="624"/>
      <c r="BV13" s="624"/>
      <c r="BW13" s="624"/>
      <c r="BX13" s="624"/>
      <c r="BY13" s="624"/>
      <c r="BZ13" s="624"/>
      <c r="CA13" s="624"/>
      <c r="CB13" s="624"/>
      <c r="CC13" s="624"/>
      <c r="CD13" s="624"/>
      <c r="CE13" s="624"/>
      <c r="CF13" s="624"/>
      <c r="CG13" s="624"/>
      <c r="CH13" s="624"/>
      <c r="CI13" s="624"/>
      <c r="CJ13" s="624"/>
      <c r="CK13" s="624"/>
      <c r="CL13" s="624"/>
      <c r="CM13" s="624"/>
      <c r="CN13" s="624"/>
      <c r="CO13" s="624"/>
      <c r="CP13" s="624"/>
      <c r="CQ13" s="624"/>
      <c r="CR13" s="624"/>
      <c r="CS13" s="624"/>
      <c r="CT13" s="624"/>
      <c r="CU13" s="624"/>
      <c r="CV13" s="624"/>
      <c r="CW13" s="624"/>
      <c r="CX13" s="624"/>
      <c r="CY13" s="624"/>
      <c r="CZ13" s="624"/>
      <c r="DA13" s="624"/>
      <c r="DB13" s="624"/>
      <c r="DC13" s="624"/>
      <c r="DD13" s="624"/>
      <c r="DE13" s="624"/>
      <c r="DF13" s="624"/>
      <c r="DG13" s="624"/>
      <c r="DH13" s="624"/>
      <c r="DI13" s="624"/>
      <c r="DJ13" s="624"/>
    </row>
    <row r="14" spans="1:114" ht="19.5" thickBot="1">
      <c r="A14" s="570">
        <v>5</v>
      </c>
      <c r="B14" s="653" t="s">
        <v>57</v>
      </c>
      <c r="C14" s="109">
        <v>12</v>
      </c>
      <c r="D14" s="109"/>
      <c r="E14" s="571">
        <v>0</v>
      </c>
      <c r="F14" s="533">
        <f t="shared" ref="F14" si="9">E14/AI14*100</f>
        <v>0</v>
      </c>
      <c r="G14" s="571">
        <v>11</v>
      </c>
      <c r="H14" s="523">
        <f t="shared" ref="H14" si="10">G14/AI14*100</f>
        <v>0.45681063122923593</v>
      </c>
      <c r="I14" s="571">
        <v>1</v>
      </c>
      <c r="J14" s="523">
        <f t="shared" ref="J14" si="11">I14/AI14*100</f>
        <v>4.1528239202657809E-2</v>
      </c>
      <c r="K14" s="109"/>
      <c r="L14" s="571">
        <v>0</v>
      </c>
      <c r="M14" s="116">
        <v>0</v>
      </c>
      <c r="N14" s="116"/>
      <c r="O14" s="109">
        <v>0</v>
      </c>
      <c r="P14" s="109"/>
      <c r="Q14" s="571">
        <v>0</v>
      </c>
      <c r="R14" s="109" t="s">
        <v>81</v>
      </c>
      <c r="S14" s="109" t="s">
        <v>81</v>
      </c>
      <c r="T14" s="109">
        <v>0</v>
      </c>
      <c r="U14" s="572">
        <v>0</v>
      </c>
      <c r="V14" s="109">
        <v>0</v>
      </c>
      <c r="W14" s="109"/>
      <c r="X14" s="573"/>
      <c r="Y14" s="574"/>
      <c r="Z14" s="574"/>
      <c r="AA14" s="574"/>
      <c r="AB14" s="574"/>
      <c r="AC14" s="575"/>
      <c r="AD14" s="109"/>
      <c r="AE14" s="109"/>
      <c r="AF14" s="576"/>
      <c r="AG14" s="109"/>
      <c r="AH14" s="573"/>
      <c r="AI14" s="265">
        <v>2408</v>
      </c>
      <c r="AJ14" s="560">
        <f>SUM(C15:AH15)</f>
        <v>49</v>
      </c>
    </row>
    <row r="15" spans="1:114" ht="19.5" thickBot="1">
      <c r="A15" s="587"/>
      <c r="B15" s="656"/>
      <c r="C15" s="592"/>
      <c r="D15" s="592"/>
      <c r="E15" s="590"/>
      <c r="F15" s="563">
        <v>10</v>
      </c>
      <c r="G15" s="590"/>
      <c r="H15" s="563">
        <v>0</v>
      </c>
      <c r="I15" s="590"/>
      <c r="J15" s="563">
        <v>9</v>
      </c>
      <c r="K15" s="592"/>
      <c r="L15" s="590">
        <v>10</v>
      </c>
      <c r="M15" s="591">
        <v>10</v>
      </c>
      <c r="N15" s="591"/>
      <c r="O15" s="592">
        <v>10</v>
      </c>
      <c r="P15" s="592"/>
      <c r="Q15" s="590">
        <v>0</v>
      </c>
      <c r="R15" s="592">
        <v>0</v>
      </c>
      <c r="S15" s="592">
        <v>0</v>
      </c>
      <c r="T15" s="592">
        <v>0</v>
      </c>
      <c r="U15" s="593">
        <v>0</v>
      </c>
      <c r="V15" s="592">
        <v>0</v>
      </c>
      <c r="W15" s="592"/>
      <c r="X15" s="594"/>
      <c r="Y15" s="592"/>
      <c r="Z15" s="592"/>
      <c r="AA15" s="592"/>
      <c r="AB15" s="592"/>
      <c r="AC15" s="595"/>
      <c r="AD15" s="592"/>
      <c r="AE15" s="592"/>
      <c r="AF15" s="596"/>
      <c r="AG15" s="592"/>
      <c r="AH15" s="594"/>
      <c r="AI15" s="598"/>
      <c r="AJ15" s="569"/>
    </row>
    <row r="16" spans="1:114" ht="19.5" thickBot="1">
      <c r="A16" s="570">
        <v>6</v>
      </c>
      <c r="B16" s="653" t="s">
        <v>9</v>
      </c>
      <c r="C16" s="109">
        <v>120</v>
      </c>
      <c r="D16" s="109"/>
      <c r="E16" s="571">
        <v>15</v>
      </c>
      <c r="F16" s="533">
        <f t="shared" ref="F16" si="12">E16/AI16*100</f>
        <v>1.8977972899454701E-2</v>
      </c>
      <c r="G16" s="571">
        <v>49</v>
      </c>
      <c r="H16" s="523">
        <f t="shared" ref="H16" si="13">G16/AI16*100</f>
        <v>6.1994711471552021E-2</v>
      </c>
      <c r="I16" s="571">
        <v>113</v>
      </c>
      <c r="J16" s="523">
        <f t="shared" ref="J16" si="14">I16/AI16*100</f>
        <v>0.14296739584255874</v>
      </c>
      <c r="K16" s="109"/>
      <c r="L16" s="571">
        <v>0</v>
      </c>
      <c r="M16" s="116">
        <v>0</v>
      </c>
      <c r="N16" s="116"/>
      <c r="O16" s="200">
        <v>0</v>
      </c>
      <c r="P16" s="200"/>
      <c r="Q16" s="571">
        <v>110</v>
      </c>
      <c r="R16" s="200" t="s">
        <v>81</v>
      </c>
      <c r="S16" s="200" t="s">
        <v>81</v>
      </c>
      <c r="T16" s="200">
        <v>65.319999999999993</v>
      </c>
      <c r="U16" s="572">
        <f>117*100/C16</f>
        <v>97.5</v>
      </c>
      <c r="V16" s="200">
        <v>0</v>
      </c>
      <c r="W16" s="109"/>
      <c r="X16" s="573"/>
      <c r="Y16" s="574">
        <v>80.56</v>
      </c>
      <c r="Z16" s="574">
        <v>77.78</v>
      </c>
      <c r="AA16" s="574">
        <v>77.78</v>
      </c>
      <c r="AB16" s="574">
        <v>100</v>
      </c>
      <c r="AC16" s="575"/>
      <c r="AD16" s="109"/>
      <c r="AE16" s="109"/>
      <c r="AF16" s="576"/>
      <c r="AG16" s="109"/>
      <c r="AH16" s="573"/>
      <c r="AI16" s="577">
        <f>21838+57201</f>
        <v>79039</v>
      </c>
      <c r="AJ16" s="586">
        <f>SUM(C17:AH17)</f>
        <v>112.2</v>
      </c>
    </row>
    <row r="17" spans="1:114" ht="19.5" thickBot="1">
      <c r="A17" s="561"/>
      <c r="B17" s="652"/>
      <c r="C17" s="562"/>
      <c r="D17" s="562"/>
      <c r="E17" s="563"/>
      <c r="F17" s="563">
        <v>6</v>
      </c>
      <c r="G17" s="563"/>
      <c r="H17" s="563">
        <v>8</v>
      </c>
      <c r="I17" s="563"/>
      <c r="J17" s="563">
        <v>7</v>
      </c>
      <c r="K17" s="562">
        <v>-0.8</v>
      </c>
      <c r="L17" s="563">
        <v>10</v>
      </c>
      <c r="M17" s="117">
        <v>10</v>
      </c>
      <c r="N17" s="117"/>
      <c r="O17" s="582">
        <v>10</v>
      </c>
      <c r="P17" s="582"/>
      <c r="Q17" s="563">
        <v>10</v>
      </c>
      <c r="R17" s="582">
        <v>0</v>
      </c>
      <c r="S17" s="582">
        <v>0</v>
      </c>
      <c r="T17" s="582">
        <v>7</v>
      </c>
      <c r="U17" s="564">
        <v>10</v>
      </c>
      <c r="V17" s="582">
        <v>0</v>
      </c>
      <c r="W17" s="562"/>
      <c r="X17" s="565"/>
      <c r="Y17" s="562">
        <v>9</v>
      </c>
      <c r="Z17" s="562">
        <v>8</v>
      </c>
      <c r="AA17" s="562">
        <v>8</v>
      </c>
      <c r="AB17" s="562">
        <v>10</v>
      </c>
      <c r="AC17" s="566"/>
      <c r="AD17" s="562"/>
      <c r="AE17" s="562"/>
      <c r="AF17" s="567"/>
      <c r="AG17" s="562"/>
      <c r="AH17" s="565"/>
      <c r="AI17" s="578"/>
      <c r="AJ17" s="541"/>
    </row>
    <row r="18" spans="1:114" s="657" customFormat="1" ht="19.5" thickBot="1">
      <c r="A18" s="570">
        <v>7</v>
      </c>
      <c r="B18" s="653" t="s">
        <v>10</v>
      </c>
      <c r="C18" s="579">
        <v>20</v>
      </c>
      <c r="D18" s="201"/>
      <c r="E18" s="571">
        <v>1</v>
      </c>
      <c r="F18" s="533">
        <f t="shared" ref="F18" si="15">E18/AI18*100</f>
        <v>7.7724234416291001E-3</v>
      </c>
      <c r="G18" s="571">
        <v>11</v>
      </c>
      <c r="H18" s="523">
        <f t="shared" ref="H18" si="16">G18/AI18*100</f>
        <v>8.54966578579201E-2</v>
      </c>
      <c r="I18" s="571">
        <v>11</v>
      </c>
      <c r="J18" s="523">
        <f t="shared" ref="J18" si="17">I18/AI18*100</f>
        <v>8.54966578579201E-2</v>
      </c>
      <c r="K18" s="201"/>
      <c r="L18" s="599">
        <v>3</v>
      </c>
      <c r="M18" s="247">
        <v>0</v>
      </c>
      <c r="N18" s="247"/>
      <c r="O18" s="109">
        <v>0</v>
      </c>
      <c r="P18" s="109"/>
      <c r="Q18" s="571">
        <v>18</v>
      </c>
      <c r="R18" s="109" t="s">
        <v>81</v>
      </c>
      <c r="S18" s="109" t="s">
        <v>81</v>
      </c>
      <c r="T18" s="200">
        <v>40.5</v>
      </c>
      <c r="U18" s="572">
        <f>17*100/C18</f>
        <v>85</v>
      </c>
      <c r="V18" s="200">
        <v>0</v>
      </c>
      <c r="W18" s="109"/>
      <c r="X18" s="573"/>
      <c r="Y18" s="574">
        <v>95</v>
      </c>
      <c r="Z18" s="574">
        <v>85</v>
      </c>
      <c r="AA18" s="574">
        <v>85</v>
      </c>
      <c r="AB18" s="574">
        <v>100</v>
      </c>
      <c r="AC18" s="575"/>
      <c r="AD18" s="109"/>
      <c r="AE18" s="109"/>
      <c r="AF18" s="576"/>
      <c r="AG18" s="109"/>
      <c r="AH18" s="573"/>
      <c r="AI18" s="265">
        <v>12866</v>
      </c>
      <c r="AJ18" s="560">
        <f>SUM(C19:AH19)</f>
        <v>105.2</v>
      </c>
      <c r="AK18" s="624"/>
      <c r="AL18" s="624"/>
      <c r="AM18" s="624"/>
      <c r="AN18" s="624"/>
      <c r="AO18" s="624"/>
      <c r="AP18" s="624"/>
      <c r="AQ18" s="624"/>
      <c r="AR18" s="624"/>
      <c r="AS18" s="624"/>
      <c r="AT18" s="624"/>
      <c r="AU18" s="624"/>
      <c r="AV18" s="624"/>
      <c r="AW18" s="624"/>
      <c r="AX18" s="624"/>
      <c r="AY18" s="624"/>
      <c r="AZ18" s="624"/>
      <c r="BA18" s="624"/>
      <c r="BB18" s="624"/>
      <c r="BC18" s="624"/>
      <c r="BD18" s="624"/>
      <c r="BE18" s="624"/>
      <c r="BF18" s="624"/>
      <c r="BG18" s="624"/>
      <c r="BH18" s="624"/>
      <c r="BI18" s="624"/>
      <c r="BJ18" s="624"/>
      <c r="BK18" s="624"/>
      <c r="BL18" s="624"/>
      <c r="BM18" s="624"/>
      <c r="BN18" s="624"/>
      <c r="BO18" s="624"/>
      <c r="BP18" s="624"/>
      <c r="BQ18" s="624"/>
      <c r="BR18" s="624"/>
      <c r="BS18" s="624"/>
      <c r="BT18" s="624"/>
      <c r="BU18" s="624"/>
      <c r="BV18" s="624"/>
      <c r="BW18" s="624"/>
      <c r="BX18" s="624"/>
      <c r="BY18" s="624"/>
      <c r="BZ18" s="624"/>
      <c r="CA18" s="624"/>
      <c r="CB18" s="624"/>
      <c r="CC18" s="624"/>
      <c r="CD18" s="624"/>
      <c r="CE18" s="624"/>
      <c r="CF18" s="624"/>
      <c r="CG18" s="624"/>
      <c r="CH18" s="624"/>
      <c r="CI18" s="624"/>
      <c r="CJ18" s="624"/>
      <c r="CK18" s="624"/>
      <c r="CL18" s="624"/>
      <c r="CM18" s="624"/>
      <c r="CN18" s="624"/>
      <c r="CO18" s="624"/>
      <c r="CP18" s="624"/>
      <c r="CQ18" s="624"/>
      <c r="CR18" s="624"/>
      <c r="CS18" s="624"/>
      <c r="CT18" s="624"/>
      <c r="CU18" s="624"/>
      <c r="CV18" s="624"/>
      <c r="CW18" s="624"/>
      <c r="CX18" s="624"/>
      <c r="CY18" s="624"/>
      <c r="CZ18" s="624"/>
      <c r="DA18" s="624"/>
      <c r="DB18" s="624"/>
      <c r="DC18" s="624"/>
      <c r="DD18" s="624"/>
      <c r="DE18" s="624"/>
      <c r="DF18" s="624"/>
      <c r="DG18" s="624"/>
      <c r="DH18" s="624"/>
      <c r="DI18" s="624"/>
      <c r="DJ18" s="624"/>
    </row>
    <row r="19" spans="1:114" s="655" customFormat="1" ht="19.5" thickBot="1">
      <c r="A19" s="561"/>
      <c r="B19" s="658"/>
      <c r="C19" s="581"/>
      <c r="D19" s="582"/>
      <c r="E19" s="563"/>
      <c r="F19" s="563">
        <v>8</v>
      </c>
      <c r="G19" s="563"/>
      <c r="H19" s="563">
        <v>8</v>
      </c>
      <c r="I19" s="563"/>
      <c r="J19" s="563">
        <v>8</v>
      </c>
      <c r="K19" s="582">
        <v>-0.8</v>
      </c>
      <c r="L19" s="600">
        <v>8</v>
      </c>
      <c r="M19" s="601">
        <v>10</v>
      </c>
      <c r="N19" s="601"/>
      <c r="O19" s="562">
        <v>10</v>
      </c>
      <c r="P19" s="562"/>
      <c r="Q19" s="563">
        <v>2</v>
      </c>
      <c r="R19" s="562">
        <v>0</v>
      </c>
      <c r="S19" s="562">
        <v>0</v>
      </c>
      <c r="T19" s="582">
        <v>5</v>
      </c>
      <c r="U19" s="564">
        <v>9</v>
      </c>
      <c r="V19" s="582">
        <v>0</v>
      </c>
      <c r="W19" s="562"/>
      <c r="X19" s="565"/>
      <c r="Y19" s="562">
        <v>10</v>
      </c>
      <c r="Z19" s="562">
        <v>9</v>
      </c>
      <c r="AA19" s="562">
        <v>9</v>
      </c>
      <c r="AB19" s="562">
        <v>10</v>
      </c>
      <c r="AC19" s="566"/>
      <c r="AD19" s="562"/>
      <c r="AE19" s="562"/>
      <c r="AF19" s="567"/>
      <c r="AG19" s="562"/>
      <c r="AH19" s="565"/>
      <c r="AI19" s="568"/>
      <c r="AJ19" s="569"/>
      <c r="AK19" s="624"/>
      <c r="AL19" s="624"/>
      <c r="AM19" s="624"/>
      <c r="AN19" s="624"/>
      <c r="AO19" s="624"/>
      <c r="AP19" s="624"/>
      <c r="AQ19" s="624"/>
      <c r="AR19" s="624"/>
      <c r="AS19" s="624"/>
      <c r="AT19" s="624"/>
      <c r="AU19" s="624"/>
      <c r="AV19" s="624"/>
      <c r="AW19" s="624"/>
      <c r="AX19" s="624"/>
      <c r="AY19" s="624"/>
      <c r="AZ19" s="624"/>
      <c r="BA19" s="624"/>
      <c r="BB19" s="624"/>
      <c r="BC19" s="624"/>
      <c r="BD19" s="624"/>
      <c r="BE19" s="624"/>
      <c r="BF19" s="624"/>
      <c r="BG19" s="624"/>
      <c r="BH19" s="624"/>
      <c r="BI19" s="624"/>
      <c r="BJ19" s="624"/>
      <c r="BK19" s="624"/>
      <c r="BL19" s="624"/>
      <c r="BM19" s="624"/>
      <c r="BN19" s="624"/>
      <c r="BO19" s="624"/>
      <c r="BP19" s="624"/>
      <c r="BQ19" s="624"/>
      <c r="BR19" s="624"/>
      <c r="BS19" s="624"/>
      <c r="BT19" s="624"/>
      <c r="BU19" s="624"/>
      <c r="BV19" s="624"/>
      <c r="BW19" s="624"/>
      <c r="BX19" s="624"/>
      <c r="BY19" s="624"/>
      <c r="BZ19" s="624"/>
      <c r="CA19" s="624"/>
      <c r="CB19" s="624"/>
      <c r="CC19" s="624"/>
      <c r="CD19" s="624"/>
      <c r="CE19" s="624"/>
      <c r="CF19" s="624"/>
      <c r="CG19" s="624"/>
      <c r="CH19" s="624"/>
      <c r="CI19" s="624"/>
      <c r="CJ19" s="624"/>
      <c r="CK19" s="624"/>
      <c r="CL19" s="624"/>
      <c r="CM19" s="624"/>
      <c r="CN19" s="624"/>
      <c r="CO19" s="624"/>
      <c r="CP19" s="624"/>
      <c r="CQ19" s="624"/>
      <c r="CR19" s="624"/>
      <c r="CS19" s="624"/>
      <c r="CT19" s="624"/>
      <c r="CU19" s="624"/>
      <c r="CV19" s="624"/>
      <c r="CW19" s="624"/>
      <c r="CX19" s="624"/>
      <c r="CY19" s="624"/>
      <c r="CZ19" s="624"/>
      <c r="DA19" s="624"/>
      <c r="DB19" s="624"/>
      <c r="DC19" s="624"/>
      <c r="DD19" s="624"/>
      <c r="DE19" s="624"/>
      <c r="DF19" s="624"/>
      <c r="DG19" s="624"/>
      <c r="DH19" s="624"/>
      <c r="DI19" s="624"/>
      <c r="DJ19" s="624"/>
    </row>
    <row r="20" spans="1:114" ht="19.5" thickBot="1">
      <c r="A20" s="570">
        <v>8</v>
      </c>
      <c r="B20" s="653" t="s">
        <v>58</v>
      </c>
      <c r="C20" s="579">
        <v>158</v>
      </c>
      <c r="D20" s="109"/>
      <c r="E20" s="571">
        <v>8</v>
      </c>
      <c r="F20" s="533">
        <f t="shared" ref="F20" si="18">E20/AI20*100</f>
        <v>1.492955118036764E-2</v>
      </c>
      <c r="G20" s="571">
        <v>13</v>
      </c>
      <c r="H20" s="523">
        <f t="shared" ref="H20" si="19">G20/AI20*100</f>
        <v>2.4260520668097415E-2</v>
      </c>
      <c r="I20" s="571">
        <v>154</v>
      </c>
      <c r="J20" s="523">
        <f t="shared" ref="J20" si="20">I20/AI20*100</f>
        <v>0.28739386022207708</v>
      </c>
      <c r="K20" s="202"/>
      <c r="L20" s="571">
        <v>8</v>
      </c>
      <c r="M20" s="116">
        <v>0</v>
      </c>
      <c r="N20" s="116"/>
      <c r="O20" s="109">
        <v>0</v>
      </c>
      <c r="P20" s="109"/>
      <c r="Q20" s="571">
        <v>80</v>
      </c>
      <c r="R20" s="109" t="s">
        <v>81</v>
      </c>
      <c r="S20" s="109" t="s">
        <v>81</v>
      </c>
      <c r="T20" s="109">
        <v>0.69</v>
      </c>
      <c r="U20" s="572">
        <f>66*100/C20</f>
        <v>41.77215189873418</v>
      </c>
      <c r="V20" s="109">
        <v>0</v>
      </c>
      <c r="W20" s="109"/>
      <c r="X20" s="573"/>
      <c r="Y20" s="574"/>
      <c r="Z20" s="574"/>
      <c r="AA20" s="574"/>
      <c r="AB20" s="574"/>
      <c r="AC20" s="575"/>
      <c r="AD20" s="109"/>
      <c r="AE20" s="109"/>
      <c r="AF20" s="576"/>
      <c r="AG20" s="109"/>
      <c r="AH20" s="573"/>
      <c r="AI20" s="577">
        <v>53585</v>
      </c>
      <c r="AJ20" s="586">
        <f>SUM(C21:AH21)</f>
        <v>57</v>
      </c>
    </row>
    <row r="21" spans="1:114" ht="19.5" thickBot="1">
      <c r="A21" s="587"/>
      <c r="B21" s="656"/>
      <c r="C21" s="588"/>
      <c r="D21" s="592"/>
      <c r="E21" s="590"/>
      <c r="F21" s="563">
        <v>7</v>
      </c>
      <c r="G21" s="590"/>
      <c r="H21" s="563">
        <v>9</v>
      </c>
      <c r="I21" s="590"/>
      <c r="J21" s="563">
        <v>4</v>
      </c>
      <c r="K21" s="592"/>
      <c r="L21" s="590">
        <v>3</v>
      </c>
      <c r="M21" s="591">
        <v>10</v>
      </c>
      <c r="N21" s="591"/>
      <c r="O21" s="592">
        <v>10</v>
      </c>
      <c r="P21" s="592"/>
      <c r="Q21" s="590">
        <v>9</v>
      </c>
      <c r="R21" s="592">
        <v>0</v>
      </c>
      <c r="S21" s="592">
        <v>0</v>
      </c>
      <c r="T21" s="592">
        <v>0</v>
      </c>
      <c r="U21" s="593">
        <v>5</v>
      </c>
      <c r="V21" s="592">
        <v>0</v>
      </c>
      <c r="W21" s="592"/>
      <c r="X21" s="594"/>
      <c r="Y21" s="592"/>
      <c r="Z21" s="592"/>
      <c r="AA21" s="592"/>
      <c r="AB21" s="592"/>
      <c r="AC21" s="595"/>
      <c r="AD21" s="592"/>
      <c r="AE21" s="592"/>
      <c r="AF21" s="596"/>
      <c r="AG21" s="592"/>
      <c r="AH21" s="594"/>
      <c r="AI21" s="597"/>
      <c r="AJ21" s="541"/>
    </row>
    <row r="22" spans="1:114" ht="19.5" thickBot="1">
      <c r="A22" s="570">
        <v>9</v>
      </c>
      <c r="B22" s="653" t="s">
        <v>14</v>
      </c>
      <c r="C22" s="579">
        <v>34</v>
      </c>
      <c r="D22" s="109"/>
      <c r="E22" s="571">
        <v>1</v>
      </c>
      <c r="F22" s="533">
        <f t="shared" ref="F22" si="21">E22/AI22*100</f>
        <v>4.5737285034760334E-3</v>
      </c>
      <c r="G22" s="571">
        <v>6</v>
      </c>
      <c r="H22" s="523">
        <f t="shared" ref="H22" si="22">G22/AI22*100</f>
        <v>2.7442371020856202E-2</v>
      </c>
      <c r="I22" s="571">
        <v>13</v>
      </c>
      <c r="J22" s="523">
        <f t="shared" ref="J22" si="23">I22/AI22*100</f>
        <v>5.9458470545188442E-2</v>
      </c>
      <c r="K22" s="109"/>
      <c r="L22" s="571">
        <v>0</v>
      </c>
      <c r="M22" s="116">
        <v>0</v>
      </c>
      <c r="N22" s="116"/>
      <c r="O22" s="200">
        <v>0</v>
      </c>
      <c r="P22" s="200"/>
      <c r="Q22" s="571">
        <v>27</v>
      </c>
      <c r="R22" s="200" t="s">
        <v>81</v>
      </c>
      <c r="S22" s="200" t="s">
        <v>81</v>
      </c>
      <c r="T22" s="200">
        <v>0</v>
      </c>
      <c r="U22" s="572">
        <f>27*100/C22</f>
        <v>79.411764705882348</v>
      </c>
      <c r="V22" s="200">
        <v>0</v>
      </c>
      <c r="W22" s="109"/>
      <c r="X22" s="573"/>
      <c r="Y22" s="574">
        <v>96.67</v>
      </c>
      <c r="Z22" s="574">
        <v>93.33</v>
      </c>
      <c r="AA22" s="574">
        <v>93.33</v>
      </c>
      <c r="AB22" s="574">
        <v>66.900000000000006</v>
      </c>
      <c r="AC22" s="575"/>
      <c r="AD22" s="109"/>
      <c r="AE22" s="109"/>
      <c r="AF22" s="576"/>
      <c r="AG22" s="109"/>
      <c r="AH22" s="573"/>
      <c r="AI22" s="265">
        <v>21864</v>
      </c>
      <c r="AJ22" s="560">
        <f>SUM(C23:AH23)</f>
        <v>104</v>
      </c>
    </row>
    <row r="23" spans="1:114" ht="19.5" thickBot="1">
      <c r="A23" s="561"/>
      <c r="B23" s="652"/>
      <c r="C23" s="581"/>
      <c r="D23" s="562"/>
      <c r="E23" s="563"/>
      <c r="F23" s="563">
        <v>9</v>
      </c>
      <c r="G23" s="563"/>
      <c r="H23" s="563">
        <v>9</v>
      </c>
      <c r="I23" s="563"/>
      <c r="J23" s="563">
        <v>8</v>
      </c>
      <c r="K23" s="562"/>
      <c r="L23" s="563">
        <v>10</v>
      </c>
      <c r="M23" s="117">
        <v>10</v>
      </c>
      <c r="N23" s="117"/>
      <c r="O23" s="582">
        <v>10</v>
      </c>
      <c r="P23" s="582"/>
      <c r="Q23" s="563">
        <v>3</v>
      </c>
      <c r="R23" s="582">
        <v>0</v>
      </c>
      <c r="S23" s="582">
        <v>0</v>
      </c>
      <c r="T23" s="582">
        <v>0</v>
      </c>
      <c r="U23" s="564">
        <v>8</v>
      </c>
      <c r="V23" s="582">
        <v>0</v>
      </c>
      <c r="W23" s="562"/>
      <c r="X23" s="565"/>
      <c r="Y23" s="562">
        <v>10</v>
      </c>
      <c r="Z23" s="562">
        <v>10</v>
      </c>
      <c r="AA23" s="562">
        <v>10</v>
      </c>
      <c r="AB23" s="562">
        <v>7</v>
      </c>
      <c r="AC23" s="566"/>
      <c r="AD23" s="562"/>
      <c r="AE23" s="562"/>
      <c r="AF23" s="567"/>
      <c r="AG23" s="562"/>
      <c r="AH23" s="565"/>
      <c r="AI23" s="568"/>
      <c r="AJ23" s="569"/>
    </row>
    <row r="24" spans="1:114" s="657" customFormat="1" ht="19.5" thickBot="1">
      <c r="A24" s="570">
        <v>10</v>
      </c>
      <c r="B24" s="653" t="s">
        <v>13</v>
      </c>
      <c r="C24" s="579">
        <v>8</v>
      </c>
      <c r="D24" s="585"/>
      <c r="E24" s="571">
        <v>3</v>
      </c>
      <c r="F24" s="533">
        <f t="shared" ref="F24" si="24">E24/AI24*100</f>
        <v>0.21171489061397319</v>
      </c>
      <c r="G24" s="571">
        <v>6</v>
      </c>
      <c r="H24" s="523">
        <f t="shared" ref="H24" si="25">G24/AI24*100</f>
        <v>0.42342978122794639</v>
      </c>
      <c r="I24" s="571">
        <v>0</v>
      </c>
      <c r="J24" s="523">
        <f t="shared" ref="J24" si="26">I24/AI24*100</f>
        <v>0</v>
      </c>
      <c r="K24" s="585"/>
      <c r="L24" s="571">
        <v>0</v>
      </c>
      <c r="M24" s="116">
        <v>0</v>
      </c>
      <c r="N24" s="118"/>
      <c r="O24" s="200">
        <v>0</v>
      </c>
      <c r="P24" s="201"/>
      <c r="Q24" s="571">
        <v>7</v>
      </c>
      <c r="R24" s="200" t="s">
        <v>81</v>
      </c>
      <c r="S24" s="200" t="s">
        <v>81</v>
      </c>
      <c r="T24" s="109">
        <v>73.319999999999993</v>
      </c>
      <c r="U24" s="572">
        <v>0</v>
      </c>
      <c r="V24" s="200">
        <v>0</v>
      </c>
      <c r="W24" s="109"/>
      <c r="X24" s="573"/>
      <c r="Y24" s="574">
        <v>100</v>
      </c>
      <c r="Z24" s="574">
        <v>100</v>
      </c>
      <c r="AA24" s="574">
        <v>100</v>
      </c>
      <c r="AB24" s="574">
        <v>100</v>
      </c>
      <c r="AC24" s="575"/>
      <c r="AD24" s="109"/>
      <c r="AE24" s="109"/>
      <c r="AF24" s="576"/>
      <c r="AG24" s="109"/>
      <c r="AH24" s="573"/>
      <c r="AI24" s="577">
        <v>1417</v>
      </c>
      <c r="AJ24" s="586">
        <f>SUM(C25:AH25)</f>
        <v>89</v>
      </c>
      <c r="AK24" s="624"/>
      <c r="AL24" s="624"/>
      <c r="AM24" s="624"/>
      <c r="AN24" s="624"/>
      <c r="AO24" s="624"/>
      <c r="AP24" s="624"/>
      <c r="AQ24" s="624"/>
      <c r="AR24" s="624"/>
      <c r="AS24" s="624"/>
      <c r="AT24" s="624"/>
      <c r="AU24" s="624"/>
      <c r="AV24" s="624"/>
      <c r="AW24" s="624"/>
      <c r="AX24" s="624"/>
      <c r="AY24" s="624"/>
      <c r="AZ24" s="624"/>
      <c r="BA24" s="624"/>
      <c r="BB24" s="624"/>
      <c r="BC24" s="624"/>
      <c r="BD24" s="624"/>
      <c r="BE24" s="624"/>
      <c r="BF24" s="624"/>
      <c r="BG24" s="624"/>
      <c r="BH24" s="624"/>
      <c r="BI24" s="624"/>
      <c r="BJ24" s="624"/>
      <c r="BK24" s="624"/>
      <c r="BL24" s="624"/>
      <c r="BM24" s="624"/>
      <c r="BN24" s="624"/>
      <c r="BO24" s="624"/>
      <c r="BP24" s="624"/>
      <c r="BQ24" s="624"/>
      <c r="BR24" s="624"/>
      <c r="BS24" s="624"/>
      <c r="BT24" s="624"/>
      <c r="BU24" s="624"/>
      <c r="BV24" s="624"/>
      <c r="BW24" s="624"/>
      <c r="BX24" s="624"/>
      <c r="BY24" s="624"/>
      <c r="BZ24" s="624"/>
      <c r="CA24" s="624"/>
      <c r="CB24" s="624"/>
      <c r="CC24" s="624"/>
      <c r="CD24" s="624"/>
      <c r="CE24" s="624"/>
      <c r="CF24" s="624"/>
      <c r="CG24" s="624"/>
      <c r="CH24" s="624"/>
      <c r="CI24" s="624"/>
      <c r="CJ24" s="624"/>
      <c r="CK24" s="624"/>
      <c r="CL24" s="624"/>
      <c r="CM24" s="624"/>
      <c r="CN24" s="624"/>
      <c r="CO24" s="624"/>
      <c r="CP24" s="624"/>
      <c r="CQ24" s="624"/>
      <c r="CR24" s="624"/>
      <c r="CS24" s="624"/>
      <c r="CT24" s="624"/>
      <c r="CU24" s="624"/>
      <c r="CV24" s="624"/>
      <c r="CW24" s="624"/>
      <c r="CX24" s="624"/>
      <c r="CY24" s="624"/>
      <c r="CZ24" s="624"/>
      <c r="DA24" s="624"/>
      <c r="DB24" s="624"/>
      <c r="DC24" s="624"/>
      <c r="DD24" s="624"/>
      <c r="DE24" s="624"/>
      <c r="DF24" s="624"/>
      <c r="DG24" s="624"/>
      <c r="DH24" s="624"/>
      <c r="DI24" s="624"/>
      <c r="DJ24" s="624"/>
    </row>
    <row r="25" spans="1:114" s="657" customFormat="1" ht="19.5" thickBot="1">
      <c r="A25" s="561"/>
      <c r="B25" s="652"/>
      <c r="C25" s="581"/>
      <c r="D25" s="602"/>
      <c r="E25" s="563"/>
      <c r="F25" s="563">
        <v>0</v>
      </c>
      <c r="G25" s="563"/>
      <c r="H25" s="563">
        <v>1</v>
      </c>
      <c r="I25" s="563"/>
      <c r="J25" s="563">
        <v>10</v>
      </c>
      <c r="K25" s="602"/>
      <c r="L25" s="563">
        <v>10</v>
      </c>
      <c r="M25" s="117">
        <v>10</v>
      </c>
      <c r="N25" s="120"/>
      <c r="O25" s="582">
        <v>10</v>
      </c>
      <c r="P25" s="603"/>
      <c r="Q25" s="563">
        <v>0</v>
      </c>
      <c r="R25" s="582">
        <v>0</v>
      </c>
      <c r="S25" s="582">
        <v>0</v>
      </c>
      <c r="T25" s="562">
        <v>8</v>
      </c>
      <c r="U25" s="564">
        <v>0</v>
      </c>
      <c r="V25" s="582">
        <v>0</v>
      </c>
      <c r="W25" s="562"/>
      <c r="X25" s="565"/>
      <c r="Y25" s="562">
        <v>10</v>
      </c>
      <c r="Z25" s="562">
        <v>10</v>
      </c>
      <c r="AA25" s="562">
        <v>10</v>
      </c>
      <c r="AB25" s="562">
        <v>10</v>
      </c>
      <c r="AC25" s="566"/>
      <c r="AD25" s="562"/>
      <c r="AE25" s="562"/>
      <c r="AF25" s="567"/>
      <c r="AG25" s="562"/>
      <c r="AH25" s="565"/>
      <c r="AI25" s="578"/>
      <c r="AJ25" s="541"/>
      <c r="AK25" s="624"/>
      <c r="AL25" s="624"/>
      <c r="AM25" s="624"/>
      <c r="AN25" s="624"/>
      <c r="AO25" s="624"/>
      <c r="AP25" s="624"/>
      <c r="AQ25" s="624"/>
      <c r="AR25" s="624"/>
      <c r="AS25" s="624"/>
      <c r="AT25" s="624"/>
      <c r="AU25" s="624"/>
      <c r="AV25" s="624"/>
      <c r="AW25" s="624"/>
      <c r="AX25" s="624"/>
      <c r="AY25" s="624"/>
      <c r="AZ25" s="624"/>
      <c r="BA25" s="624"/>
      <c r="BB25" s="624"/>
      <c r="BC25" s="624"/>
      <c r="BD25" s="624"/>
      <c r="BE25" s="624"/>
      <c r="BF25" s="624"/>
      <c r="BG25" s="624"/>
      <c r="BH25" s="624"/>
      <c r="BI25" s="624"/>
      <c r="BJ25" s="624"/>
      <c r="BK25" s="624"/>
      <c r="BL25" s="624"/>
      <c r="BM25" s="624"/>
      <c r="BN25" s="624"/>
      <c r="BO25" s="624"/>
      <c r="BP25" s="624"/>
      <c r="BQ25" s="624"/>
      <c r="BR25" s="624"/>
      <c r="BS25" s="624"/>
      <c r="BT25" s="624"/>
      <c r="BU25" s="624"/>
      <c r="BV25" s="624"/>
      <c r="BW25" s="624"/>
      <c r="BX25" s="624"/>
      <c r="BY25" s="624"/>
      <c r="BZ25" s="624"/>
      <c r="CA25" s="624"/>
      <c r="CB25" s="624"/>
      <c r="CC25" s="624"/>
      <c r="CD25" s="624"/>
      <c r="CE25" s="624"/>
      <c r="CF25" s="624"/>
      <c r="CG25" s="624"/>
      <c r="CH25" s="624"/>
      <c r="CI25" s="624"/>
      <c r="CJ25" s="624"/>
      <c r="CK25" s="624"/>
      <c r="CL25" s="624"/>
      <c r="CM25" s="624"/>
      <c r="CN25" s="624"/>
      <c r="CO25" s="624"/>
      <c r="CP25" s="624"/>
      <c r="CQ25" s="624"/>
      <c r="CR25" s="624"/>
      <c r="CS25" s="624"/>
      <c r="CT25" s="624"/>
      <c r="CU25" s="624"/>
      <c r="CV25" s="624"/>
      <c r="CW25" s="624"/>
      <c r="CX25" s="624"/>
      <c r="CY25" s="624"/>
      <c r="CZ25" s="624"/>
      <c r="DA25" s="624"/>
      <c r="DB25" s="624"/>
      <c r="DC25" s="624"/>
      <c r="DD25" s="624"/>
      <c r="DE25" s="624"/>
      <c r="DF25" s="624"/>
      <c r="DG25" s="624"/>
      <c r="DH25" s="624"/>
      <c r="DI25" s="624"/>
      <c r="DJ25" s="624"/>
    </row>
    <row r="26" spans="1:114" ht="19.5" thickBot="1">
      <c r="A26" s="570">
        <v>11</v>
      </c>
      <c r="B26" s="653" t="s">
        <v>11</v>
      </c>
      <c r="C26" s="579">
        <v>18</v>
      </c>
      <c r="D26" s="109"/>
      <c r="E26" s="571">
        <v>1</v>
      </c>
      <c r="F26" s="533">
        <f t="shared" ref="F26" si="27">E26/AI26*100</f>
        <v>9.2319054652880359E-3</v>
      </c>
      <c r="G26" s="571">
        <v>10</v>
      </c>
      <c r="H26" s="523">
        <f t="shared" ref="H26" si="28">G26/AI26*100</f>
        <v>9.2319054652880345E-2</v>
      </c>
      <c r="I26" s="571">
        <v>12</v>
      </c>
      <c r="J26" s="523">
        <f t="shared" ref="J26" si="29">I26/AI26*100</f>
        <v>0.11078286558345643</v>
      </c>
      <c r="K26" s="109"/>
      <c r="L26" s="571">
        <v>2</v>
      </c>
      <c r="M26" s="116">
        <v>0</v>
      </c>
      <c r="N26" s="116"/>
      <c r="O26" s="109">
        <v>0</v>
      </c>
      <c r="P26" s="109"/>
      <c r="Q26" s="571">
        <v>0</v>
      </c>
      <c r="R26" s="109" t="s">
        <v>81</v>
      </c>
      <c r="S26" s="109" t="s">
        <v>81</v>
      </c>
      <c r="T26" s="109">
        <v>0</v>
      </c>
      <c r="U26" s="572">
        <f>2*100/C26</f>
        <v>11.111111111111111</v>
      </c>
      <c r="V26" s="109">
        <v>0</v>
      </c>
      <c r="W26" s="109"/>
      <c r="X26" s="573"/>
      <c r="Y26" s="574">
        <v>100</v>
      </c>
      <c r="Z26" s="574">
        <v>66.599999999999994</v>
      </c>
      <c r="AA26" s="574">
        <v>66.599999999999994</v>
      </c>
      <c r="AB26" s="574">
        <v>100</v>
      </c>
      <c r="AC26" s="575"/>
      <c r="AD26" s="109"/>
      <c r="AE26" s="109"/>
      <c r="AF26" s="576"/>
      <c r="AG26" s="109"/>
      <c r="AH26" s="573"/>
      <c r="AI26" s="265">
        <v>10832</v>
      </c>
      <c r="AJ26" s="560">
        <f>SUM(C27:AH27)</f>
        <v>85.2</v>
      </c>
    </row>
    <row r="27" spans="1:114" ht="19.5" thickBot="1">
      <c r="A27" s="587"/>
      <c r="B27" s="656"/>
      <c r="C27" s="588"/>
      <c r="D27" s="592"/>
      <c r="E27" s="590"/>
      <c r="F27" s="563">
        <v>8</v>
      </c>
      <c r="G27" s="590"/>
      <c r="H27" s="563">
        <v>8</v>
      </c>
      <c r="I27" s="590"/>
      <c r="J27" s="563">
        <v>7</v>
      </c>
      <c r="K27" s="592">
        <v>-0.8</v>
      </c>
      <c r="L27" s="590">
        <v>8</v>
      </c>
      <c r="M27" s="591">
        <v>10</v>
      </c>
      <c r="N27" s="591"/>
      <c r="O27" s="592">
        <v>10</v>
      </c>
      <c r="P27" s="592"/>
      <c r="Q27" s="590">
        <v>0</v>
      </c>
      <c r="R27" s="592">
        <v>0</v>
      </c>
      <c r="S27" s="592">
        <v>0</v>
      </c>
      <c r="T27" s="592">
        <v>0</v>
      </c>
      <c r="U27" s="593">
        <v>1</v>
      </c>
      <c r="V27" s="592">
        <v>0</v>
      </c>
      <c r="W27" s="592"/>
      <c r="X27" s="594"/>
      <c r="Y27" s="592">
        <v>10</v>
      </c>
      <c r="Z27" s="592">
        <v>7</v>
      </c>
      <c r="AA27" s="592">
        <v>7</v>
      </c>
      <c r="AB27" s="592">
        <v>10</v>
      </c>
      <c r="AC27" s="595"/>
      <c r="AD27" s="592"/>
      <c r="AE27" s="592"/>
      <c r="AF27" s="596"/>
      <c r="AG27" s="592"/>
      <c r="AH27" s="594"/>
      <c r="AI27" s="598"/>
      <c r="AJ27" s="569"/>
    </row>
    <row r="28" spans="1:114" ht="19.5" thickBot="1">
      <c r="A28" s="570">
        <v>12</v>
      </c>
      <c r="B28" s="653" t="s">
        <v>59</v>
      </c>
      <c r="C28" s="579">
        <v>6</v>
      </c>
      <c r="D28" s="109"/>
      <c r="E28" s="571">
        <v>0</v>
      </c>
      <c r="F28" s="533">
        <f t="shared" ref="F28" si="30">E28/AI28*100</f>
        <v>0</v>
      </c>
      <c r="G28" s="571">
        <v>2</v>
      </c>
      <c r="H28" s="523">
        <f t="shared" ref="H28" si="31">G28/AI28*100</f>
        <v>0.18450184501845018</v>
      </c>
      <c r="I28" s="571">
        <v>0</v>
      </c>
      <c r="J28" s="523">
        <f t="shared" ref="J28" si="32">I28/AI28*100</f>
        <v>0</v>
      </c>
      <c r="K28" s="109"/>
      <c r="L28" s="571">
        <v>0</v>
      </c>
      <c r="M28" s="116">
        <v>0</v>
      </c>
      <c r="N28" s="116"/>
      <c r="O28" s="109">
        <v>0</v>
      </c>
      <c r="P28" s="109"/>
      <c r="Q28" s="571">
        <v>2</v>
      </c>
      <c r="R28" s="109" t="s">
        <v>81</v>
      </c>
      <c r="S28" s="109" t="s">
        <v>81</v>
      </c>
      <c r="T28" s="109">
        <v>87.6</v>
      </c>
      <c r="U28" s="572">
        <v>0</v>
      </c>
      <c r="V28" s="109">
        <v>0</v>
      </c>
      <c r="W28" s="109"/>
      <c r="X28" s="573"/>
      <c r="Y28" s="574">
        <v>100</v>
      </c>
      <c r="Z28" s="574">
        <v>33.299999999999997</v>
      </c>
      <c r="AA28" s="574">
        <v>50</v>
      </c>
      <c r="AB28" s="574">
        <v>100</v>
      </c>
      <c r="AC28" s="575"/>
      <c r="AD28" s="109"/>
      <c r="AE28" s="109"/>
      <c r="AF28" s="576"/>
      <c r="AG28" s="109"/>
      <c r="AH28" s="573"/>
      <c r="AI28" s="577">
        <v>1084</v>
      </c>
      <c r="AJ28" s="586">
        <f>SUM(C29:AH29)</f>
        <v>95</v>
      </c>
    </row>
    <row r="29" spans="1:114" ht="19.5" thickBot="1">
      <c r="A29" s="561"/>
      <c r="B29" s="652"/>
      <c r="C29" s="581"/>
      <c r="D29" s="562"/>
      <c r="E29" s="563"/>
      <c r="F29" s="563">
        <v>10</v>
      </c>
      <c r="G29" s="563"/>
      <c r="H29" s="563">
        <v>6</v>
      </c>
      <c r="I29" s="563"/>
      <c r="J29" s="563">
        <v>10</v>
      </c>
      <c r="K29" s="562"/>
      <c r="L29" s="563">
        <v>10</v>
      </c>
      <c r="M29" s="117">
        <v>10</v>
      </c>
      <c r="N29" s="117"/>
      <c r="O29" s="562">
        <v>10</v>
      </c>
      <c r="P29" s="562"/>
      <c r="Q29" s="563">
        <v>0</v>
      </c>
      <c r="R29" s="562">
        <v>0</v>
      </c>
      <c r="S29" s="562">
        <v>0</v>
      </c>
      <c r="T29" s="562">
        <v>9</v>
      </c>
      <c r="U29" s="564">
        <v>0</v>
      </c>
      <c r="V29" s="562">
        <v>0</v>
      </c>
      <c r="W29" s="562"/>
      <c r="X29" s="565"/>
      <c r="Y29" s="562">
        <v>10</v>
      </c>
      <c r="Z29" s="562">
        <v>4</v>
      </c>
      <c r="AA29" s="562">
        <v>6</v>
      </c>
      <c r="AB29" s="562">
        <v>10</v>
      </c>
      <c r="AC29" s="566"/>
      <c r="AD29" s="562"/>
      <c r="AE29" s="562"/>
      <c r="AF29" s="567"/>
      <c r="AG29" s="562"/>
      <c r="AH29" s="565"/>
      <c r="AI29" s="578"/>
      <c r="AJ29" s="541"/>
    </row>
    <row r="30" spans="1:114" s="657" customFormat="1" ht="19.5" thickBot="1">
      <c r="A30" s="570">
        <v>13</v>
      </c>
      <c r="B30" s="653" t="s">
        <v>12</v>
      </c>
      <c r="C30" s="579">
        <v>30</v>
      </c>
      <c r="D30" s="201"/>
      <c r="E30" s="571">
        <v>1</v>
      </c>
      <c r="F30" s="533">
        <f t="shared" ref="F30" si="33">E30/AI30*100</f>
        <v>1.4609203798392987E-2</v>
      </c>
      <c r="G30" s="571">
        <v>20</v>
      </c>
      <c r="H30" s="523">
        <f t="shared" ref="H30" si="34">G30/AI30*100</f>
        <v>0.29218407596785978</v>
      </c>
      <c r="I30" s="571">
        <v>11</v>
      </c>
      <c r="J30" s="523">
        <f t="shared" ref="J30" si="35">I30/AI30*100</f>
        <v>0.16070124178232287</v>
      </c>
      <c r="K30" s="200"/>
      <c r="L30" s="571">
        <v>1</v>
      </c>
      <c r="M30" s="116">
        <v>0</v>
      </c>
      <c r="N30" s="118"/>
      <c r="O30" s="109">
        <v>0</v>
      </c>
      <c r="P30" s="585"/>
      <c r="Q30" s="571">
        <v>29</v>
      </c>
      <c r="R30" s="200" t="s">
        <v>81</v>
      </c>
      <c r="S30" s="200" t="s">
        <v>81</v>
      </c>
      <c r="T30" s="200">
        <v>1.4</v>
      </c>
      <c r="U30" s="572">
        <v>0</v>
      </c>
      <c r="V30" s="200">
        <v>0</v>
      </c>
      <c r="W30" s="109"/>
      <c r="X30" s="573"/>
      <c r="Y30" s="574"/>
      <c r="Z30" s="574"/>
      <c r="AA30" s="574"/>
      <c r="AB30" s="574"/>
      <c r="AC30" s="575"/>
      <c r="AD30" s="109"/>
      <c r="AE30" s="109"/>
      <c r="AF30" s="576"/>
      <c r="AG30" s="109"/>
      <c r="AH30" s="573"/>
      <c r="AI30" s="265">
        <f>6170+675</f>
        <v>6845</v>
      </c>
      <c r="AJ30" s="560">
        <f>SUM(C31:AH31)</f>
        <v>48.6</v>
      </c>
      <c r="AK30" s="624"/>
      <c r="AL30" s="624"/>
      <c r="AM30" s="624"/>
      <c r="AN30" s="624"/>
      <c r="AO30" s="624"/>
      <c r="AP30" s="624"/>
      <c r="AQ30" s="624"/>
      <c r="AR30" s="624"/>
      <c r="AS30" s="624"/>
      <c r="AT30" s="624"/>
      <c r="AU30" s="624"/>
      <c r="AV30" s="624"/>
      <c r="AW30" s="624"/>
      <c r="AX30" s="624"/>
      <c r="AY30" s="624"/>
      <c r="AZ30" s="624"/>
      <c r="BA30" s="624"/>
      <c r="BB30" s="624"/>
      <c r="BC30" s="624"/>
      <c r="BD30" s="624"/>
      <c r="BE30" s="624"/>
      <c r="BF30" s="624"/>
      <c r="BG30" s="624"/>
      <c r="BH30" s="624"/>
      <c r="BI30" s="624"/>
      <c r="BJ30" s="624"/>
      <c r="BK30" s="624"/>
      <c r="BL30" s="624"/>
      <c r="BM30" s="624"/>
      <c r="BN30" s="624"/>
      <c r="BO30" s="624"/>
      <c r="BP30" s="624"/>
      <c r="BQ30" s="624"/>
      <c r="BR30" s="624"/>
      <c r="BS30" s="624"/>
      <c r="BT30" s="624"/>
      <c r="BU30" s="624"/>
      <c r="BV30" s="624"/>
      <c r="BW30" s="624"/>
      <c r="BX30" s="624"/>
      <c r="BY30" s="624"/>
      <c r="BZ30" s="624"/>
      <c r="CA30" s="624"/>
      <c r="CB30" s="624"/>
      <c r="CC30" s="624"/>
      <c r="CD30" s="624"/>
      <c r="CE30" s="624"/>
      <c r="CF30" s="624"/>
      <c r="CG30" s="624"/>
      <c r="CH30" s="624"/>
      <c r="CI30" s="624"/>
      <c r="CJ30" s="624"/>
      <c r="CK30" s="624"/>
      <c r="CL30" s="624"/>
      <c r="CM30" s="624"/>
      <c r="CN30" s="624"/>
      <c r="CO30" s="624"/>
      <c r="CP30" s="624"/>
      <c r="CQ30" s="624"/>
      <c r="CR30" s="624"/>
      <c r="CS30" s="624"/>
      <c r="CT30" s="624"/>
      <c r="CU30" s="624"/>
      <c r="CV30" s="624"/>
      <c r="CW30" s="624"/>
      <c r="CX30" s="624"/>
      <c r="CY30" s="624"/>
      <c r="CZ30" s="624"/>
      <c r="DA30" s="624"/>
      <c r="DB30" s="624"/>
      <c r="DC30" s="624"/>
      <c r="DD30" s="624"/>
      <c r="DE30" s="624"/>
      <c r="DF30" s="624"/>
      <c r="DG30" s="624"/>
      <c r="DH30" s="624"/>
      <c r="DI30" s="624"/>
      <c r="DJ30" s="624"/>
    </row>
    <row r="31" spans="1:114" s="657" customFormat="1" ht="19.5" thickBot="1">
      <c r="A31" s="561"/>
      <c r="B31" s="652"/>
      <c r="C31" s="581"/>
      <c r="D31" s="603"/>
      <c r="E31" s="563"/>
      <c r="F31" s="563">
        <v>7</v>
      </c>
      <c r="G31" s="563"/>
      <c r="H31" s="563">
        <v>4</v>
      </c>
      <c r="I31" s="563"/>
      <c r="J31" s="563">
        <v>6</v>
      </c>
      <c r="K31" s="582">
        <v>-0.4</v>
      </c>
      <c r="L31" s="563">
        <v>9</v>
      </c>
      <c r="M31" s="117">
        <v>10</v>
      </c>
      <c r="N31" s="120"/>
      <c r="O31" s="562">
        <v>10</v>
      </c>
      <c r="P31" s="602"/>
      <c r="Q31" s="563">
        <v>3</v>
      </c>
      <c r="R31" s="582">
        <v>0</v>
      </c>
      <c r="S31" s="582">
        <v>0</v>
      </c>
      <c r="T31" s="582">
        <v>0</v>
      </c>
      <c r="U31" s="564">
        <v>0</v>
      </c>
      <c r="V31" s="582">
        <v>0</v>
      </c>
      <c r="W31" s="562"/>
      <c r="X31" s="565"/>
      <c r="Y31" s="562"/>
      <c r="Z31" s="562"/>
      <c r="AA31" s="562"/>
      <c r="AB31" s="562"/>
      <c r="AC31" s="566"/>
      <c r="AD31" s="562"/>
      <c r="AE31" s="562"/>
      <c r="AF31" s="567"/>
      <c r="AG31" s="562"/>
      <c r="AH31" s="565"/>
      <c r="AI31" s="568"/>
      <c r="AJ31" s="569"/>
      <c r="AK31" s="624"/>
      <c r="AL31" s="624"/>
      <c r="AM31" s="624"/>
      <c r="AN31" s="624"/>
      <c r="AO31" s="624"/>
      <c r="AP31" s="624"/>
      <c r="AQ31" s="624"/>
      <c r="AR31" s="624"/>
      <c r="AS31" s="624"/>
      <c r="AT31" s="624"/>
      <c r="AU31" s="624"/>
      <c r="AV31" s="624"/>
      <c r="AW31" s="624"/>
      <c r="AX31" s="624"/>
      <c r="AY31" s="624"/>
      <c r="AZ31" s="624"/>
      <c r="BA31" s="624"/>
      <c r="BB31" s="624"/>
      <c r="BC31" s="624"/>
      <c r="BD31" s="624"/>
      <c r="BE31" s="624"/>
      <c r="BF31" s="624"/>
      <c r="BG31" s="624"/>
      <c r="BH31" s="624"/>
      <c r="BI31" s="624"/>
      <c r="BJ31" s="624"/>
      <c r="BK31" s="624"/>
      <c r="BL31" s="624"/>
      <c r="BM31" s="624"/>
      <c r="BN31" s="624"/>
      <c r="BO31" s="624"/>
      <c r="BP31" s="624"/>
      <c r="BQ31" s="624"/>
      <c r="BR31" s="624"/>
      <c r="BS31" s="624"/>
      <c r="BT31" s="624"/>
      <c r="BU31" s="624"/>
      <c r="BV31" s="624"/>
      <c r="BW31" s="624"/>
      <c r="BX31" s="624"/>
      <c r="BY31" s="624"/>
      <c r="BZ31" s="624"/>
      <c r="CA31" s="624"/>
      <c r="CB31" s="624"/>
      <c r="CC31" s="624"/>
      <c r="CD31" s="624"/>
      <c r="CE31" s="624"/>
      <c r="CF31" s="624"/>
      <c r="CG31" s="624"/>
      <c r="CH31" s="624"/>
      <c r="CI31" s="624"/>
      <c r="CJ31" s="624"/>
      <c r="CK31" s="624"/>
      <c r="CL31" s="624"/>
      <c r="CM31" s="624"/>
      <c r="CN31" s="624"/>
      <c r="CO31" s="624"/>
      <c r="CP31" s="624"/>
      <c r="CQ31" s="624"/>
      <c r="CR31" s="624"/>
      <c r="CS31" s="624"/>
      <c r="CT31" s="624"/>
      <c r="CU31" s="624"/>
      <c r="CV31" s="624"/>
      <c r="CW31" s="624"/>
      <c r="CX31" s="624"/>
      <c r="CY31" s="624"/>
      <c r="CZ31" s="624"/>
      <c r="DA31" s="624"/>
      <c r="DB31" s="624"/>
      <c r="DC31" s="624"/>
      <c r="DD31" s="624"/>
      <c r="DE31" s="624"/>
      <c r="DF31" s="624"/>
      <c r="DG31" s="624"/>
      <c r="DH31" s="624"/>
      <c r="DI31" s="624"/>
      <c r="DJ31" s="624"/>
    </row>
    <row r="32" spans="1:114" ht="19.5" thickBot="1">
      <c r="A32" s="570">
        <v>14</v>
      </c>
      <c r="B32" s="653" t="s">
        <v>15</v>
      </c>
      <c r="C32" s="579">
        <v>112</v>
      </c>
      <c r="D32" s="109"/>
      <c r="E32" s="571">
        <v>6</v>
      </c>
      <c r="F32" s="533">
        <f t="shared" ref="F32" si="36">E32/AI32*100</f>
        <v>3.9167047457405839E-2</v>
      </c>
      <c r="G32" s="571">
        <v>13</v>
      </c>
      <c r="H32" s="523">
        <f t="shared" ref="H32" si="37">G32/AI32*100</f>
        <v>8.4861936157712647E-2</v>
      </c>
      <c r="I32" s="571">
        <v>49</v>
      </c>
      <c r="J32" s="523">
        <f t="shared" ref="J32" si="38">I32/AI32*100</f>
        <v>0.31986422090214767</v>
      </c>
      <c r="K32" s="109"/>
      <c r="L32" s="571">
        <v>5</v>
      </c>
      <c r="M32" s="116">
        <v>0</v>
      </c>
      <c r="N32" s="116"/>
      <c r="O32" s="109">
        <v>0</v>
      </c>
      <c r="P32" s="109"/>
      <c r="Q32" s="571">
        <v>76</v>
      </c>
      <c r="R32" s="109" t="s">
        <v>81</v>
      </c>
      <c r="S32" s="109" t="s">
        <v>81</v>
      </c>
      <c r="T32" s="109">
        <v>82.01</v>
      </c>
      <c r="U32" s="572">
        <f>35*100/C32</f>
        <v>31.25</v>
      </c>
      <c r="V32" s="109">
        <v>0</v>
      </c>
      <c r="W32" s="109"/>
      <c r="X32" s="573"/>
      <c r="Y32" s="574">
        <v>72.099999999999994</v>
      </c>
      <c r="Z32" s="574">
        <v>91.6</v>
      </c>
      <c r="AA32" s="574">
        <v>91.1</v>
      </c>
      <c r="AB32" s="574">
        <v>96.6</v>
      </c>
      <c r="AC32" s="575"/>
      <c r="AD32" s="109"/>
      <c r="AE32" s="109"/>
      <c r="AF32" s="576"/>
      <c r="AG32" s="109"/>
      <c r="AH32" s="573"/>
      <c r="AI32" s="577">
        <v>15319</v>
      </c>
      <c r="AJ32" s="586">
        <f>SUM(C33:AH33)</f>
        <v>98</v>
      </c>
    </row>
    <row r="33" spans="1:114" ht="19.5" thickBot="1">
      <c r="A33" s="561"/>
      <c r="B33" s="652"/>
      <c r="C33" s="581"/>
      <c r="D33" s="562"/>
      <c r="E33" s="563"/>
      <c r="F33" s="563">
        <v>2</v>
      </c>
      <c r="G33" s="563"/>
      <c r="H33" s="563">
        <v>8</v>
      </c>
      <c r="I33" s="563"/>
      <c r="J33" s="563">
        <v>3</v>
      </c>
      <c r="K33" s="562"/>
      <c r="L33" s="563">
        <v>6</v>
      </c>
      <c r="M33" s="117">
        <v>10</v>
      </c>
      <c r="N33" s="117"/>
      <c r="O33" s="562">
        <v>10</v>
      </c>
      <c r="P33" s="562"/>
      <c r="Q33" s="563">
        <v>8</v>
      </c>
      <c r="R33" s="562">
        <v>0</v>
      </c>
      <c r="S33" s="562">
        <v>0</v>
      </c>
      <c r="T33" s="562">
        <v>9</v>
      </c>
      <c r="U33" s="564">
        <v>4</v>
      </c>
      <c r="V33" s="562">
        <v>0</v>
      </c>
      <c r="W33" s="562"/>
      <c r="X33" s="565"/>
      <c r="Y33" s="562">
        <v>8</v>
      </c>
      <c r="Z33" s="562">
        <v>10</v>
      </c>
      <c r="AA33" s="562">
        <v>10</v>
      </c>
      <c r="AB33" s="562">
        <v>10</v>
      </c>
      <c r="AC33" s="584"/>
      <c r="AD33" s="562"/>
      <c r="AE33" s="562"/>
      <c r="AF33" s="567"/>
      <c r="AG33" s="562"/>
      <c r="AH33" s="565"/>
      <c r="AI33" s="578"/>
      <c r="AJ33" s="541"/>
    </row>
    <row r="34" spans="1:114" ht="19.5" thickBot="1">
      <c r="A34" s="570">
        <v>15</v>
      </c>
      <c r="B34" s="653" t="s">
        <v>60</v>
      </c>
      <c r="C34" s="579">
        <v>11</v>
      </c>
      <c r="D34" s="109"/>
      <c r="E34" s="571">
        <v>0</v>
      </c>
      <c r="F34" s="533">
        <f t="shared" ref="F34" si="39">E34/AI34*100</f>
        <v>0</v>
      </c>
      <c r="G34" s="571">
        <v>3</v>
      </c>
      <c r="H34" s="523">
        <f t="shared" ref="H34" si="40">G34/AI34*100</f>
        <v>0.10695187165775401</v>
      </c>
      <c r="I34" s="571">
        <v>1</v>
      </c>
      <c r="J34" s="523">
        <f t="shared" ref="J34" si="41">I34/AI34*100</f>
        <v>3.5650623885918005E-2</v>
      </c>
      <c r="K34" s="109"/>
      <c r="L34" s="571">
        <v>0</v>
      </c>
      <c r="M34" s="116">
        <v>0</v>
      </c>
      <c r="N34" s="116"/>
      <c r="O34" s="109" t="s">
        <v>79</v>
      </c>
      <c r="P34" s="109"/>
      <c r="Q34" s="571">
        <v>10</v>
      </c>
      <c r="R34" s="109" t="s">
        <v>81</v>
      </c>
      <c r="S34" s="109" t="s">
        <v>81</v>
      </c>
      <c r="T34" s="109">
        <v>0.87</v>
      </c>
      <c r="U34" s="572">
        <v>0</v>
      </c>
      <c r="V34" s="109">
        <v>0</v>
      </c>
      <c r="W34" s="109"/>
      <c r="X34" s="573"/>
      <c r="Y34" s="574">
        <v>45</v>
      </c>
      <c r="Z34" s="574">
        <v>18</v>
      </c>
      <c r="AA34" s="574">
        <v>18</v>
      </c>
      <c r="AB34" s="574">
        <v>18</v>
      </c>
      <c r="AC34" s="575"/>
      <c r="AD34" s="109"/>
      <c r="AE34" s="109"/>
      <c r="AF34" s="576"/>
      <c r="AG34" s="109"/>
      <c r="AH34" s="573"/>
      <c r="AI34" s="265">
        <v>2805</v>
      </c>
      <c r="AJ34" s="560">
        <f>SUM(C35:AH35)</f>
        <v>65</v>
      </c>
    </row>
    <row r="35" spans="1:114" ht="19.5" thickBot="1">
      <c r="A35" s="587"/>
      <c r="B35" s="656"/>
      <c r="C35" s="588"/>
      <c r="D35" s="592"/>
      <c r="E35" s="590"/>
      <c r="F35" s="563">
        <v>10</v>
      </c>
      <c r="G35" s="590"/>
      <c r="H35" s="563">
        <v>7</v>
      </c>
      <c r="I35" s="590"/>
      <c r="J35" s="563">
        <v>9</v>
      </c>
      <c r="K35" s="592"/>
      <c r="L35" s="590">
        <v>10</v>
      </c>
      <c r="M35" s="591">
        <v>10</v>
      </c>
      <c r="N35" s="591"/>
      <c r="O35" s="592">
        <v>7</v>
      </c>
      <c r="P35" s="592"/>
      <c r="Q35" s="590">
        <v>1</v>
      </c>
      <c r="R35" s="592">
        <v>0</v>
      </c>
      <c r="S35" s="592">
        <v>0</v>
      </c>
      <c r="T35" s="592">
        <v>0</v>
      </c>
      <c r="U35" s="593">
        <v>0</v>
      </c>
      <c r="V35" s="592">
        <v>0</v>
      </c>
      <c r="W35" s="592"/>
      <c r="X35" s="594"/>
      <c r="Y35" s="592">
        <v>5</v>
      </c>
      <c r="Z35" s="592">
        <v>2</v>
      </c>
      <c r="AA35" s="592">
        <v>2</v>
      </c>
      <c r="AB35" s="592">
        <v>2</v>
      </c>
      <c r="AC35" s="595"/>
      <c r="AD35" s="592"/>
      <c r="AE35" s="592"/>
      <c r="AF35" s="596"/>
      <c r="AG35" s="592"/>
      <c r="AH35" s="594"/>
      <c r="AI35" s="598"/>
      <c r="AJ35" s="569"/>
    </row>
    <row r="36" spans="1:114" ht="19.5" thickBot="1">
      <c r="A36" s="570">
        <v>16</v>
      </c>
      <c r="B36" s="653" t="s">
        <v>17</v>
      </c>
      <c r="C36" s="579">
        <v>34</v>
      </c>
      <c r="D36" s="200"/>
      <c r="E36" s="571">
        <v>2</v>
      </c>
      <c r="F36" s="533">
        <f t="shared" ref="F36" si="42">E36/AI36*100</f>
        <v>2.5664057487488769E-2</v>
      </c>
      <c r="G36" s="571">
        <v>12</v>
      </c>
      <c r="H36" s="523">
        <f t="shared" ref="H36" si="43">G36/AI36*100</f>
        <v>0.15398434492493263</v>
      </c>
      <c r="I36" s="571">
        <v>22</v>
      </c>
      <c r="J36" s="523">
        <f t="shared" ref="J36" si="44">I36/AI36*100</f>
        <v>0.28230463236237652</v>
      </c>
      <c r="K36" s="200"/>
      <c r="L36" s="571">
        <v>0</v>
      </c>
      <c r="M36" s="116">
        <v>0</v>
      </c>
      <c r="N36" s="116"/>
      <c r="O36" s="200">
        <v>0</v>
      </c>
      <c r="P36" s="200"/>
      <c r="Q36" s="571">
        <v>21</v>
      </c>
      <c r="R36" s="200" t="s">
        <v>81</v>
      </c>
      <c r="S36" s="200" t="s">
        <v>81</v>
      </c>
      <c r="T36" s="200">
        <v>34.549999999999997</v>
      </c>
      <c r="U36" s="572">
        <v>0</v>
      </c>
      <c r="V36" s="200">
        <v>0</v>
      </c>
      <c r="W36" s="200"/>
      <c r="X36" s="580"/>
      <c r="Y36" s="574">
        <v>30.3</v>
      </c>
      <c r="Z36" s="574">
        <v>3</v>
      </c>
      <c r="AA36" s="574">
        <v>3</v>
      </c>
      <c r="AB36" s="574">
        <v>73</v>
      </c>
      <c r="AC36" s="575"/>
      <c r="AD36" s="200"/>
      <c r="AE36" s="200"/>
      <c r="AF36" s="576"/>
      <c r="AG36" s="200"/>
      <c r="AH36" s="580"/>
      <c r="AI36" s="577">
        <v>7793</v>
      </c>
      <c r="AJ36" s="586">
        <f>SUM(C37:AH37)</f>
        <v>64</v>
      </c>
    </row>
    <row r="37" spans="1:114" ht="19.5" thickBot="1">
      <c r="A37" s="561"/>
      <c r="B37" s="652"/>
      <c r="C37" s="581"/>
      <c r="D37" s="582"/>
      <c r="E37" s="563"/>
      <c r="F37" s="563">
        <v>4</v>
      </c>
      <c r="G37" s="563"/>
      <c r="H37" s="563">
        <v>7</v>
      </c>
      <c r="I37" s="563"/>
      <c r="J37" s="563">
        <v>4</v>
      </c>
      <c r="K37" s="582"/>
      <c r="L37" s="563">
        <v>10</v>
      </c>
      <c r="M37" s="117">
        <v>10</v>
      </c>
      <c r="N37" s="117"/>
      <c r="O37" s="563">
        <v>10</v>
      </c>
      <c r="P37" s="582"/>
      <c r="Q37" s="563">
        <v>3</v>
      </c>
      <c r="R37" s="582">
        <v>0</v>
      </c>
      <c r="S37" s="582">
        <v>0</v>
      </c>
      <c r="T37" s="582">
        <v>4</v>
      </c>
      <c r="U37" s="564">
        <v>0</v>
      </c>
      <c r="V37" s="582">
        <v>0</v>
      </c>
      <c r="W37" s="582"/>
      <c r="X37" s="583"/>
      <c r="Y37" s="563">
        <v>4</v>
      </c>
      <c r="Z37" s="563">
        <v>0</v>
      </c>
      <c r="AA37" s="563">
        <v>0</v>
      </c>
      <c r="AB37" s="563">
        <v>8</v>
      </c>
      <c r="AC37" s="566"/>
      <c r="AD37" s="582"/>
      <c r="AE37" s="582"/>
      <c r="AF37" s="567"/>
      <c r="AG37" s="582"/>
      <c r="AH37" s="583"/>
      <c r="AI37" s="578"/>
      <c r="AJ37" s="604"/>
    </row>
    <row r="38" spans="1:114" s="657" customFormat="1" ht="19.5" thickBot="1">
      <c r="A38" s="570">
        <v>17</v>
      </c>
      <c r="B38" s="653" t="s">
        <v>18</v>
      </c>
      <c r="C38" s="579">
        <v>15</v>
      </c>
      <c r="D38" s="201"/>
      <c r="E38" s="571"/>
      <c r="F38" s="533" t="e">
        <f t="shared" ref="F38" si="45">E38/AI38*100</f>
        <v>#DIV/0!</v>
      </c>
      <c r="G38" s="571"/>
      <c r="H38" s="523" t="e">
        <f t="shared" ref="H38" si="46">G38/AI38*100</f>
        <v>#DIV/0!</v>
      </c>
      <c r="I38" s="571"/>
      <c r="J38" s="523" t="e">
        <f t="shared" ref="J38" si="47">I38/AI38*100</f>
        <v>#DIV/0!</v>
      </c>
      <c r="K38" s="201"/>
      <c r="L38" s="571"/>
      <c r="M38" s="116"/>
      <c r="N38" s="118"/>
      <c r="O38" s="585"/>
      <c r="P38" s="585"/>
      <c r="Q38" s="571">
        <v>10</v>
      </c>
      <c r="R38" s="200"/>
      <c r="S38" s="200"/>
      <c r="T38" s="200">
        <v>0.11</v>
      </c>
      <c r="U38" s="572"/>
      <c r="V38" s="200"/>
      <c r="W38" s="109"/>
      <c r="X38" s="573"/>
      <c r="Y38" s="574"/>
      <c r="Z38" s="574"/>
      <c r="AA38" s="574"/>
      <c r="AB38" s="574"/>
      <c r="AC38" s="575"/>
      <c r="AD38" s="109"/>
      <c r="AE38" s="109"/>
      <c r="AF38" s="576"/>
      <c r="AG38" s="109"/>
      <c r="AH38" s="573"/>
      <c r="AI38" s="577"/>
      <c r="AJ38" s="605">
        <f>SUM(C39:AH39)</f>
        <v>51</v>
      </c>
      <c r="AK38" s="624"/>
      <c r="AL38" s="624"/>
      <c r="AM38" s="624"/>
      <c r="AN38" s="624"/>
      <c r="AO38" s="624"/>
      <c r="AP38" s="624"/>
      <c r="AQ38" s="624"/>
      <c r="AR38" s="624"/>
      <c r="AS38" s="624"/>
      <c r="AT38" s="624"/>
      <c r="AU38" s="624"/>
      <c r="AV38" s="624"/>
      <c r="AW38" s="624"/>
      <c r="AX38" s="624"/>
      <c r="AY38" s="624"/>
      <c r="AZ38" s="624"/>
      <c r="BA38" s="624"/>
      <c r="BB38" s="624"/>
      <c r="BC38" s="624"/>
      <c r="BD38" s="624"/>
      <c r="BE38" s="624"/>
      <c r="BF38" s="624"/>
      <c r="BG38" s="624"/>
      <c r="BH38" s="624"/>
      <c r="BI38" s="624"/>
      <c r="BJ38" s="624"/>
      <c r="BK38" s="624"/>
      <c r="BL38" s="624"/>
      <c r="BM38" s="624"/>
      <c r="BN38" s="624"/>
      <c r="BO38" s="624"/>
      <c r="BP38" s="624"/>
      <c r="BQ38" s="624"/>
      <c r="BR38" s="624"/>
      <c r="BS38" s="624"/>
      <c r="BT38" s="624"/>
      <c r="BU38" s="624"/>
      <c r="BV38" s="624"/>
      <c r="BW38" s="624"/>
      <c r="BX38" s="624"/>
      <c r="BY38" s="624"/>
      <c r="BZ38" s="624"/>
      <c r="CA38" s="624"/>
      <c r="CB38" s="624"/>
      <c r="CC38" s="624"/>
      <c r="CD38" s="624"/>
      <c r="CE38" s="624"/>
      <c r="CF38" s="624"/>
      <c r="CG38" s="624"/>
      <c r="CH38" s="624"/>
      <c r="CI38" s="624"/>
      <c r="CJ38" s="624"/>
      <c r="CK38" s="624"/>
      <c r="CL38" s="624"/>
      <c r="CM38" s="624"/>
      <c r="CN38" s="624"/>
      <c r="CO38" s="624"/>
      <c r="CP38" s="624"/>
      <c r="CQ38" s="624"/>
      <c r="CR38" s="624"/>
      <c r="CS38" s="624"/>
      <c r="CT38" s="624"/>
      <c r="CU38" s="624"/>
      <c r="CV38" s="624"/>
      <c r="CW38" s="624"/>
      <c r="CX38" s="624"/>
      <c r="CY38" s="624"/>
      <c r="CZ38" s="624"/>
      <c r="DA38" s="624"/>
      <c r="DB38" s="624"/>
      <c r="DC38" s="624"/>
      <c r="DD38" s="624"/>
      <c r="DE38" s="624"/>
      <c r="DF38" s="624"/>
      <c r="DG38" s="624"/>
      <c r="DH38" s="624"/>
      <c r="DI38" s="624"/>
      <c r="DJ38" s="624"/>
    </row>
    <row r="39" spans="1:114" s="657" customFormat="1" ht="19.5" thickBot="1">
      <c r="A39" s="561"/>
      <c r="B39" s="652"/>
      <c r="C39" s="581"/>
      <c r="D39" s="603"/>
      <c r="E39" s="563"/>
      <c r="F39" s="563">
        <v>16</v>
      </c>
      <c r="G39" s="563"/>
      <c r="H39" s="563">
        <v>16</v>
      </c>
      <c r="I39" s="563"/>
      <c r="J39" s="563">
        <v>18</v>
      </c>
      <c r="K39" s="603"/>
      <c r="L39" s="563"/>
      <c r="M39" s="117"/>
      <c r="N39" s="120"/>
      <c r="O39" s="602"/>
      <c r="P39" s="602"/>
      <c r="Q39" s="563">
        <v>1</v>
      </c>
      <c r="R39" s="582"/>
      <c r="S39" s="582"/>
      <c r="T39" s="582">
        <v>0</v>
      </c>
      <c r="U39" s="564"/>
      <c r="V39" s="582"/>
      <c r="W39" s="562"/>
      <c r="X39" s="565"/>
      <c r="Y39" s="563"/>
      <c r="Z39" s="563"/>
      <c r="AA39" s="563"/>
      <c r="AB39" s="563"/>
      <c r="AC39" s="566"/>
      <c r="AD39" s="562"/>
      <c r="AE39" s="562"/>
      <c r="AF39" s="567"/>
      <c r="AG39" s="562"/>
      <c r="AH39" s="565"/>
      <c r="AI39" s="578"/>
      <c r="AJ39" s="569"/>
      <c r="AK39" s="624"/>
      <c r="AL39" s="624"/>
      <c r="AM39" s="624"/>
      <c r="AN39" s="624"/>
      <c r="AO39" s="624"/>
      <c r="AP39" s="624"/>
      <c r="AQ39" s="624"/>
      <c r="AR39" s="624"/>
      <c r="AS39" s="624"/>
      <c r="AT39" s="624"/>
      <c r="AU39" s="624"/>
      <c r="AV39" s="624"/>
      <c r="AW39" s="624"/>
      <c r="AX39" s="624"/>
      <c r="AY39" s="624"/>
      <c r="AZ39" s="624"/>
      <c r="BA39" s="624"/>
      <c r="BB39" s="624"/>
      <c r="BC39" s="624"/>
      <c r="BD39" s="624"/>
      <c r="BE39" s="624"/>
      <c r="BF39" s="624"/>
      <c r="BG39" s="624"/>
      <c r="BH39" s="624"/>
      <c r="BI39" s="624"/>
      <c r="BJ39" s="624"/>
      <c r="BK39" s="624"/>
      <c r="BL39" s="624"/>
      <c r="BM39" s="624"/>
      <c r="BN39" s="624"/>
      <c r="BO39" s="624"/>
      <c r="BP39" s="624"/>
      <c r="BQ39" s="624"/>
      <c r="BR39" s="624"/>
      <c r="BS39" s="624"/>
      <c r="BT39" s="624"/>
      <c r="BU39" s="624"/>
      <c r="BV39" s="624"/>
      <c r="BW39" s="624"/>
      <c r="BX39" s="624"/>
      <c r="BY39" s="624"/>
      <c r="BZ39" s="624"/>
      <c r="CA39" s="624"/>
      <c r="CB39" s="624"/>
      <c r="CC39" s="624"/>
      <c r="CD39" s="624"/>
      <c r="CE39" s="624"/>
      <c r="CF39" s="624"/>
      <c r="CG39" s="624"/>
      <c r="CH39" s="624"/>
      <c r="CI39" s="624"/>
      <c r="CJ39" s="624"/>
      <c r="CK39" s="624"/>
      <c r="CL39" s="624"/>
      <c r="CM39" s="624"/>
      <c r="CN39" s="624"/>
      <c r="CO39" s="624"/>
      <c r="CP39" s="624"/>
      <c r="CQ39" s="624"/>
      <c r="CR39" s="624"/>
      <c r="CS39" s="624"/>
      <c r="CT39" s="624"/>
      <c r="CU39" s="624"/>
      <c r="CV39" s="624"/>
      <c r="CW39" s="624"/>
      <c r="CX39" s="624"/>
      <c r="CY39" s="624"/>
      <c r="CZ39" s="624"/>
      <c r="DA39" s="624"/>
      <c r="DB39" s="624"/>
      <c r="DC39" s="624"/>
      <c r="DD39" s="624"/>
      <c r="DE39" s="624"/>
      <c r="DF39" s="624"/>
      <c r="DG39" s="624"/>
      <c r="DH39" s="624"/>
      <c r="DI39" s="624"/>
      <c r="DJ39" s="624"/>
    </row>
    <row r="40" spans="1:114" ht="19.5" thickBot="1">
      <c r="A40" s="570">
        <v>18</v>
      </c>
      <c r="B40" s="653" t="s">
        <v>61</v>
      </c>
      <c r="C40" s="579">
        <v>5</v>
      </c>
      <c r="D40" s="109"/>
      <c r="E40" s="571">
        <v>0</v>
      </c>
      <c r="F40" s="533" t="e">
        <f t="shared" ref="F40" si="48">E40/AI40*100</f>
        <v>#DIV/0!</v>
      </c>
      <c r="G40" s="571"/>
      <c r="H40" s="523" t="e">
        <f t="shared" ref="H40" si="49">G40/AI40*100</f>
        <v>#DIV/0!</v>
      </c>
      <c r="I40" s="571"/>
      <c r="J40" s="523" t="e">
        <f t="shared" ref="J40" si="50">I40/AI40*100</f>
        <v>#DIV/0!</v>
      </c>
      <c r="K40" s="109"/>
      <c r="L40" s="571"/>
      <c r="M40" s="116"/>
      <c r="N40" s="116"/>
      <c r="O40" s="109"/>
      <c r="P40" s="109"/>
      <c r="Q40" s="571">
        <v>5</v>
      </c>
      <c r="R40" s="109"/>
      <c r="S40" s="109"/>
      <c r="T40" s="109">
        <v>0</v>
      </c>
      <c r="U40" s="572"/>
      <c r="V40" s="109"/>
      <c r="W40" s="109"/>
      <c r="X40" s="573"/>
      <c r="Y40" s="574"/>
      <c r="Z40" s="574"/>
      <c r="AA40" s="574"/>
      <c r="AB40" s="574"/>
      <c r="AC40" s="575"/>
      <c r="AD40" s="109"/>
      <c r="AE40" s="109"/>
      <c r="AF40" s="576"/>
      <c r="AG40" s="109"/>
      <c r="AH40" s="573"/>
      <c r="AI40" s="577"/>
      <c r="AJ40" s="586">
        <f>SUM(C41:AH41)</f>
        <v>63</v>
      </c>
    </row>
    <row r="41" spans="1:114" ht="19.5" thickBot="1">
      <c r="A41" s="561"/>
      <c r="B41" s="652"/>
      <c r="C41" s="581"/>
      <c r="D41" s="562"/>
      <c r="E41" s="563">
        <v>10</v>
      </c>
      <c r="F41" s="563">
        <v>17</v>
      </c>
      <c r="G41" s="563"/>
      <c r="H41" s="563">
        <v>17</v>
      </c>
      <c r="I41" s="563"/>
      <c r="J41" s="563">
        <v>19</v>
      </c>
      <c r="K41" s="562"/>
      <c r="L41" s="563"/>
      <c r="M41" s="117"/>
      <c r="N41" s="117"/>
      <c r="O41" s="562"/>
      <c r="P41" s="562"/>
      <c r="Q41" s="563"/>
      <c r="R41" s="562"/>
      <c r="S41" s="562"/>
      <c r="T41" s="562"/>
      <c r="U41" s="564"/>
      <c r="V41" s="562"/>
      <c r="W41" s="562"/>
      <c r="X41" s="565"/>
      <c r="Y41" s="563"/>
      <c r="Z41" s="563"/>
      <c r="AA41" s="563"/>
      <c r="AB41" s="563"/>
      <c r="AC41" s="566"/>
      <c r="AD41" s="562"/>
      <c r="AE41" s="562"/>
      <c r="AF41" s="567"/>
      <c r="AG41" s="562"/>
      <c r="AH41" s="565"/>
      <c r="AI41" s="578"/>
      <c r="AJ41" s="541"/>
    </row>
    <row r="42" spans="1:114" ht="19.5" thickBot="1">
      <c r="A42" s="570">
        <v>19</v>
      </c>
      <c r="B42" s="653" t="s">
        <v>62</v>
      </c>
      <c r="C42" s="579">
        <v>8</v>
      </c>
      <c r="D42" s="200"/>
      <c r="E42" s="571">
        <v>1</v>
      </c>
      <c r="F42" s="533">
        <f t="shared" ref="F42" si="51">E42/AI42*100</f>
        <v>7.0571630204657732E-2</v>
      </c>
      <c r="G42" s="571">
        <v>0</v>
      </c>
      <c r="H42" s="523">
        <f t="shared" ref="H42" si="52">G42/AI42*100</f>
        <v>0</v>
      </c>
      <c r="I42" s="571">
        <v>4</v>
      </c>
      <c r="J42" s="523">
        <f t="shared" ref="J42" si="53">I42/AI42*100</f>
        <v>0.28228652081863093</v>
      </c>
      <c r="K42" s="200"/>
      <c r="L42" s="571">
        <v>0</v>
      </c>
      <c r="M42" s="116">
        <v>0</v>
      </c>
      <c r="N42" s="116"/>
      <c r="O42" s="200">
        <v>0</v>
      </c>
      <c r="P42" s="200"/>
      <c r="Q42" s="571">
        <v>0</v>
      </c>
      <c r="R42" s="200" t="s">
        <v>81</v>
      </c>
      <c r="S42" s="200" t="s">
        <v>81</v>
      </c>
      <c r="T42" s="200">
        <v>0</v>
      </c>
      <c r="U42" s="572">
        <v>0</v>
      </c>
      <c r="V42" s="200">
        <v>0</v>
      </c>
      <c r="W42" s="200"/>
      <c r="X42" s="580"/>
      <c r="Y42" s="574">
        <v>100</v>
      </c>
      <c r="Z42" s="574">
        <v>100</v>
      </c>
      <c r="AA42" s="574">
        <v>100</v>
      </c>
      <c r="AB42" s="574">
        <v>100</v>
      </c>
      <c r="AC42" s="575"/>
      <c r="AD42" s="200"/>
      <c r="AE42" s="200"/>
      <c r="AF42" s="576"/>
      <c r="AG42" s="200"/>
      <c r="AH42" s="580"/>
      <c r="AI42" s="265">
        <v>1417</v>
      </c>
      <c r="AJ42" s="560">
        <f>SUM(C43:AH43)</f>
        <v>84</v>
      </c>
    </row>
    <row r="43" spans="1:114" ht="19.5" thickBot="1">
      <c r="A43" s="561"/>
      <c r="B43" s="652"/>
      <c r="C43" s="581"/>
      <c r="D43" s="582"/>
      <c r="E43" s="563"/>
      <c r="F43" s="563">
        <v>0</v>
      </c>
      <c r="G43" s="563"/>
      <c r="H43" s="563">
        <v>10</v>
      </c>
      <c r="I43" s="563"/>
      <c r="J43" s="563">
        <v>4</v>
      </c>
      <c r="K43" s="582"/>
      <c r="L43" s="563">
        <v>10</v>
      </c>
      <c r="M43" s="117">
        <v>10</v>
      </c>
      <c r="N43" s="117"/>
      <c r="O43" s="582">
        <v>10</v>
      </c>
      <c r="P43" s="582"/>
      <c r="Q43" s="563">
        <v>0</v>
      </c>
      <c r="R43" s="582">
        <v>0</v>
      </c>
      <c r="S43" s="582">
        <v>0</v>
      </c>
      <c r="T43" s="582">
        <v>0</v>
      </c>
      <c r="U43" s="564">
        <v>0</v>
      </c>
      <c r="V43" s="582">
        <v>0</v>
      </c>
      <c r="W43" s="582"/>
      <c r="X43" s="583"/>
      <c r="Y43" s="563">
        <v>10</v>
      </c>
      <c r="Z43" s="563">
        <v>10</v>
      </c>
      <c r="AA43" s="563">
        <v>10</v>
      </c>
      <c r="AB43" s="563">
        <v>10</v>
      </c>
      <c r="AC43" s="566"/>
      <c r="AD43" s="582"/>
      <c r="AE43" s="582"/>
      <c r="AF43" s="567"/>
      <c r="AG43" s="582"/>
      <c r="AH43" s="583"/>
      <c r="AI43" s="568"/>
      <c r="AJ43" s="569"/>
    </row>
    <row r="44" spans="1:114" s="657" customFormat="1" ht="19.5" thickBot="1">
      <c r="A44" s="570">
        <v>20</v>
      </c>
      <c r="B44" s="653" t="s">
        <v>63</v>
      </c>
      <c r="C44" s="579">
        <v>107</v>
      </c>
      <c r="D44" s="201"/>
      <c r="E44" s="571">
        <v>4</v>
      </c>
      <c r="F44" s="533">
        <f t="shared" ref="F44" si="54">E44/AI44*100</f>
        <v>2.4412572474824534E-2</v>
      </c>
      <c r="G44" s="571">
        <v>29</v>
      </c>
      <c r="H44" s="523">
        <f t="shared" ref="H44" si="55">G44/AI44*100</f>
        <v>0.17699115044247787</v>
      </c>
      <c r="I44" s="571">
        <v>20</v>
      </c>
      <c r="J44" s="523">
        <f t="shared" ref="J44" si="56">I44/AI44*100</f>
        <v>0.12206286237412267</v>
      </c>
      <c r="K44" s="200"/>
      <c r="L44" s="571">
        <v>2</v>
      </c>
      <c r="M44" s="116">
        <v>0</v>
      </c>
      <c r="N44" s="116"/>
      <c r="O44" s="200" t="s">
        <v>80</v>
      </c>
      <c r="P44" s="201"/>
      <c r="Q44" s="571">
        <v>58</v>
      </c>
      <c r="R44" s="200" t="s">
        <v>81</v>
      </c>
      <c r="S44" s="200" t="s">
        <v>81</v>
      </c>
      <c r="T44" s="200">
        <v>67.8</v>
      </c>
      <c r="U44" s="572">
        <v>0</v>
      </c>
      <c r="V44" s="200">
        <v>0</v>
      </c>
      <c r="W44" s="109"/>
      <c r="X44" s="573"/>
      <c r="Y44" s="574"/>
      <c r="Z44" s="574"/>
      <c r="AA44" s="574"/>
      <c r="AB44" s="574"/>
      <c r="AC44" s="575"/>
      <c r="AD44" s="109"/>
      <c r="AE44" s="109"/>
      <c r="AF44" s="576"/>
      <c r="AG44" s="109"/>
      <c r="AH44" s="573"/>
      <c r="AI44" s="577">
        <f>13697+2688</f>
        <v>16385</v>
      </c>
      <c r="AJ44" s="586">
        <f>SUM(C45:AH45)</f>
        <v>55.4</v>
      </c>
      <c r="AK44" s="624"/>
      <c r="AL44" s="624"/>
      <c r="AM44" s="624"/>
      <c r="AN44" s="624"/>
      <c r="AO44" s="624"/>
      <c r="AP44" s="624"/>
      <c r="AQ44" s="624"/>
      <c r="AR44" s="624"/>
      <c r="AS44" s="624"/>
      <c r="AT44" s="624"/>
      <c r="AU44" s="624"/>
      <c r="AV44" s="624"/>
      <c r="AW44" s="624"/>
      <c r="AX44" s="624"/>
      <c r="AY44" s="624"/>
      <c r="AZ44" s="624"/>
      <c r="BA44" s="624"/>
      <c r="BB44" s="624"/>
      <c r="BC44" s="624"/>
      <c r="BD44" s="624"/>
      <c r="BE44" s="624"/>
      <c r="BF44" s="624"/>
      <c r="BG44" s="624"/>
      <c r="BH44" s="624"/>
      <c r="BI44" s="624"/>
      <c r="BJ44" s="624"/>
      <c r="BK44" s="624"/>
      <c r="BL44" s="624"/>
      <c r="BM44" s="624"/>
      <c r="BN44" s="624"/>
      <c r="BO44" s="624"/>
      <c r="BP44" s="624"/>
      <c r="BQ44" s="624"/>
      <c r="BR44" s="624"/>
      <c r="BS44" s="624"/>
      <c r="BT44" s="624"/>
      <c r="BU44" s="624"/>
      <c r="BV44" s="624"/>
      <c r="BW44" s="624"/>
      <c r="BX44" s="624"/>
      <c r="BY44" s="624"/>
      <c r="BZ44" s="624"/>
      <c r="CA44" s="624"/>
      <c r="CB44" s="624"/>
      <c r="CC44" s="624"/>
      <c r="CD44" s="624"/>
      <c r="CE44" s="624"/>
      <c r="CF44" s="624"/>
      <c r="CG44" s="624"/>
      <c r="CH44" s="624"/>
      <c r="CI44" s="624"/>
      <c r="CJ44" s="624"/>
      <c r="CK44" s="624"/>
      <c r="CL44" s="624"/>
      <c r="CM44" s="624"/>
      <c r="CN44" s="624"/>
      <c r="CO44" s="624"/>
      <c r="CP44" s="624"/>
      <c r="CQ44" s="624"/>
      <c r="CR44" s="624"/>
      <c r="CS44" s="624"/>
      <c r="CT44" s="624"/>
      <c r="CU44" s="624"/>
      <c r="CV44" s="624"/>
      <c r="CW44" s="624"/>
      <c r="CX44" s="624"/>
      <c r="CY44" s="624"/>
      <c r="CZ44" s="624"/>
      <c r="DA44" s="624"/>
      <c r="DB44" s="624"/>
      <c r="DC44" s="624"/>
      <c r="DD44" s="624"/>
      <c r="DE44" s="624"/>
      <c r="DF44" s="624"/>
      <c r="DG44" s="624"/>
      <c r="DH44" s="624"/>
      <c r="DI44" s="624"/>
      <c r="DJ44" s="624"/>
    </row>
    <row r="45" spans="1:114" s="657" customFormat="1" ht="19.5" thickBot="1">
      <c r="A45" s="561"/>
      <c r="B45" s="652"/>
      <c r="C45" s="581"/>
      <c r="D45" s="603"/>
      <c r="E45" s="563"/>
      <c r="F45" s="563">
        <v>5</v>
      </c>
      <c r="G45" s="563"/>
      <c r="H45" s="563">
        <v>6</v>
      </c>
      <c r="I45" s="563"/>
      <c r="J45" s="563">
        <v>7</v>
      </c>
      <c r="K45" s="582">
        <v>-0.6</v>
      </c>
      <c r="L45" s="563">
        <v>9</v>
      </c>
      <c r="M45" s="117">
        <v>10</v>
      </c>
      <c r="N45" s="117"/>
      <c r="O45" s="582">
        <v>6</v>
      </c>
      <c r="P45" s="603"/>
      <c r="Q45" s="563">
        <v>6</v>
      </c>
      <c r="R45" s="582">
        <v>0</v>
      </c>
      <c r="S45" s="582">
        <v>0</v>
      </c>
      <c r="T45" s="582">
        <v>7</v>
      </c>
      <c r="U45" s="564">
        <v>0</v>
      </c>
      <c r="V45" s="582">
        <v>0</v>
      </c>
      <c r="W45" s="562"/>
      <c r="X45" s="565"/>
      <c r="Y45" s="563"/>
      <c r="Z45" s="563"/>
      <c r="AA45" s="563"/>
      <c r="AB45" s="563"/>
      <c r="AC45" s="566"/>
      <c r="AD45" s="562"/>
      <c r="AE45" s="562"/>
      <c r="AF45" s="567"/>
      <c r="AG45" s="562"/>
      <c r="AH45" s="565"/>
      <c r="AI45" s="578"/>
      <c r="AJ45" s="541"/>
      <c r="AK45" s="624"/>
      <c r="AL45" s="624"/>
      <c r="AM45" s="624"/>
      <c r="AN45" s="624"/>
      <c r="AO45" s="624"/>
      <c r="AP45" s="624"/>
      <c r="AQ45" s="624"/>
      <c r="AR45" s="624"/>
      <c r="AS45" s="624"/>
      <c r="AT45" s="624"/>
      <c r="AU45" s="624"/>
      <c r="AV45" s="624"/>
      <c r="AW45" s="624"/>
      <c r="AX45" s="624"/>
      <c r="AY45" s="624"/>
      <c r="AZ45" s="624"/>
      <c r="BA45" s="624"/>
      <c r="BB45" s="624"/>
      <c r="BC45" s="624"/>
      <c r="BD45" s="624"/>
      <c r="BE45" s="624"/>
      <c r="BF45" s="624"/>
      <c r="BG45" s="624"/>
      <c r="BH45" s="624"/>
      <c r="BI45" s="624"/>
      <c r="BJ45" s="624"/>
      <c r="BK45" s="624"/>
      <c r="BL45" s="624"/>
      <c r="BM45" s="624"/>
      <c r="BN45" s="624"/>
      <c r="BO45" s="624"/>
      <c r="BP45" s="624"/>
      <c r="BQ45" s="624"/>
      <c r="BR45" s="624"/>
      <c r="BS45" s="624"/>
      <c r="BT45" s="624"/>
      <c r="BU45" s="624"/>
      <c r="BV45" s="624"/>
      <c r="BW45" s="624"/>
      <c r="BX45" s="624"/>
      <c r="BY45" s="624"/>
      <c r="BZ45" s="624"/>
      <c r="CA45" s="624"/>
      <c r="CB45" s="624"/>
      <c r="CC45" s="624"/>
      <c r="CD45" s="624"/>
      <c r="CE45" s="624"/>
      <c r="CF45" s="624"/>
      <c r="CG45" s="624"/>
      <c r="CH45" s="624"/>
      <c r="CI45" s="624"/>
      <c r="CJ45" s="624"/>
      <c r="CK45" s="624"/>
      <c r="CL45" s="624"/>
      <c r="CM45" s="624"/>
      <c r="CN45" s="624"/>
      <c r="CO45" s="624"/>
      <c r="CP45" s="624"/>
      <c r="CQ45" s="624"/>
      <c r="CR45" s="624"/>
      <c r="CS45" s="624"/>
      <c r="CT45" s="624"/>
      <c r="CU45" s="624"/>
      <c r="CV45" s="624"/>
      <c r="CW45" s="624"/>
      <c r="CX45" s="624"/>
      <c r="CY45" s="624"/>
      <c r="CZ45" s="624"/>
      <c r="DA45" s="624"/>
      <c r="DB45" s="624"/>
      <c r="DC45" s="624"/>
      <c r="DD45" s="624"/>
      <c r="DE45" s="624"/>
      <c r="DF45" s="624"/>
      <c r="DG45" s="624"/>
      <c r="DH45" s="624"/>
      <c r="DI45" s="624"/>
      <c r="DJ45" s="624"/>
    </row>
    <row r="46" spans="1:114" ht="19.5" thickBot="1">
      <c r="A46" s="570">
        <v>21</v>
      </c>
      <c r="B46" s="653" t="s">
        <v>64</v>
      </c>
      <c r="C46" s="579">
        <v>6</v>
      </c>
      <c r="D46" s="109"/>
      <c r="E46" s="571">
        <v>0</v>
      </c>
      <c r="F46" s="533" t="e">
        <f t="shared" ref="F46" si="57">E46/AI46*100</f>
        <v>#DIV/0!</v>
      </c>
      <c r="G46" s="571"/>
      <c r="H46" s="523" t="e">
        <f t="shared" ref="H46" si="58">G46/AI46*100</f>
        <v>#DIV/0!</v>
      </c>
      <c r="I46" s="571"/>
      <c r="J46" s="523" t="e">
        <f t="shared" ref="J46" si="59">I46/AI46*100</f>
        <v>#DIV/0!</v>
      </c>
      <c r="K46" s="109"/>
      <c r="L46" s="571"/>
      <c r="M46" s="116"/>
      <c r="N46" s="116"/>
      <c r="O46" s="109"/>
      <c r="P46" s="109"/>
      <c r="Q46" s="571">
        <v>2</v>
      </c>
      <c r="R46" s="109"/>
      <c r="S46" s="109"/>
      <c r="T46" s="109">
        <v>51.01</v>
      </c>
      <c r="U46" s="572"/>
      <c r="V46" s="109"/>
      <c r="W46" s="109"/>
      <c r="X46" s="573"/>
      <c r="Y46" s="574"/>
      <c r="Z46" s="574"/>
      <c r="AA46" s="574"/>
      <c r="AB46" s="574"/>
      <c r="AC46" s="575"/>
      <c r="AD46" s="109"/>
      <c r="AE46" s="109"/>
      <c r="AF46" s="576"/>
      <c r="AG46" s="109"/>
      <c r="AH46" s="573"/>
      <c r="AI46" s="265"/>
      <c r="AJ46" s="560">
        <f>SUM(C47:AH47)</f>
        <v>78</v>
      </c>
    </row>
    <row r="47" spans="1:114" ht="19.5" thickBot="1">
      <c r="A47" s="561"/>
      <c r="B47" s="652"/>
      <c r="C47" s="581"/>
      <c r="D47" s="562"/>
      <c r="E47" s="563">
        <v>10</v>
      </c>
      <c r="F47" s="563">
        <v>20</v>
      </c>
      <c r="G47" s="563"/>
      <c r="H47" s="563">
        <v>20</v>
      </c>
      <c r="I47" s="563"/>
      <c r="J47" s="563">
        <v>22</v>
      </c>
      <c r="K47" s="562"/>
      <c r="L47" s="563"/>
      <c r="M47" s="117"/>
      <c r="N47" s="117"/>
      <c r="O47" s="562"/>
      <c r="P47" s="562"/>
      <c r="Q47" s="563"/>
      <c r="R47" s="562"/>
      <c r="S47" s="562"/>
      <c r="T47" s="562">
        <v>6</v>
      </c>
      <c r="U47" s="564"/>
      <c r="V47" s="562"/>
      <c r="W47" s="562"/>
      <c r="X47" s="565"/>
      <c r="Y47" s="563"/>
      <c r="Z47" s="563"/>
      <c r="AA47" s="563"/>
      <c r="AB47" s="563"/>
      <c r="AC47" s="566"/>
      <c r="AD47" s="562"/>
      <c r="AE47" s="562"/>
      <c r="AF47" s="567"/>
      <c r="AG47" s="562"/>
      <c r="AH47" s="565"/>
      <c r="AI47" s="568"/>
      <c r="AJ47" s="569"/>
    </row>
    <row r="48" spans="1:114" ht="19.5" thickBot="1">
      <c r="A48" s="570">
        <v>22</v>
      </c>
      <c r="B48" s="653" t="s">
        <v>65</v>
      </c>
      <c r="C48" s="579">
        <v>4</v>
      </c>
      <c r="D48" s="571"/>
      <c r="E48" s="571">
        <v>0</v>
      </c>
      <c r="F48" s="533" t="e">
        <f t="shared" ref="F48" si="60">E48/AI48*100</f>
        <v>#DIV/0!</v>
      </c>
      <c r="G48" s="571"/>
      <c r="H48" s="523" t="e">
        <f t="shared" ref="H48" si="61">G48/AI48*100</f>
        <v>#DIV/0!</v>
      </c>
      <c r="I48" s="571"/>
      <c r="J48" s="523" t="e">
        <f t="shared" ref="J48" si="62">I48/AI48*100</f>
        <v>#DIV/0!</v>
      </c>
      <c r="K48" s="571"/>
      <c r="L48" s="571"/>
      <c r="M48" s="116"/>
      <c r="N48" s="116"/>
      <c r="O48" s="200"/>
      <c r="P48" s="200"/>
      <c r="Q48" s="571">
        <v>0</v>
      </c>
      <c r="R48" s="200"/>
      <c r="S48" s="200"/>
      <c r="T48" s="200">
        <v>100</v>
      </c>
      <c r="U48" s="572"/>
      <c r="V48" s="200"/>
      <c r="W48" s="109"/>
      <c r="X48" s="580"/>
      <c r="Y48" s="574"/>
      <c r="Z48" s="574"/>
      <c r="AA48" s="574"/>
      <c r="AB48" s="574"/>
      <c r="AC48" s="575"/>
      <c r="AD48" s="200"/>
      <c r="AE48" s="200"/>
      <c r="AF48" s="576"/>
      <c r="AG48" s="200"/>
      <c r="AH48" s="580"/>
      <c r="AI48" s="577"/>
      <c r="AJ48" s="586">
        <f>SUM(C49:AH49)</f>
        <v>85</v>
      </c>
    </row>
    <row r="49" spans="1:114" ht="19.5" thickBot="1">
      <c r="A49" s="561"/>
      <c r="B49" s="652"/>
      <c r="C49" s="581"/>
      <c r="D49" s="563"/>
      <c r="E49" s="563">
        <v>10</v>
      </c>
      <c r="F49" s="563">
        <v>21</v>
      </c>
      <c r="G49" s="563"/>
      <c r="H49" s="563">
        <v>21</v>
      </c>
      <c r="I49" s="563"/>
      <c r="J49" s="563">
        <v>23</v>
      </c>
      <c r="K49" s="563"/>
      <c r="L49" s="563"/>
      <c r="M49" s="117"/>
      <c r="N49" s="117"/>
      <c r="O49" s="582"/>
      <c r="P49" s="582"/>
      <c r="Q49" s="563"/>
      <c r="R49" s="582"/>
      <c r="S49" s="582"/>
      <c r="T49" s="582">
        <v>10</v>
      </c>
      <c r="U49" s="564"/>
      <c r="V49" s="582"/>
      <c r="W49" s="562"/>
      <c r="X49" s="583"/>
      <c r="Y49" s="563"/>
      <c r="Z49" s="563"/>
      <c r="AA49" s="563"/>
      <c r="AB49" s="563"/>
      <c r="AC49" s="566"/>
      <c r="AD49" s="582"/>
      <c r="AE49" s="582"/>
      <c r="AF49" s="567"/>
      <c r="AG49" s="582"/>
      <c r="AH49" s="583"/>
      <c r="AI49" s="578"/>
      <c r="AJ49" s="541"/>
    </row>
    <row r="50" spans="1:114" s="657" customFormat="1" ht="19.5" thickBot="1">
      <c r="A50" s="570">
        <v>23</v>
      </c>
      <c r="B50" s="653" t="s">
        <v>66</v>
      </c>
      <c r="C50" s="579">
        <v>1</v>
      </c>
      <c r="D50" s="201"/>
      <c r="E50" s="606"/>
      <c r="F50" s="533" t="e">
        <f t="shared" ref="F50" si="63">E50/AI50*100</f>
        <v>#DIV/0!</v>
      </c>
      <c r="G50" s="606"/>
      <c r="H50" s="523" t="e">
        <f t="shared" ref="H50" si="64">G50/AI50*100</f>
        <v>#DIV/0!</v>
      </c>
      <c r="I50" s="606"/>
      <c r="J50" s="523" t="e">
        <f t="shared" ref="J50" si="65">I50/AI50*100</f>
        <v>#DIV/0!</v>
      </c>
      <c r="K50" s="201"/>
      <c r="L50" s="606"/>
      <c r="M50" s="118"/>
      <c r="N50" s="118"/>
      <c r="O50" s="585"/>
      <c r="P50" s="585"/>
      <c r="Q50" s="571">
        <v>0</v>
      </c>
      <c r="R50" s="200"/>
      <c r="S50" s="200"/>
      <c r="T50" s="200">
        <v>100</v>
      </c>
      <c r="U50" s="572"/>
      <c r="V50" s="200"/>
      <c r="W50" s="109"/>
      <c r="X50" s="573"/>
      <c r="Y50" s="574"/>
      <c r="Z50" s="574"/>
      <c r="AA50" s="574"/>
      <c r="AB50" s="574"/>
      <c r="AC50" s="575"/>
      <c r="AD50" s="109"/>
      <c r="AE50" s="109"/>
      <c r="AF50" s="576"/>
      <c r="AG50" s="109"/>
      <c r="AH50" s="573"/>
      <c r="AI50" s="265"/>
      <c r="AJ50" s="560">
        <f>SUM(C51:AH51)</f>
        <v>78</v>
      </c>
      <c r="AK50" s="624"/>
      <c r="AL50" s="624"/>
      <c r="AM50" s="624"/>
      <c r="AN50" s="624"/>
      <c r="AO50" s="624"/>
      <c r="AP50" s="624"/>
      <c r="AQ50" s="624"/>
      <c r="AR50" s="624"/>
      <c r="AS50" s="624"/>
      <c r="AT50" s="624"/>
      <c r="AU50" s="624"/>
      <c r="AV50" s="624"/>
      <c r="AW50" s="624"/>
      <c r="AX50" s="624"/>
      <c r="AY50" s="624"/>
      <c r="AZ50" s="624"/>
      <c r="BA50" s="624"/>
      <c r="BB50" s="624"/>
      <c r="BC50" s="624"/>
      <c r="BD50" s="624"/>
      <c r="BE50" s="624"/>
      <c r="BF50" s="624"/>
      <c r="BG50" s="624"/>
      <c r="BH50" s="624"/>
      <c r="BI50" s="624"/>
      <c r="BJ50" s="624"/>
      <c r="BK50" s="624"/>
      <c r="BL50" s="624"/>
      <c r="BM50" s="624"/>
      <c r="BN50" s="624"/>
      <c r="BO50" s="624"/>
      <c r="BP50" s="624"/>
      <c r="BQ50" s="624"/>
      <c r="BR50" s="624"/>
      <c r="BS50" s="624"/>
      <c r="BT50" s="624"/>
      <c r="BU50" s="624"/>
      <c r="BV50" s="624"/>
      <c r="BW50" s="624"/>
      <c r="BX50" s="624"/>
      <c r="BY50" s="624"/>
      <c r="BZ50" s="624"/>
      <c r="CA50" s="624"/>
      <c r="CB50" s="624"/>
      <c r="CC50" s="624"/>
      <c r="CD50" s="624"/>
      <c r="CE50" s="624"/>
      <c r="CF50" s="624"/>
      <c r="CG50" s="624"/>
      <c r="CH50" s="624"/>
      <c r="CI50" s="624"/>
      <c r="CJ50" s="624"/>
      <c r="CK50" s="624"/>
      <c r="CL50" s="624"/>
      <c r="CM50" s="624"/>
      <c r="CN50" s="624"/>
      <c r="CO50" s="624"/>
      <c r="CP50" s="624"/>
      <c r="CQ50" s="624"/>
      <c r="CR50" s="624"/>
      <c r="CS50" s="624"/>
      <c r="CT50" s="624"/>
      <c r="CU50" s="624"/>
      <c r="CV50" s="624"/>
      <c r="CW50" s="624"/>
      <c r="CX50" s="624"/>
      <c r="CY50" s="624"/>
      <c r="CZ50" s="624"/>
      <c r="DA50" s="624"/>
      <c r="DB50" s="624"/>
      <c r="DC50" s="624"/>
      <c r="DD50" s="624"/>
      <c r="DE50" s="624"/>
      <c r="DF50" s="624"/>
      <c r="DG50" s="624"/>
      <c r="DH50" s="624"/>
      <c r="DI50" s="624"/>
      <c r="DJ50" s="624"/>
    </row>
    <row r="51" spans="1:114" s="657" customFormat="1" ht="19.5" thickBot="1">
      <c r="A51" s="561"/>
      <c r="B51" s="652"/>
      <c r="C51" s="581"/>
      <c r="D51" s="603"/>
      <c r="E51" s="607"/>
      <c r="F51" s="563">
        <v>22</v>
      </c>
      <c r="G51" s="607"/>
      <c r="H51" s="563">
        <v>22</v>
      </c>
      <c r="I51" s="607"/>
      <c r="J51" s="563">
        <v>24</v>
      </c>
      <c r="K51" s="603"/>
      <c r="L51" s="607"/>
      <c r="M51" s="120"/>
      <c r="N51" s="120"/>
      <c r="O51" s="602"/>
      <c r="P51" s="602"/>
      <c r="Q51" s="563"/>
      <c r="R51" s="582"/>
      <c r="S51" s="582"/>
      <c r="T51" s="582">
        <v>10</v>
      </c>
      <c r="U51" s="564"/>
      <c r="V51" s="582"/>
      <c r="W51" s="562"/>
      <c r="X51" s="565"/>
      <c r="Y51" s="563"/>
      <c r="Z51" s="563"/>
      <c r="AA51" s="563"/>
      <c r="AB51" s="563"/>
      <c r="AC51" s="566"/>
      <c r="AD51" s="562"/>
      <c r="AE51" s="562"/>
      <c r="AF51" s="567"/>
      <c r="AG51" s="562"/>
      <c r="AH51" s="565"/>
      <c r="AI51" s="568"/>
      <c r="AJ51" s="569"/>
      <c r="AK51" s="624"/>
      <c r="AL51" s="624"/>
      <c r="AM51" s="624"/>
      <c r="AN51" s="624"/>
      <c r="AO51" s="624"/>
      <c r="AP51" s="624"/>
      <c r="AQ51" s="624"/>
      <c r="AR51" s="624"/>
      <c r="AS51" s="624"/>
      <c r="AT51" s="624"/>
      <c r="AU51" s="624"/>
      <c r="AV51" s="624"/>
      <c r="AW51" s="624"/>
      <c r="AX51" s="624"/>
      <c r="AY51" s="624"/>
      <c r="AZ51" s="624"/>
      <c r="BA51" s="624"/>
      <c r="BB51" s="624"/>
      <c r="BC51" s="624"/>
      <c r="BD51" s="624"/>
      <c r="BE51" s="624"/>
      <c r="BF51" s="624"/>
      <c r="BG51" s="624"/>
      <c r="BH51" s="624"/>
      <c r="BI51" s="624"/>
      <c r="BJ51" s="624"/>
      <c r="BK51" s="624"/>
      <c r="BL51" s="624"/>
      <c r="BM51" s="624"/>
      <c r="BN51" s="624"/>
      <c r="BO51" s="624"/>
      <c r="BP51" s="624"/>
      <c r="BQ51" s="624"/>
      <c r="BR51" s="624"/>
      <c r="BS51" s="624"/>
      <c r="BT51" s="624"/>
      <c r="BU51" s="624"/>
      <c r="BV51" s="624"/>
      <c r="BW51" s="624"/>
      <c r="BX51" s="624"/>
      <c r="BY51" s="624"/>
      <c r="BZ51" s="624"/>
      <c r="CA51" s="624"/>
      <c r="CB51" s="624"/>
      <c r="CC51" s="624"/>
      <c r="CD51" s="624"/>
      <c r="CE51" s="624"/>
      <c r="CF51" s="624"/>
      <c r="CG51" s="624"/>
      <c r="CH51" s="624"/>
      <c r="CI51" s="624"/>
      <c r="CJ51" s="624"/>
      <c r="CK51" s="624"/>
      <c r="CL51" s="624"/>
      <c r="CM51" s="624"/>
      <c r="CN51" s="624"/>
      <c r="CO51" s="624"/>
      <c r="CP51" s="624"/>
      <c r="CQ51" s="624"/>
      <c r="CR51" s="624"/>
      <c r="CS51" s="624"/>
      <c r="CT51" s="624"/>
      <c r="CU51" s="624"/>
      <c r="CV51" s="624"/>
      <c r="CW51" s="624"/>
      <c r="CX51" s="624"/>
      <c r="CY51" s="624"/>
      <c r="CZ51" s="624"/>
      <c r="DA51" s="624"/>
      <c r="DB51" s="624"/>
      <c r="DC51" s="624"/>
      <c r="DD51" s="624"/>
      <c r="DE51" s="624"/>
      <c r="DF51" s="624"/>
      <c r="DG51" s="624"/>
      <c r="DH51" s="624"/>
      <c r="DI51" s="624"/>
      <c r="DJ51" s="624"/>
    </row>
    <row r="52" spans="1:114" ht="19.5" thickBot="1">
      <c r="A52" s="570">
        <v>24</v>
      </c>
      <c r="B52" s="653" t="s">
        <v>20</v>
      </c>
      <c r="C52" s="579">
        <v>62</v>
      </c>
      <c r="D52" s="109"/>
      <c r="E52" s="571">
        <v>0</v>
      </c>
      <c r="F52" s="533">
        <f t="shared" ref="F52" si="66">E52/AI52*100</f>
        <v>0</v>
      </c>
      <c r="G52" s="571">
        <v>3</v>
      </c>
      <c r="H52" s="523">
        <f t="shared" ref="H52" si="67">G52/AI52*100</f>
        <v>0.22692889561270801</v>
      </c>
      <c r="I52" s="571">
        <v>3</v>
      </c>
      <c r="J52" s="523">
        <f t="shared" ref="J52" si="68">I52/AI52*100</f>
        <v>0.22692889561270801</v>
      </c>
      <c r="K52" s="109"/>
      <c r="L52" s="571">
        <v>0</v>
      </c>
      <c r="M52" s="116">
        <v>0</v>
      </c>
      <c r="N52" s="116"/>
      <c r="O52" s="109">
        <v>0</v>
      </c>
      <c r="P52" s="109"/>
      <c r="Q52" s="571">
        <v>23</v>
      </c>
      <c r="R52" s="109" t="s">
        <v>81</v>
      </c>
      <c r="S52" s="109" t="s">
        <v>81</v>
      </c>
      <c r="T52" s="109">
        <v>11.54</v>
      </c>
      <c r="U52" s="572">
        <v>0</v>
      </c>
      <c r="V52" s="109">
        <v>1.61</v>
      </c>
      <c r="W52" s="109"/>
      <c r="X52" s="573"/>
      <c r="Y52" s="574">
        <v>0.02</v>
      </c>
      <c r="Z52" s="574">
        <v>0</v>
      </c>
      <c r="AA52" s="574">
        <v>0</v>
      </c>
      <c r="AB52" s="574">
        <v>0.12</v>
      </c>
      <c r="AC52" s="575"/>
      <c r="AD52" s="109"/>
      <c r="AE52" s="109"/>
      <c r="AF52" s="576"/>
      <c r="AG52" s="109"/>
      <c r="AH52" s="573"/>
      <c r="AI52" s="577">
        <v>1322</v>
      </c>
      <c r="AJ52" s="586">
        <f>SUM(C53:AH53)</f>
        <v>53.5</v>
      </c>
    </row>
    <row r="53" spans="1:114" ht="15" customHeight="1" thickBot="1">
      <c r="A53" s="561"/>
      <c r="B53" s="652"/>
      <c r="C53" s="581"/>
      <c r="D53" s="562"/>
      <c r="E53" s="563"/>
      <c r="F53" s="563">
        <v>10</v>
      </c>
      <c r="G53" s="563"/>
      <c r="H53" s="563">
        <v>5</v>
      </c>
      <c r="I53" s="563"/>
      <c r="J53" s="563">
        <v>5</v>
      </c>
      <c r="K53" s="562">
        <v>-0.5</v>
      </c>
      <c r="L53" s="563">
        <v>10</v>
      </c>
      <c r="M53" s="117">
        <v>10</v>
      </c>
      <c r="N53" s="117"/>
      <c r="O53" s="562">
        <v>10</v>
      </c>
      <c r="P53" s="562"/>
      <c r="Q53" s="563">
        <v>3</v>
      </c>
      <c r="R53" s="562">
        <v>0</v>
      </c>
      <c r="S53" s="562">
        <v>0</v>
      </c>
      <c r="T53" s="562">
        <v>1</v>
      </c>
      <c r="U53" s="564">
        <v>0</v>
      </c>
      <c r="V53" s="562">
        <v>0</v>
      </c>
      <c r="W53" s="562"/>
      <c r="X53" s="565"/>
      <c r="Y53" s="563">
        <v>0</v>
      </c>
      <c r="Z53" s="563">
        <v>0</v>
      </c>
      <c r="AA53" s="563">
        <v>0</v>
      </c>
      <c r="AB53" s="563">
        <v>0</v>
      </c>
      <c r="AC53" s="566"/>
      <c r="AD53" s="562"/>
      <c r="AE53" s="562"/>
      <c r="AF53" s="567"/>
      <c r="AG53" s="562"/>
      <c r="AH53" s="565"/>
      <c r="AI53" s="578"/>
      <c r="AJ53" s="624"/>
    </row>
    <row r="54" spans="1:114" ht="18.75" hidden="1">
      <c r="A54" s="570">
        <v>25</v>
      </c>
      <c r="B54" s="653" t="s">
        <v>67</v>
      </c>
      <c r="C54" s="579">
        <v>2</v>
      </c>
      <c r="D54" s="109"/>
      <c r="E54" s="571">
        <v>0</v>
      </c>
      <c r="F54" s="533" t="e">
        <f t="shared" ref="F54" si="69">E54/AI54*100</f>
        <v>#DIV/0!</v>
      </c>
      <c r="G54" s="571"/>
      <c r="H54" s="523" t="e">
        <f t="shared" ref="H54" si="70">G54/AI54*100</f>
        <v>#DIV/0!</v>
      </c>
      <c r="I54" s="571"/>
      <c r="J54" s="523" t="e">
        <f t="shared" ref="J54" si="71">I54/AI54*100</f>
        <v>#DIV/0!</v>
      </c>
      <c r="K54" s="109"/>
      <c r="L54" s="571"/>
      <c r="M54" s="116"/>
      <c r="N54" s="116"/>
      <c r="O54" s="109"/>
      <c r="P54" s="109"/>
      <c r="Q54" s="571">
        <v>0</v>
      </c>
      <c r="R54" s="109"/>
      <c r="S54" s="109"/>
      <c r="T54" s="109">
        <v>100</v>
      </c>
      <c r="U54" s="572"/>
      <c r="V54" s="109"/>
      <c r="W54" s="109"/>
      <c r="X54" s="573"/>
      <c r="Y54" s="574"/>
      <c r="Z54" s="574"/>
      <c r="AA54" s="574"/>
      <c r="AB54" s="574"/>
      <c r="AC54" s="575"/>
      <c r="AD54" s="109"/>
      <c r="AE54" s="109"/>
      <c r="AF54" s="576"/>
      <c r="AG54" s="109"/>
      <c r="AH54" s="573"/>
      <c r="AI54" s="265"/>
      <c r="AJ54" s="100"/>
    </row>
    <row r="55" spans="1:114" ht="15.75" hidden="1" customHeight="1" thickBot="1">
      <c r="A55" s="561"/>
      <c r="B55" s="652"/>
      <c r="C55" s="581"/>
      <c r="D55" s="562"/>
      <c r="E55" s="563">
        <v>10</v>
      </c>
      <c r="F55" s="563">
        <v>24</v>
      </c>
      <c r="G55" s="563"/>
      <c r="H55" s="563">
        <v>24</v>
      </c>
      <c r="I55" s="563"/>
      <c r="J55" s="563">
        <v>26</v>
      </c>
      <c r="K55" s="562"/>
      <c r="L55" s="563"/>
      <c r="M55" s="117"/>
      <c r="N55" s="117"/>
      <c r="O55" s="562"/>
      <c r="P55" s="562"/>
      <c r="Q55" s="563"/>
      <c r="R55" s="562"/>
      <c r="S55" s="562"/>
      <c r="T55" s="562">
        <v>10</v>
      </c>
      <c r="U55" s="564"/>
      <c r="V55" s="562"/>
      <c r="W55" s="562"/>
      <c r="X55" s="565"/>
      <c r="Y55" s="563"/>
      <c r="Z55" s="563"/>
      <c r="AA55" s="563"/>
      <c r="AB55" s="563"/>
      <c r="AC55" s="566"/>
      <c r="AD55" s="562"/>
      <c r="AE55" s="562"/>
      <c r="AF55" s="567"/>
      <c r="AG55" s="562"/>
      <c r="AH55" s="565"/>
      <c r="AI55" s="568"/>
      <c r="AJ55" s="608">
        <f>SUM(C55:AH55)</f>
        <v>94</v>
      </c>
    </row>
    <row r="56" spans="1:114" ht="18.75" hidden="1">
      <c r="A56" s="570">
        <v>26</v>
      </c>
      <c r="B56" s="653" t="s">
        <v>16</v>
      </c>
      <c r="C56" s="579">
        <v>188</v>
      </c>
      <c r="D56" s="109"/>
      <c r="E56" s="571">
        <v>2</v>
      </c>
      <c r="F56" s="533" t="e">
        <f t="shared" ref="F56" si="72">E56/AI56*100</f>
        <v>#DIV/0!</v>
      </c>
      <c r="G56" s="571">
        <v>10</v>
      </c>
      <c r="H56" s="523" t="e">
        <f t="shared" ref="H56" si="73">G56/AI56*100</f>
        <v>#DIV/0!</v>
      </c>
      <c r="I56" s="571">
        <v>4</v>
      </c>
      <c r="J56" s="523" t="e">
        <f t="shared" ref="J56" si="74">I56/AI56*100</f>
        <v>#DIV/0!</v>
      </c>
      <c r="K56" s="200"/>
      <c r="L56" s="571">
        <v>0</v>
      </c>
      <c r="M56" s="116">
        <v>0</v>
      </c>
      <c r="N56" s="116"/>
      <c r="O56" s="109">
        <v>0</v>
      </c>
      <c r="P56" s="109"/>
      <c r="Q56" s="571">
        <v>0</v>
      </c>
      <c r="R56" s="200" t="s">
        <v>81</v>
      </c>
      <c r="S56" s="200" t="s">
        <v>81</v>
      </c>
      <c r="T56" s="200">
        <v>0</v>
      </c>
      <c r="U56" s="572">
        <v>0</v>
      </c>
      <c r="V56" s="200">
        <v>0</v>
      </c>
      <c r="W56" s="109"/>
      <c r="X56" s="573"/>
      <c r="Y56" s="574"/>
      <c r="Z56" s="574"/>
      <c r="AA56" s="574"/>
      <c r="AB56" s="574"/>
      <c r="AC56" s="575"/>
      <c r="AD56" s="109"/>
      <c r="AE56" s="109"/>
      <c r="AF56" s="576"/>
      <c r="AG56" s="109"/>
      <c r="AH56" s="573"/>
      <c r="AI56" s="577"/>
      <c r="AJ56" s="609"/>
    </row>
    <row r="57" spans="1:114" ht="19.5" hidden="1" thickBot="1">
      <c r="A57" s="561"/>
      <c r="B57" s="652"/>
      <c r="C57" s="581"/>
      <c r="D57" s="562"/>
      <c r="E57" s="563"/>
      <c r="F57" s="563">
        <v>25</v>
      </c>
      <c r="G57" s="563"/>
      <c r="H57" s="563">
        <v>25</v>
      </c>
      <c r="I57" s="563"/>
      <c r="J57" s="563">
        <v>27</v>
      </c>
      <c r="K57" s="582"/>
      <c r="L57" s="563">
        <v>10</v>
      </c>
      <c r="M57" s="117">
        <v>10</v>
      </c>
      <c r="N57" s="117"/>
      <c r="O57" s="562">
        <v>10</v>
      </c>
      <c r="P57" s="562"/>
      <c r="Q57" s="563">
        <v>0</v>
      </c>
      <c r="R57" s="582">
        <v>0</v>
      </c>
      <c r="S57" s="582">
        <v>0</v>
      </c>
      <c r="T57" s="582">
        <v>0</v>
      </c>
      <c r="U57" s="564">
        <v>0</v>
      </c>
      <c r="V57" s="582">
        <v>0</v>
      </c>
      <c r="W57" s="562"/>
      <c r="X57" s="565"/>
      <c r="Y57" s="563"/>
      <c r="Z57" s="563"/>
      <c r="AA57" s="563"/>
      <c r="AB57" s="563"/>
      <c r="AC57" s="566"/>
      <c r="AD57" s="562"/>
      <c r="AE57" s="562"/>
      <c r="AF57" s="567"/>
      <c r="AG57" s="562"/>
      <c r="AH57" s="565"/>
      <c r="AI57" s="578"/>
      <c r="AJ57" s="610">
        <f>SUM(C57:AH57)</f>
        <v>107</v>
      </c>
    </row>
    <row r="58" spans="1:114" s="657" customFormat="1" ht="18.75" hidden="1">
      <c r="A58" s="570">
        <v>27</v>
      </c>
      <c r="B58" s="653" t="s">
        <v>68</v>
      </c>
      <c r="C58" s="579">
        <v>1</v>
      </c>
      <c r="D58" s="585"/>
      <c r="E58" s="606"/>
      <c r="F58" s="611"/>
      <c r="G58" s="606"/>
      <c r="H58" s="612"/>
      <c r="I58" s="606"/>
      <c r="J58" s="612"/>
      <c r="K58" s="585"/>
      <c r="L58" s="606"/>
      <c r="M58" s="118"/>
      <c r="N58" s="118"/>
      <c r="O58" s="585"/>
      <c r="P58" s="585"/>
      <c r="Q58" s="571">
        <v>0</v>
      </c>
      <c r="R58" s="200"/>
      <c r="S58" s="200"/>
      <c r="T58" s="200">
        <v>0</v>
      </c>
      <c r="U58" s="200"/>
      <c r="V58" s="200"/>
      <c r="W58" s="109"/>
      <c r="X58" s="580"/>
      <c r="Y58" s="574"/>
      <c r="Z58" s="574"/>
      <c r="AA58" s="574"/>
      <c r="AB58" s="574"/>
      <c r="AC58" s="575"/>
      <c r="AD58" s="200"/>
      <c r="AE58" s="200"/>
      <c r="AF58" s="576"/>
      <c r="AG58" s="200"/>
      <c r="AH58" s="580"/>
      <c r="AI58" s="613"/>
      <c r="AJ58" s="541"/>
      <c r="AK58" s="624"/>
      <c r="AL58" s="624"/>
      <c r="AM58" s="624"/>
      <c r="AN58" s="624"/>
      <c r="AO58" s="624"/>
      <c r="AP58" s="624"/>
      <c r="AQ58" s="624"/>
      <c r="AR58" s="624"/>
      <c r="AS58" s="624"/>
      <c r="AT58" s="624"/>
      <c r="AU58" s="624"/>
      <c r="AV58" s="624"/>
      <c r="AW58" s="624"/>
      <c r="AX58" s="624"/>
      <c r="AY58" s="624"/>
      <c r="AZ58" s="624"/>
      <c r="BA58" s="624"/>
      <c r="BB58" s="624"/>
      <c r="BC58" s="624"/>
      <c r="BD58" s="624"/>
      <c r="BE58" s="624"/>
      <c r="BF58" s="624"/>
      <c r="BG58" s="624"/>
      <c r="BH58" s="624"/>
      <c r="BI58" s="624"/>
      <c r="BJ58" s="624"/>
      <c r="BK58" s="624"/>
      <c r="BL58" s="624"/>
      <c r="BM58" s="624"/>
      <c r="BN58" s="624"/>
      <c r="BO58" s="624"/>
      <c r="BP58" s="624"/>
      <c r="BQ58" s="624"/>
      <c r="BR58" s="624"/>
      <c r="BS58" s="624"/>
      <c r="BT58" s="624"/>
      <c r="BU58" s="624"/>
      <c r="BV58" s="624"/>
      <c r="BW58" s="624"/>
      <c r="BX58" s="624"/>
      <c r="BY58" s="624"/>
      <c r="BZ58" s="624"/>
      <c r="CA58" s="624"/>
      <c r="CB58" s="624"/>
      <c r="CC58" s="624"/>
      <c r="CD58" s="624"/>
      <c r="CE58" s="624"/>
      <c r="CF58" s="624"/>
      <c r="CG58" s="624"/>
      <c r="CH58" s="624"/>
      <c r="CI58" s="624"/>
      <c r="CJ58" s="624"/>
      <c r="CK58" s="624"/>
      <c r="CL58" s="624"/>
      <c r="CM58" s="624"/>
      <c r="CN58" s="624"/>
      <c r="CO58" s="624"/>
      <c r="CP58" s="624"/>
      <c r="CQ58" s="624"/>
      <c r="CR58" s="624"/>
      <c r="CS58" s="624"/>
      <c r="CT58" s="624"/>
      <c r="CU58" s="624"/>
      <c r="CV58" s="624"/>
      <c r="CW58" s="624"/>
      <c r="CX58" s="624"/>
      <c r="CY58" s="624"/>
      <c r="CZ58" s="624"/>
      <c r="DA58" s="624"/>
      <c r="DB58" s="624"/>
      <c r="DC58" s="624"/>
      <c r="DD58" s="624"/>
      <c r="DE58" s="624"/>
      <c r="DF58" s="624"/>
      <c r="DG58" s="624"/>
      <c r="DH58" s="624"/>
      <c r="DI58" s="624"/>
      <c r="DJ58" s="624"/>
    </row>
    <row r="59" spans="1:114" s="657" customFormat="1" ht="17.25" hidden="1" customHeight="1" thickBot="1">
      <c r="A59" s="561"/>
      <c r="B59" s="652"/>
      <c r="C59" s="581"/>
      <c r="D59" s="602"/>
      <c r="E59" s="607"/>
      <c r="F59" s="614"/>
      <c r="G59" s="607"/>
      <c r="H59" s="615"/>
      <c r="I59" s="607"/>
      <c r="J59" s="615"/>
      <c r="K59" s="602"/>
      <c r="L59" s="607"/>
      <c r="M59" s="120"/>
      <c r="N59" s="120"/>
      <c r="O59" s="602"/>
      <c r="P59" s="602"/>
      <c r="Q59" s="563"/>
      <c r="R59" s="582"/>
      <c r="S59" s="582"/>
      <c r="T59" s="582"/>
      <c r="U59" s="582"/>
      <c r="V59" s="582"/>
      <c r="W59" s="562"/>
      <c r="X59" s="583"/>
      <c r="Y59" s="563"/>
      <c r="Z59" s="563"/>
      <c r="AA59" s="563"/>
      <c r="AB59" s="563"/>
      <c r="AC59" s="566"/>
      <c r="AD59" s="582"/>
      <c r="AE59" s="582"/>
      <c r="AF59" s="567"/>
      <c r="AG59" s="582"/>
      <c r="AH59" s="583"/>
      <c r="AI59" s="616"/>
      <c r="AJ59" s="608">
        <f>SUM(C59:AH59)</f>
        <v>0</v>
      </c>
      <c r="AK59" s="624"/>
      <c r="AL59" s="624"/>
      <c r="AM59" s="624"/>
      <c r="AN59" s="624"/>
      <c r="AO59" s="624"/>
      <c r="AP59" s="624"/>
      <c r="AQ59" s="624"/>
      <c r="AR59" s="624"/>
      <c r="AS59" s="624"/>
      <c r="AT59" s="624"/>
      <c r="AU59" s="624"/>
      <c r="AV59" s="624"/>
      <c r="AW59" s="624"/>
      <c r="AX59" s="624"/>
      <c r="AY59" s="624"/>
      <c r="AZ59" s="624"/>
      <c r="BA59" s="624"/>
      <c r="BB59" s="624"/>
      <c r="BC59" s="624"/>
      <c r="BD59" s="624"/>
      <c r="BE59" s="624"/>
      <c r="BF59" s="624"/>
      <c r="BG59" s="624"/>
      <c r="BH59" s="624"/>
      <c r="BI59" s="624"/>
      <c r="BJ59" s="624"/>
      <c r="BK59" s="624"/>
      <c r="BL59" s="624"/>
      <c r="BM59" s="624"/>
      <c r="BN59" s="624"/>
      <c r="BO59" s="624"/>
      <c r="BP59" s="624"/>
      <c r="BQ59" s="624"/>
      <c r="BR59" s="624"/>
      <c r="BS59" s="624"/>
      <c r="BT59" s="624"/>
      <c r="BU59" s="624"/>
      <c r="BV59" s="624"/>
      <c r="BW59" s="624"/>
      <c r="BX59" s="624"/>
      <c r="BY59" s="624"/>
      <c r="BZ59" s="624"/>
      <c r="CA59" s="624"/>
      <c r="CB59" s="624"/>
      <c r="CC59" s="624"/>
      <c r="CD59" s="624"/>
      <c r="CE59" s="624"/>
      <c r="CF59" s="624"/>
      <c r="CG59" s="624"/>
      <c r="CH59" s="624"/>
      <c r="CI59" s="624"/>
      <c r="CJ59" s="624"/>
      <c r="CK59" s="624"/>
      <c r="CL59" s="624"/>
      <c r="CM59" s="624"/>
      <c r="CN59" s="624"/>
      <c r="CO59" s="624"/>
      <c r="CP59" s="624"/>
      <c r="CQ59" s="624"/>
      <c r="CR59" s="624"/>
      <c r="CS59" s="624"/>
      <c r="CT59" s="624"/>
      <c r="CU59" s="624"/>
      <c r="CV59" s="624"/>
      <c r="CW59" s="624"/>
      <c r="CX59" s="624"/>
      <c r="CY59" s="624"/>
      <c r="CZ59" s="624"/>
      <c r="DA59" s="624"/>
      <c r="DB59" s="624"/>
      <c r="DC59" s="624"/>
      <c r="DD59" s="624"/>
      <c r="DE59" s="624"/>
      <c r="DF59" s="624"/>
      <c r="DG59" s="624"/>
      <c r="DH59" s="624"/>
      <c r="DI59" s="624"/>
      <c r="DJ59" s="624"/>
    </row>
    <row r="60" spans="1:114" ht="18.75" hidden="1">
      <c r="A60" s="570">
        <v>28</v>
      </c>
      <c r="B60" s="653" t="s">
        <v>69</v>
      </c>
      <c r="C60" s="579">
        <v>2</v>
      </c>
      <c r="D60" s="109"/>
      <c r="E60" s="571">
        <v>0</v>
      </c>
      <c r="F60" s="617"/>
      <c r="G60" s="571">
        <v>0</v>
      </c>
      <c r="H60" s="574"/>
      <c r="I60" s="571">
        <v>0</v>
      </c>
      <c r="J60" s="574"/>
      <c r="K60" s="109"/>
      <c r="L60" s="571">
        <v>0</v>
      </c>
      <c r="M60" s="116">
        <v>0</v>
      </c>
      <c r="N60" s="116"/>
      <c r="O60" s="109"/>
      <c r="P60" s="109"/>
      <c r="Q60" s="571">
        <v>2</v>
      </c>
      <c r="R60" s="109"/>
      <c r="S60" s="109"/>
      <c r="T60" s="109">
        <v>0</v>
      </c>
      <c r="U60" s="109"/>
      <c r="V60" s="109"/>
      <c r="W60" s="109"/>
      <c r="X60" s="573"/>
      <c r="Y60" s="574"/>
      <c r="Z60" s="574"/>
      <c r="AA60" s="574"/>
      <c r="AB60" s="574"/>
      <c r="AC60" s="575"/>
      <c r="AD60" s="109"/>
      <c r="AE60" s="109"/>
      <c r="AF60" s="576"/>
      <c r="AG60" s="109"/>
      <c r="AH60" s="573"/>
      <c r="AI60" s="618"/>
      <c r="AJ60" s="609"/>
    </row>
    <row r="61" spans="1:114" ht="16.5" hidden="1" customHeight="1" thickBot="1">
      <c r="A61" s="561"/>
      <c r="B61" s="652"/>
      <c r="C61" s="581"/>
      <c r="D61" s="562"/>
      <c r="E61" s="563">
        <v>10</v>
      </c>
      <c r="F61" s="619"/>
      <c r="G61" s="563">
        <v>10</v>
      </c>
      <c r="H61" s="620"/>
      <c r="I61" s="563">
        <v>10</v>
      </c>
      <c r="J61" s="620"/>
      <c r="K61" s="562"/>
      <c r="L61" s="563">
        <v>10</v>
      </c>
      <c r="M61" s="117">
        <v>10</v>
      </c>
      <c r="N61" s="117"/>
      <c r="O61" s="562"/>
      <c r="P61" s="562"/>
      <c r="Q61" s="563"/>
      <c r="R61" s="562"/>
      <c r="S61" s="562"/>
      <c r="T61" s="562"/>
      <c r="U61" s="562"/>
      <c r="V61" s="562"/>
      <c r="W61" s="562"/>
      <c r="X61" s="565"/>
      <c r="Y61" s="563"/>
      <c r="Z61" s="563"/>
      <c r="AA61" s="563"/>
      <c r="AB61" s="563"/>
      <c r="AC61" s="566"/>
      <c r="AD61" s="562"/>
      <c r="AE61" s="562"/>
      <c r="AF61" s="567"/>
      <c r="AG61" s="562"/>
      <c r="AH61" s="565"/>
      <c r="AI61" s="621"/>
      <c r="AJ61" s="610">
        <f>SUM(C61:AH61)</f>
        <v>50</v>
      </c>
    </row>
    <row r="62" spans="1:114" ht="18.75" hidden="1">
      <c r="A62" s="570">
        <v>29</v>
      </c>
      <c r="B62" s="653" t="s">
        <v>70</v>
      </c>
      <c r="C62" s="579">
        <v>145</v>
      </c>
      <c r="D62" s="200"/>
      <c r="E62" s="571"/>
      <c r="F62" s="617"/>
      <c r="G62" s="571"/>
      <c r="H62" s="574"/>
      <c r="I62" s="571"/>
      <c r="J62" s="574"/>
      <c r="K62" s="200"/>
      <c r="L62" s="571"/>
      <c r="M62" s="200"/>
      <c r="N62" s="200"/>
      <c r="O62" s="200"/>
      <c r="P62" s="200"/>
      <c r="Q62" s="571">
        <v>0</v>
      </c>
      <c r="R62" s="200"/>
      <c r="S62" s="200"/>
      <c r="T62" s="200">
        <v>0</v>
      </c>
      <c r="U62" s="200"/>
      <c r="V62" s="200"/>
      <c r="W62" s="200"/>
      <c r="X62" s="580"/>
      <c r="Y62" s="574"/>
      <c r="Z62" s="574"/>
      <c r="AA62" s="574"/>
      <c r="AB62" s="574"/>
      <c r="AC62" s="575"/>
      <c r="AD62" s="200"/>
      <c r="AE62" s="200"/>
      <c r="AF62" s="576"/>
      <c r="AG62" s="200"/>
      <c r="AH62" s="580"/>
      <c r="AI62" s="613"/>
      <c r="AJ62" s="541"/>
    </row>
    <row r="63" spans="1:114" s="657" customFormat="1" ht="16.5" hidden="1" customHeight="1" thickBot="1">
      <c r="A63" s="561"/>
      <c r="B63" s="652"/>
      <c r="C63" s="602"/>
      <c r="D63" s="603"/>
      <c r="E63" s="607"/>
      <c r="F63" s="614"/>
      <c r="G63" s="607"/>
      <c r="H63" s="615"/>
      <c r="I63" s="607"/>
      <c r="J63" s="615"/>
      <c r="K63" s="602"/>
      <c r="L63" s="607"/>
      <c r="M63" s="602"/>
      <c r="N63" s="602"/>
      <c r="O63" s="602"/>
      <c r="P63" s="602"/>
      <c r="Q63" s="563"/>
      <c r="R63" s="562"/>
      <c r="S63" s="562"/>
      <c r="T63" s="582"/>
      <c r="U63" s="582"/>
      <c r="V63" s="582"/>
      <c r="W63" s="562"/>
      <c r="X63" s="565"/>
      <c r="Y63" s="563"/>
      <c r="Z63" s="563"/>
      <c r="AA63" s="563"/>
      <c r="AB63" s="563"/>
      <c r="AC63" s="566"/>
      <c r="AD63" s="562"/>
      <c r="AE63" s="562"/>
      <c r="AF63" s="567"/>
      <c r="AG63" s="562"/>
      <c r="AH63" s="565"/>
      <c r="AI63" s="621"/>
      <c r="AJ63" s="610">
        <f>SUM(C63:AH63)</f>
        <v>0</v>
      </c>
      <c r="AK63" s="624"/>
      <c r="AL63" s="624"/>
      <c r="AM63" s="624"/>
      <c r="AN63" s="624"/>
      <c r="AO63" s="624"/>
      <c r="AP63" s="624"/>
      <c r="AQ63" s="624"/>
      <c r="AR63" s="624"/>
      <c r="AS63" s="624"/>
      <c r="AT63" s="624"/>
      <c r="AU63" s="624"/>
      <c r="AV63" s="624"/>
      <c r="AW63" s="624"/>
      <c r="AX63" s="624"/>
      <c r="AY63" s="624"/>
      <c r="AZ63" s="624"/>
      <c r="BA63" s="624"/>
      <c r="BB63" s="624"/>
      <c r="BC63" s="624"/>
      <c r="BD63" s="624"/>
      <c r="BE63" s="624"/>
      <c r="BF63" s="624"/>
      <c r="BG63" s="624"/>
      <c r="BH63" s="624"/>
      <c r="BI63" s="624"/>
      <c r="BJ63" s="624"/>
      <c r="BK63" s="624"/>
      <c r="BL63" s="624"/>
      <c r="BM63" s="624"/>
      <c r="BN63" s="624"/>
      <c r="BO63" s="624"/>
      <c r="BP63" s="624"/>
      <c r="BQ63" s="624"/>
      <c r="BR63" s="624"/>
      <c r="BS63" s="624"/>
      <c r="BT63" s="624"/>
      <c r="BU63" s="624"/>
      <c r="BV63" s="624"/>
      <c r="BW63" s="624"/>
      <c r="BX63" s="624"/>
      <c r="BY63" s="624"/>
      <c r="BZ63" s="624"/>
      <c r="CA63" s="624"/>
      <c r="CB63" s="624"/>
      <c r="CC63" s="624"/>
      <c r="CD63" s="624"/>
      <c r="CE63" s="624"/>
      <c r="CF63" s="624"/>
      <c r="CG63" s="624"/>
      <c r="CH63" s="624"/>
      <c r="CI63" s="624"/>
      <c r="CJ63" s="624"/>
      <c r="CK63" s="624"/>
      <c r="CL63" s="624"/>
      <c r="CM63" s="624"/>
      <c r="CN63" s="624"/>
      <c r="CO63" s="624"/>
      <c r="CP63" s="624"/>
      <c r="CQ63" s="624"/>
      <c r="CR63" s="624"/>
      <c r="CS63" s="624"/>
      <c r="CT63" s="624"/>
      <c r="CU63" s="624"/>
      <c r="CV63" s="624"/>
      <c r="CW63" s="624"/>
      <c r="CX63" s="624"/>
      <c r="CY63" s="624"/>
      <c r="CZ63" s="624"/>
      <c r="DA63" s="624"/>
      <c r="DB63" s="624"/>
      <c r="DC63" s="624"/>
      <c r="DD63" s="624"/>
      <c r="DE63" s="624"/>
      <c r="DF63" s="624"/>
      <c r="DG63" s="624"/>
      <c r="DH63" s="624"/>
      <c r="DI63" s="624"/>
      <c r="DJ63" s="624"/>
    </row>
    <row r="64" spans="1:114" ht="12.75">
      <c r="A64" s="626"/>
      <c r="B64" s="627"/>
      <c r="C64" s="627"/>
      <c r="D64" s="627"/>
      <c r="F64" s="627"/>
      <c r="H64" s="627"/>
      <c r="J64" s="627"/>
      <c r="AH64" s="628"/>
      <c r="AI64" s="622"/>
      <c r="AJ64" s="622"/>
    </row>
    <row r="65" spans="1:114" ht="12.75">
      <c r="A65" s="629"/>
      <c r="B65" s="627"/>
      <c r="C65" s="627"/>
      <c r="D65" s="627"/>
      <c r="F65" s="627"/>
      <c r="H65" s="627"/>
      <c r="J65" s="627"/>
      <c r="AH65" s="628"/>
      <c r="AI65" s="622"/>
      <c r="AJ65" s="622"/>
    </row>
    <row r="66" spans="1:114" ht="12.75">
      <c r="A66" s="629"/>
      <c r="B66" s="627"/>
      <c r="C66" s="627"/>
      <c r="D66" s="627"/>
      <c r="F66" s="627"/>
      <c r="H66" s="627"/>
      <c r="J66" s="627"/>
      <c r="AH66" s="628"/>
      <c r="AI66" s="622"/>
      <c r="AJ66" s="622"/>
    </row>
    <row r="67" spans="1:114" s="657" customFormat="1" ht="12.75">
      <c r="A67" s="629"/>
      <c r="B67" s="627"/>
      <c r="C67" s="627"/>
      <c r="D67" s="627"/>
      <c r="E67" s="627"/>
      <c r="F67" s="627"/>
      <c r="G67" s="627"/>
      <c r="H67" s="627"/>
      <c r="I67" s="627"/>
      <c r="J67" s="627"/>
      <c r="K67" s="627"/>
      <c r="L67" s="627"/>
      <c r="M67" s="627"/>
      <c r="N67" s="627"/>
      <c r="O67" s="627"/>
      <c r="P67" s="627"/>
      <c r="Q67" s="627"/>
      <c r="R67" s="627"/>
      <c r="S67" s="627"/>
      <c r="T67" s="627"/>
      <c r="U67" s="627"/>
      <c r="V67" s="627"/>
      <c r="W67" s="627"/>
      <c r="X67" s="627"/>
      <c r="Y67" s="627"/>
      <c r="Z67" s="627"/>
      <c r="AA67" s="627"/>
      <c r="AB67" s="627"/>
      <c r="AC67" s="627"/>
      <c r="AD67" s="627"/>
      <c r="AE67" s="627"/>
      <c r="AF67" s="627"/>
      <c r="AG67" s="627"/>
      <c r="AH67" s="628"/>
      <c r="AI67" s="622"/>
      <c r="AJ67" s="622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4"/>
      <c r="BS67" s="624"/>
      <c r="BT67" s="624"/>
      <c r="BU67" s="624"/>
      <c r="BV67" s="624"/>
      <c r="BW67" s="624"/>
      <c r="BX67" s="624"/>
      <c r="BY67" s="624"/>
      <c r="BZ67" s="624"/>
      <c r="CA67" s="624"/>
      <c r="CB67" s="624"/>
      <c r="CC67" s="624"/>
      <c r="CD67" s="624"/>
      <c r="CE67" s="624"/>
      <c r="CF67" s="624"/>
      <c r="CG67" s="624"/>
      <c r="CH67" s="624"/>
      <c r="CI67" s="624"/>
      <c r="CJ67" s="624"/>
      <c r="CK67" s="624"/>
      <c r="CL67" s="624"/>
      <c r="CM67" s="624"/>
      <c r="CN67" s="624"/>
      <c r="CO67" s="624"/>
      <c r="CP67" s="624"/>
      <c r="CQ67" s="624"/>
      <c r="CR67" s="624"/>
      <c r="CS67" s="624"/>
      <c r="CT67" s="624"/>
      <c r="CU67" s="624"/>
      <c r="CV67" s="624"/>
      <c r="CW67" s="624"/>
      <c r="CX67" s="624"/>
      <c r="CY67" s="624"/>
      <c r="CZ67" s="624"/>
      <c r="DA67" s="624"/>
      <c r="DB67" s="624"/>
      <c r="DC67" s="624"/>
      <c r="DD67" s="624"/>
      <c r="DE67" s="624"/>
      <c r="DF67" s="624"/>
      <c r="DG67" s="624"/>
      <c r="DH67" s="624"/>
      <c r="DI67" s="624"/>
      <c r="DJ67" s="624"/>
    </row>
    <row r="68" spans="1:114" ht="12.75">
      <c r="A68" s="629"/>
      <c r="B68" s="627"/>
      <c r="C68" s="627"/>
      <c r="D68" s="627"/>
      <c r="F68" s="627"/>
      <c r="H68" s="627"/>
      <c r="J68" s="627"/>
      <c r="AH68" s="628"/>
      <c r="AI68" s="622"/>
      <c r="AJ68" s="622"/>
    </row>
    <row r="69" spans="1:114" ht="12.75">
      <c r="A69" s="629"/>
      <c r="B69" s="627"/>
      <c r="C69" s="627"/>
      <c r="D69" s="627"/>
      <c r="F69" s="627"/>
      <c r="H69" s="627"/>
      <c r="J69" s="627"/>
      <c r="AH69" s="628"/>
      <c r="AI69" s="622"/>
      <c r="AJ69" s="622"/>
    </row>
    <row r="70" spans="1:114" ht="12.75">
      <c r="A70" s="629"/>
      <c r="B70" s="627"/>
      <c r="C70" s="627"/>
      <c r="D70" s="627"/>
      <c r="F70" s="627"/>
      <c r="H70" s="627"/>
      <c r="J70" s="627"/>
      <c r="AH70" s="628"/>
      <c r="AI70" s="622"/>
      <c r="AJ70" s="622"/>
    </row>
    <row r="71" spans="1:114" s="657" customFormat="1" ht="12.75">
      <c r="A71" s="629"/>
      <c r="B71" s="627"/>
      <c r="C71" s="627"/>
      <c r="D71" s="627"/>
      <c r="E71" s="627"/>
      <c r="F71" s="627"/>
      <c r="G71" s="627"/>
      <c r="H71" s="627"/>
      <c r="I71" s="627"/>
      <c r="J71" s="627"/>
      <c r="K71" s="627"/>
      <c r="L71" s="627"/>
      <c r="M71" s="627"/>
      <c r="N71" s="627"/>
      <c r="O71" s="627"/>
      <c r="P71" s="627"/>
      <c r="Q71" s="627"/>
      <c r="R71" s="627"/>
      <c r="S71" s="627"/>
      <c r="T71" s="627"/>
      <c r="U71" s="627"/>
      <c r="V71" s="627"/>
      <c r="W71" s="627"/>
      <c r="X71" s="627"/>
      <c r="Y71" s="627"/>
      <c r="Z71" s="627"/>
      <c r="AA71" s="627"/>
      <c r="AB71" s="627"/>
      <c r="AC71" s="627"/>
      <c r="AD71" s="627"/>
      <c r="AE71" s="627"/>
      <c r="AF71" s="627"/>
      <c r="AG71" s="627"/>
      <c r="AH71" s="628"/>
      <c r="AI71" s="622"/>
      <c r="AJ71" s="622"/>
      <c r="AK71" s="624"/>
      <c r="AL71" s="624"/>
      <c r="AM71" s="624"/>
      <c r="AN71" s="624"/>
      <c r="AO71" s="624"/>
      <c r="AP71" s="624"/>
      <c r="AQ71" s="624"/>
      <c r="AR71" s="624"/>
      <c r="AS71" s="624"/>
      <c r="AT71" s="624"/>
      <c r="AU71" s="624"/>
      <c r="AV71" s="624"/>
      <c r="AW71" s="624"/>
      <c r="AX71" s="624"/>
      <c r="AY71" s="624"/>
      <c r="AZ71" s="624"/>
      <c r="BA71" s="624"/>
      <c r="BB71" s="624"/>
      <c r="BC71" s="624"/>
      <c r="BD71" s="624"/>
      <c r="BE71" s="624"/>
      <c r="BF71" s="624"/>
      <c r="BG71" s="624"/>
      <c r="BH71" s="624"/>
      <c r="BI71" s="624"/>
      <c r="BJ71" s="624"/>
      <c r="BK71" s="624"/>
      <c r="BL71" s="624"/>
      <c r="BM71" s="624"/>
      <c r="BN71" s="624"/>
      <c r="BO71" s="624"/>
      <c r="BP71" s="624"/>
      <c r="BQ71" s="624"/>
      <c r="BR71" s="624"/>
      <c r="BS71" s="624"/>
      <c r="BT71" s="624"/>
      <c r="BU71" s="624"/>
      <c r="BV71" s="624"/>
      <c r="BW71" s="624"/>
      <c r="BX71" s="624"/>
      <c r="BY71" s="624"/>
      <c r="BZ71" s="624"/>
      <c r="CA71" s="624"/>
      <c r="CB71" s="624"/>
      <c r="CC71" s="624"/>
      <c r="CD71" s="624"/>
      <c r="CE71" s="624"/>
      <c r="CF71" s="624"/>
      <c r="CG71" s="624"/>
      <c r="CH71" s="624"/>
      <c r="CI71" s="624"/>
      <c r="CJ71" s="624"/>
      <c r="CK71" s="624"/>
      <c r="CL71" s="624"/>
      <c r="CM71" s="624"/>
      <c r="CN71" s="624"/>
      <c r="CO71" s="624"/>
      <c r="CP71" s="624"/>
      <c r="CQ71" s="624"/>
      <c r="CR71" s="624"/>
      <c r="CS71" s="624"/>
      <c r="CT71" s="624"/>
      <c r="CU71" s="624"/>
      <c r="CV71" s="624"/>
      <c r="CW71" s="624"/>
      <c r="CX71" s="624"/>
      <c r="CY71" s="624"/>
      <c r="CZ71" s="624"/>
      <c r="DA71" s="624"/>
      <c r="DB71" s="624"/>
      <c r="DC71" s="624"/>
      <c r="DD71" s="624"/>
      <c r="DE71" s="624"/>
      <c r="DF71" s="624"/>
      <c r="DG71" s="624"/>
      <c r="DH71" s="624"/>
      <c r="DI71" s="624"/>
      <c r="DJ71" s="624"/>
    </row>
    <row r="72" spans="1:114" ht="12.75">
      <c r="A72" s="629"/>
      <c r="B72" s="627"/>
      <c r="C72" s="627"/>
      <c r="D72" s="627"/>
      <c r="F72" s="627"/>
      <c r="H72" s="627"/>
      <c r="J72" s="627"/>
      <c r="AH72" s="628"/>
      <c r="AI72" s="622"/>
      <c r="AJ72" s="622"/>
    </row>
    <row r="73" spans="1:114" ht="12.75">
      <c r="A73" s="629"/>
      <c r="B73" s="627"/>
      <c r="C73" s="627"/>
      <c r="D73" s="627"/>
      <c r="F73" s="627"/>
      <c r="H73" s="627"/>
      <c r="J73" s="627"/>
      <c r="AH73" s="628"/>
      <c r="AI73" s="622"/>
      <c r="AJ73" s="622"/>
    </row>
    <row r="74" spans="1:114" ht="12.75">
      <c r="A74" s="629"/>
      <c r="B74" s="627"/>
      <c r="C74" s="627"/>
      <c r="D74" s="627"/>
      <c r="F74" s="627"/>
      <c r="H74" s="627"/>
      <c r="J74" s="627"/>
      <c r="AH74" s="628"/>
      <c r="AI74" s="622"/>
      <c r="AJ74" s="622"/>
    </row>
    <row r="75" spans="1:114" ht="12.75">
      <c r="A75" s="629"/>
      <c r="B75" s="627"/>
      <c r="C75" s="627"/>
      <c r="D75" s="627"/>
      <c r="F75" s="627"/>
      <c r="H75" s="627"/>
      <c r="J75" s="627"/>
      <c r="AH75" s="628"/>
      <c r="AI75" s="622"/>
      <c r="AJ75" s="622"/>
    </row>
    <row r="76" spans="1:114" s="657" customFormat="1" ht="12.75">
      <c r="A76" s="629"/>
      <c r="B76" s="627"/>
      <c r="C76" s="627"/>
      <c r="D76" s="627"/>
      <c r="E76" s="627"/>
      <c r="F76" s="627"/>
      <c r="G76" s="627"/>
      <c r="H76" s="627"/>
      <c r="I76" s="627"/>
      <c r="J76" s="627"/>
      <c r="K76" s="627"/>
      <c r="L76" s="627"/>
      <c r="M76" s="627"/>
      <c r="N76" s="627"/>
      <c r="O76" s="627"/>
      <c r="P76" s="627"/>
      <c r="Q76" s="627"/>
      <c r="R76" s="627"/>
      <c r="S76" s="627"/>
      <c r="T76" s="627"/>
      <c r="U76" s="627"/>
      <c r="V76" s="627"/>
      <c r="W76" s="627"/>
      <c r="X76" s="627"/>
      <c r="Y76" s="627"/>
      <c r="Z76" s="627"/>
      <c r="AA76" s="627"/>
      <c r="AB76" s="627"/>
      <c r="AC76" s="627"/>
      <c r="AD76" s="627"/>
      <c r="AE76" s="627"/>
      <c r="AF76" s="627"/>
      <c r="AG76" s="627"/>
      <c r="AH76" s="628"/>
      <c r="AI76" s="622"/>
      <c r="AJ76" s="622"/>
      <c r="AK76" s="624"/>
      <c r="AL76" s="624"/>
      <c r="AM76" s="624"/>
      <c r="AN76" s="624"/>
      <c r="AO76" s="624"/>
      <c r="AP76" s="624"/>
      <c r="AQ76" s="624"/>
      <c r="AR76" s="624"/>
      <c r="AS76" s="624"/>
      <c r="AT76" s="624"/>
      <c r="AU76" s="624"/>
      <c r="AV76" s="624"/>
      <c r="AW76" s="624"/>
      <c r="AX76" s="624"/>
      <c r="AY76" s="624"/>
      <c r="AZ76" s="624"/>
      <c r="BA76" s="624"/>
      <c r="BB76" s="624"/>
      <c r="BC76" s="624"/>
      <c r="BD76" s="624"/>
      <c r="BE76" s="624"/>
      <c r="BF76" s="624"/>
      <c r="BG76" s="624"/>
      <c r="BH76" s="624"/>
      <c r="BI76" s="624"/>
      <c r="BJ76" s="624"/>
      <c r="BK76" s="624"/>
      <c r="BL76" s="624"/>
      <c r="BM76" s="624"/>
      <c r="BN76" s="624"/>
      <c r="BO76" s="624"/>
      <c r="BP76" s="624"/>
      <c r="BQ76" s="624"/>
      <c r="BR76" s="624"/>
      <c r="BS76" s="624"/>
      <c r="BT76" s="624"/>
      <c r="BU76" s="624"/>
      <c r="BV76" s="624"/>
      <c r="BW76" s="624"/>
      <c r="BX76" s="624"/>
      <c r="BY76" s="624"/>
      <c r="BZ76" s="624"/>
      <c r="CA76" s="624"/>
      <c r="CB76" s="624"/>
      <c r="CC76" s="624"/>
      <c r="CD76" s="624"/>
      <c r="CE76" s="624"/>
      <c r="CF76" s="624"/>
      <c r="CG76" s="624"/>
      <c r="CH76" s="624"/>
      <c r="CI76" s="624"/>
      <c r="CJ76" s="624"/>
      <c r="CK76" s="624"/>
      <c r="CL76" s="624"/>
      <c r="CM76" s="624"/>
      <c r="CN76" s="624"/>
      <c r="CO76" s="624"/>
      <c r="CP76" s="624"/>
      <c r="CQ76" s="624"/>
      <c r="CR76" s="624"/>
      <c r="CS76" s="624"/>
      <c r="CT76" s="624"/>
      <c r="CU76" s="624"/>
      <c r="CV76" s="624"/>
      <c r="CW76" s="624"/>
      <c r="CX76" s="624"/>
      <c r="CY76" s="624"/>
      <c r="CZ76" s="624"/>
      <c r="DA76" s="624"/>
      <c r="DB76" s="624"/>
      <c r="DC76" s="624"/>
      <c r="DD76" s="624"/>
      <c r="DE76" s="624"/>
      <c r="DF76" s="624"/>
      <c r="DG76" s="624"/>
      <c r="DH76" s="624"/>
      <c r="DI76" s="624"/>
      <c r="DJ76" s="624"/>
    </row>
    <row r="77" spans="1:114" ht="12.75">
      <c r="A77" s="629"/>
      <c r="B77" s="627"/>
      <c r="C77" s="627"/>
      <c r="D77" s="627"/>
      <c r="F77" s="627"/>
      <c r="H77" s="627"/>
      <c r="J77" s="627"/>
      <c r="AH77" s="628"/>
      <c r="AI77" s="622"/>
      <c r="AJ77" s="622"/>
    </row>
    <row r="78" spans="1:114" ht="12.75">
      <c r="A78" s="629"/>
      <c r="B78" s="627"/>
      <c r="C78" s="627"/>
      <c r="D78" s="627"/>
      <c r="F78" s="627"/>
      <c r="H78" s="627"/>
      <c r="J78" s="627"/>
      <c r="AH78" s="628"/>
      <c r="AI78" s="622"/>
      <c r="AJ78" s="622"/>
    </row>
    <row r="79" spans="1:114" ht="12.75">
      <c r="A79" s="629"/>
      <c r="B79" s="627"/>
      <c r="C79" s="627"/>
      <c r="D79" s="627"/>
      <c r="F79" s="627"/>
      <c r="H79" s="627"/>
      <c r="J79" s="627"/>
      <c r="AH79" s="628"/>
      <c r="AI79" s="622"/>
      <c r="AJ79" s="622"/>
    </row>
    <row r="80" spans="1:114" s="657" customFormat="1" ht="12.75">
      <c r="A80" s="629"/>
      <c r="B80" s="627"/>
      <c r="C80" s="627"/>
      <c r="D80" s="627"/>
      <c r="E80" s="627"/>
      <c r="F80" s="627"/>
      <c r="G80" s="627"/>
      <c r="H80" s="627"/>
      <c r="I80" s="627"/>
      <c r="J80" s="627"/>
      <c r="K80" s="627"/>
      <c r="L80" s="627"/>
      <c r="M80" s="627"/>
      <c r="N80" s="627"/>
      <c r="O80" s="627"/>
      <c r="P80" s="627"/>
      <c r="Q80" s="627"/>
      <c r="R80" s="627"/>
      <c r="S80" s="627"/>
      <c r="T80" s="627"/>
      <c r="U80" s="627"/>
      <c r="V80" s="627"/>
      <c r="W80" s="627"/>
      <c r="X80" s="627"/>
      <c r="Y80" s="627"/>
      <c r="Z80" s="627"/>
      <c r="AA80" s="627"/>
      <c r="AB80" s="627"/>
      <c r="AC80" s="627"/>
      <c r="AD80" s="627"/>
      <c r="AE80" s="627"/>
      <c r="AF80" s="627"/>
      <c r="AG80" s="627"/>
      <c r="AH80" s="628"/>
      <c r="AI80" s="622"/>
      <c r="AJ80" s="622"/>
      <c r="AK80" s="624"/>
      <c r="AL80" s="624"/>
      <c r="AM80" s="624"/>
      <c r="AN80" s="624"/>
      <c r="AO80" s="624"/>
      <c r="AP80" s="624"/>
      <c r="AQ80" s="624"/>
      <c r="AR80" s="624"/>
      <c r="AS80" s="624"/>
      <c r="AT80" s="624"/>
      <c r="AU80" s="624"/>
      <c r="AV80" s="624"/>
      <c r="AW80" s="624"/>
      <c r="AX80" s="624"/>
      <c r="AY80" s="624"/>
      <c r="AZ80" s="624"/>
      <c r="BA80" s="624"/>
      <c r="BB80" s="624"/>
      <c r="BC80" s="624"/>
      <c r="BD80" s="624"/>
      <c r="BE80" s="624"/>
      <c r="BF80" s="624"/>
      <c r="BG80" s="624"/>
      <c r="BH80" s="624"/>
      <c r="BI80" s="624"/>
      <c r="BJ80" s="624"/>
      <c r="BK80" s="624"/>
      <c r="BL80" s="624"/>
      <c r="BM80" s="624"/>
      <c r="BN80" s="624"/>
      <c r="BO80" s="624"/>
      <c r="BP80" s="624"/>
      <c r="BQ80" s="624"/>
      <c r="BR80" s="624"/>
      <c r="BS80" s="624"/>
      <c r="BT80" s="624"/>
      <c r="BU80" s="624"/>
      <c r="BV80" s="624"/>
      <c r="BW80" s="624"/>
      <c r="BX80" s="624"/>
      <c r="BY80" s="624"/>
      <c r="BZ80" s="624"/>
      <c r="CA80" s="624"/>
      <c r="CB80" s="624"/>
      <c r="CC80" s="624"/>
      <c r="CD80" s="624"/>
      <c r="CE80" s="624"/>
      <c r="CF80" s="624"/>
      <c r="CG80" s="624"/>
      <c r="CH80" s="624"/>
      <c r="CI80" s="624"/>
      <c r="CJ80" s="624"/>
      <c r="CK80" s="624"/>
      <c r="CL80" s="624"/>
      <c r="CM80" s="624"/>
      <c r="CN80" s="624"/>
      <c r="CO80" s="624"/>
      <c r="CP80" s="624"/>
      <c r="CQ80" s="624"/>
      <c r="CR80" s="624"/>
      <c r="CS80" s="624"/>
      <c r="CT80" s="624"/>
      <c r="CU80" s="624"/>
      <c r="CV80" s="624"/>
      <c r="CW80" s="624"/>
      <c r="CX80" s="624"/>
      <c r="CY80" s="624"/>
      <c r="CZ80" s="624"/>
      <c r="DA80" s="624"/>
      <c r="DB80" s="624"/>
      <c r="DC80" s="624"/>
      <c r="DD80" s="624"/>
      <c r="DE80" s="624"/>
      <c r="DF80" s="624"/>
      <c r="DG80" s="624"/>
      <c r="DH80" s="624"/>
      <c r="DI80" s="624"/>
      <c r="DJ80" s="624"/>
    </row>
    <row r="81" spans="1:114" ht="12.75">
      <c r="A81" s="629"/>
      <c r="B81" s="627"/>
      <c r="C81" s="627"/>
      <c r="D81" s="627"/>
      <c r="F81" s="627"/>
      <c r="H81" s="627"/>
      <c r="J81" s="627"/>
      <c r="AH81" s="628"/>
      <c r="AI81" s="622"/>
      <c r="AJ81" s="622"/>
    </row>
    <row r="82" spans="1:114" ht="12.75">
      <c r="A82" s="629"/>
      <c r="B82" s="627"/>
      <c r="C82" s="627"/>
      <c r="D82" s="627"/>
      <c r="F82" s="627"/>
      <c r="H82" s="627"/>
      <c r="J82" s="627"/>
      <c r="AH82" s="628"/>
      <c r="AI82" s="622"/>
      <c r="AJ82" s="622"/>
    </row>
    <row r="83" spans="1:114" ht="12.75">
      <c r="A83" s="629"/>
      <c r="B83" s="627"/>
      <c r="C83" s="627"/>
      <c r="D83" s="627"/>
      <c r="F83" s="627"/>
      <c r="H83" s="627"/>
      <c r="J83" s="627"/>
      <c r="AH83" s="628"/>
      <c r="AI83" s="622"/>
      <c r="AJ83" s="622"/>
    </row>
    <row r="84" spans="1:114" s="657" customFormat="1" ht="12.75">
      <c r="A84" s="629"/>
      <c r="B84" s="627"/>
      <c r="C84" s="627"/>
      <c r="D84" s="627"/>
      <c r="E84" s="627"/>
      <c r="F84" s="627"/>
      <c r="G84" s="627"/>
      <c r="H84" s="627"/>
      <c r="I84" s="627"/>
      <c r="J84" s="627"/>
      <c r="K84" s="627"/>
      <c r="L84" s="627"/>
      <c r="M84" s="627"/>
      <c r="N84" s="627"/>
      <c r="O84" s="627"/>
      <c r="P84" s="627"/>
      <c r="Q84" s="627"/>
      <c r="R84" s="627"/>
      <c r="S84" s="627"/>
      <c r="T84" s="627"/>
      <c r="U84" s="627"/>
      <c r="V84" s="627"/>
      <c r="W84" s="627"/>
      <c r="X84" s="627"/>
      <c r="Y84" s="627"/>
      <c r="Z84" s="627"/>
      <c r="AA84" s="627"/>
      <c r="AB84" s="627"/>
      <c r="AC84" s="627"/>
      <c r="AD84" s="627"/>
      <c r="AE84" s="627"/>
      <c r="AF84" s="627"/>
      <c r="AG84" s="627"/>
      <c r="AH84" s="628"/>
      <c r="AI84" s="622"/>
      <c r="AJ84" s="622"/>
      <c r="AK84" s="624"/>
      <c r="AL84" s="624"/>
      <c r="AM84" s="624"/>
      <c r="AN84" s="624"/>
      <c r="AO84" s="624"/>
      <c r="AP84" s="624"/>
      <c r="AQ84" s="624"/>
      <c r="AR84" s="624"/>
      <c r="AS84" s="624"/>
      <c r="AT84" s="624"/>
      <c r="AU84" s="624"/>
      <c r="AV84" s="624"/>
      <c r="AW84" s="624"/>
      <c r="AX84" s="624"/>
      <c r="AY84" s="624"/>
      <c r="AZ84" s="624"/>
      <c r="BA84" s="624"/>
      <c r="BB84" s="624"/>
      <c r="BC84" s="624"/>
      <c r="BD84" s="624"/>
      <c r="BE84" s="624"/>
      <c r="BF84" s="624"/>
      <c r="BG84" s="624"/>
      <c r="BH84" s="624"/>
      <c r="BI84" s="624"/>
      <c r="BJ84" s="624"/>
      <c r="BK84" s="624"/>
      <c r="BL84" s="624"/>
      <c r="BM84" s="624"/>
      <c r="BN84" s="624"/>
      <c r="BO84" s="624"/>
      <c r="BP84" s="624"/>
      <c r="BQ84" s="624"/>
      <c r="BR84" s="624"/>
      <c r="BS84" s="624"/>
      <c r="BT84" s="624"/>
      <c r="BU84" s="624"/>
      <c r="BV84" s="624"/>
      <c r="BW84" s="624"/>
      <c r="BX84" s="624"/>
      <c r="BY84" s="624"/>
      <c r="BZ84" s="624"/>
      <c r="CA84" s="624"/>
      <c r="CB84" s="624"/>
      <c r="CC84" s="624"/>
      <c r="CD84" s="624"/>
      <c r="CE84" s="624"/>
      <c r="CF84" s="624"/>
      <c r="CG84" s="624"/>
      <c r="CH84" s="624"/>
      <c r="CI84" s="624"/>
      <c r="CJ84" s="624"/>
      <c r="CK84" s="624"/>
      <c r="CL84" s="624"/>
      <c r="CM84" s="624"/>
      <c r="CN84" s="624"/>
      <c r="CO84" s="624"/>
      <c r="CP84" s="624"/>
      <c r="CQ84" s="624"/>
      <c r="CR84" s="624"/>
      <c r="CS84" s="624"/>
      <c r="CT84" s="624"/>
      <c r="CU84" s="624"/>
      <c r="CV84" s="624"/>
      <c r="CW84" s="624"/>
      <c r="CX84" s="624"/>
      <c r="CY84" s="624"/>
      <c r="CZ84" s="624"/>
      <c r="DA84" s="624"/>
      <c r="DB84" s="624"/>
      <c r="DC84" s="624"/>
      <c r="DD84" s="624"/>
      <c r="DE84" s="624"/>
      <c r="DF84" s="624"/>
      <c r="DG84" s="624"/>
      <c r="DH84" s="624"/>
      <c r="DI84" s="624"/>
      <c r="DJ84" s="624"/>
    </row>
    <row r="85" spans="1:114" ht="12.75">
      <c r="A85" s="629"/>
      <c r="B85" s="627"/>
      <c r="C85" s="627"/>
      <c r="D85" s="627"/>
      <c r="F85" s="627"/>
      <c r="H85" s="627"/>
      <c r="J85" s="627"/>
      <c r="AH85" s="628"/>
      <c r="AI85" s="622"/>
      <c r="AJ85" s="622"/>
    </row>
    <row r="86" spans="1:114" ht="12.75">
      <c r="A86" s="629"/>
      <c r="B86" s="627"/>
      <c r="C86" s="627"/>
      <c r="D86" s="627"/>
      <c r="F86" s="627"/>
      <c r="H86" s="627"/>
      <c r="J86" s="627"/>
      <c r="AH86" s="628"/>
      <c r="AI86" s="622"/>
      <c r="AJ86" s="622"/>
    </row>
    <row r="87" spans="1:114" ht="12.75">
      <c r="A87" s="629"/>
      <c r="B87" s="627"/>
      <c r="C87" s="627"/>
      <c r="D87" s="627"/>
      <c r="F87" s="627"/>
      <c r="H87" s="627"/>
      <c r="J87" s="627"/>
      <c r="AH87" s="628"/>
      <c r="AI87" s="622"/>
      <c r="AJ87" s="622"/>
    </row>
    <row r="88" spans="1:114" s="657" customFormat="1" ht="12.75">
      <c r="A88" s="629"/>
      <c r="B88" s="627"/>
      <c r="C88" s="627"/>
      <c r="D88" s="627"/>
      <c r="E88" s="627"/>
      <c r="F88" s="627"/>
      <c r="G88" s="627"/>
      <c r="H88" s="627"/>
      <c r="I88" s="627"/>
      <c r="J88" s="627"/>
      <c r="K88" s="627"/>
      <c r="L88" s="627"/>
      <c r="M88" s="627"/>
      <c r="N88" s="627"/>
      <c r="O88" s="627"/>
      <c r="P88" s="627"/>
      <c r="Q88" s="627"/>
      <c r="R88" s="627"/>
      <c r="S88" s="627"/>
      <c r="T88" s="627"/>
      <c r="U88" s="627"/>
      <c r="V88" s="627"/>
      <c r="W88" s="627"/>
      <c r="X88" s="627"/>
      <c r="Y88" s="627"/>
      <c r="Z88" s="627"/>
      <c r="AA88" s="627"/>
      <c r="AB88" s="627"/>
      <c r="AC88" s="627"/>
      <c r="AD88" s="627"/>
      <c r="AE88" s="627"/>
      <c r="AF88" s="627"/>
      <c r="AG88" s="627"/>
      <c r="AH88" s="628"/>
      <c r="AI88" s="622"/>
      <c r="AJ88" s="622"/>
      <c r="AK88" s="624"/>
      <c r="AL88" s="624"/>
      <c r="AM88" s="624"/>
      <c r="AN88" s="624"/>
      <c r="AO88" s="624"/>
      <c r="AP88" s="624"/>
      <c r="AQ88" s="624"/>
      <c r="AR88" s="624"/>
      <c r="AS88" s="624"/>
      <c r="AT88" s="624"/>
      <c r="AU88" s="624"/>
      <c r="AV88" s="624"/>
      <c r="AW88" s="624"/>
      <c r="AX88" s="624"/>
      <c r="AY88" s="624"/>
      <c r="AZ88" s="624"/>
      <c r="BA88" s="624"/>
      <c r="BB88" s="624"/>
      <c r="BC88" s="624"/>
      <c r="BD88" s="624"/>
      <c r="BE88" s="624"/>
      <c r="BF88" s="624"/>
      <c r="BG88" s="624"/>
      <c r="BH88" s="624"/>
      <c r="BI88" s="624"/>
      <c r="BJ88" s="624"/>
      <c r="BK88" s="624"/>
      <c r="BL88" s="624"/>
      <c r="BM88" s="624"/>
      <c r="BN88" s="624"/>
      <c r="BO88" s="624"/>
      <c r="BP88" s="624"/>
      <c r="BQ88" s="624"/>
      <c r="BR88" s="624"/>
      <c r="BS88" s="624"/>
      <c r="BT88" s="624"/>
      <c r="BU88" s="624"/>
      <c r="BV88" s="624"/>
      <c r="BW88" s="624"/>
      <c r="BX88" s="624"/>
      <c r="BY88" s="624"/>
      <c r="BZ88" s="624"/>
      <c r="CA88" s="624"/>
      <c r="CB88" s="624"/>
      <c r="CC88" s="624"/>
      <c r="CD88" s="624"/>
      <c r="CE88" s="624"/>
      <c r="CF88" s="624"/>
      <c r="CG88" s="624"/>
      <c r="CH88" s="624"/>
      <c r="CI88" s="624"/>
      <c r="CJ88" s="624"/>
      <c r="CK88" s="624"/>
      <c r="CL88" s="624"/>
      <c r="CM88" s="624"/>
      <c r="CN88" s="624"/>
      <c r="CO88" s="624"/>
      <c r="CP88" s="624"/>
      <c r="CQ88" s="624"/>
      <c r="CR88" s="624"/>
      <c r="CS88" s="624"/>
      <c r="CT88" s="624"/>
      <c r="CU88" s="624"/>
      <c r="CV88" s="624"/>
      <c r="CW88" s="624"/>
      <c r="CX88" s="624"/>
      <c r="CY88" s="624"/>
      <c r="CZ88" s="624"/>
      <c r="DA88" s="624"/>
      <c r="DB88" s="624"/>
      <c r="DC88" s="624"/>
      <c r="DD88" s="624"/>
      <c r="DE88" s="624"/>
      <c r="DF88" s="624"/>
      <c r="DG88" s="624"/>
      <c r="DH88" s="624"/>
      <c r="DI88" s="624"/>
      <c r="DJ88" s="624"/>
    </row>
    <row r="89" spans="1:114" ht="12.75">
      <c r="A89" s="629"/>
      <c r="B89" s="627"/>
      <c r="C89" s="627"/>
      <c r="D89" s="627"/>
      <c r="F89" s="627"/>
      <c r="H89" s="627"/>
      <c r="J89" s="627"/>
      <c r="AH89" s="628"/>
      <c r="AI89" s="622"/>
      <c r="AJ89" s="622"/>
    </row>
    <row r="90" spans="1:114" ht="12.75">
      <c r="A90" s="629"/>
      <c r="B90" s="627"/>
      <c r="C90" s="627"/>
      <c r="D90" s="627"/>
      <c r="F90" s="627"/>
      <c r="H90" s="627"/>
      <c r="J90" s="627"/>
      <c r="AH90" s="628"/>
      <c r="AI90" s="622"/>
      <c r="AJ90" s="622"/>
    </row>
    <row r="91" spans="1:114" ht="12.75">
      <c r="A91" s="629"/>
      <c r="B91" s="627"/>
      <c r="C91" s="627"/>
      <c r="D91" s="627"/>
      <c r="F91" s="627"/>
      <c r="H91" s="627"/>
      <c r="J91" s="627"/>
      <c r="AH91" s="628"/>
      <c r="AI91" s="622"/>
      <c r="AJ91" s="622"/>
    </row>
    <row r="92" spans="1:114" s="657" customFormat="1" ht="12.75">
      <c r="A92" s="629"/>
      <c r="B92" s="627"/>
      <c r="C92" s="627"/>
      <c r="D92" s="627"/>
      <c r="E92" s="627"/>
      <c r="F92" s="627"/>
      <c r="G92" s="627"/>
      <c r="H92" s="627"/>
      <c r="I92" s="627"/>
      <c r="J92" s="627"/>
      <c r="K92" s="627"/>
      <c r="L92" s="627"/>
      <c r="M92" s="627"/>
      <c r="N92" s="627"/>
      <c r="O92" s="627"/>
      <c r="P92" s="627"/>
      <c r="Q92" s="627"/>
      <c r="R92" s="627"/>
      <c r="S92" s="627"/>
      <c r="T92" s="627"/>
      <c r="U92" s="627"/>
      <c r="V92" s="627"/>
      <c r="W92" s="627"/>
      <c r="X92" s="627"/>
      <c r="Y92" s="627"/>
      <c r="Z92" s="627"/>
      <c r="AA92" s="627"/>
      <c r="AB92" s="627"/>
      <c r="AC92" s="627"/>
      <c r="AD92" s="627"/>
      <c r="AE92" s="627"/>
      <c r="AF92" s="627"/>
      <c r="AG92" s="627"/>
      <c r="AH92" s="628"/>
      <c r="AI92" s="622"/>
      <c r="AJ92" s="622"/>
      <c r="AK92" s="624"/>
      <c r="AL92" s="624"/>
      <c r="AM92" s="624"/>
      <c r="AN92" s="624"/>
      <c r="AO92" s="624"/>
      <c r="AP92" s="624"/>
      <c r="AQ92" s="624"/>
      <c r="AR92" s="624"/>
      <c r="AS92" s="624"/>
      <c r="AT92" s="624"/>
      <c r="AU92" s="624"/>
      <c r="AV92" s="624"/>
      <c r="AW92" s="624"/>
      <c r="AX92" s="624"/>
      <c r="AY92" s="624"/>
      <c r="AZ92" s="624"/>
      <c r="BA92" s="624"/>
      <c r="BB92" s="624"/>
      <c r="BC92" s="624"/>
      <c r="BD92" s="624"/>
      <c r="BE92" s="624"/>
      <c r="BF92" s="624"/>
      <c r="BG92" s="624"/>
      <c r="BH92" s="624"/>
      <c r="BI92" s="624"/>
      <c r="BJ92" s="624"/>
      <c r="BK92" s="624"/>
      <c r="BL92" s="624"/>
      <c r="BM92" s="624"/>
      <c r="BN92" s="624"/>
      <c r="BO92" s="624"/>
      <c r="BP92" s="624"/>
      <c r="BQ92" s="624"/>
      <c r="BR92" s="624"/>
      <c r="BS92" s="624"/>
      <c r="BT92" s="624"/>
      <c r="BU92" s="624"/>
      <c r="BV92" s="624"/>
      <c r="BW92" s="624"/>
      <c r="BX92" s="624"/>
      <c r="BY92" s="624"/>
      <c r="BZ92" s="624"/>
      <c r="CA92" s="624"/>
      <c r="CB92" s="624"/>
      <c r="CC92" s="624"/>
      <c r="CD92" s="624"/>
      <c r="CE92" s="624"/>
      <c r="CF92" s="624"/>
      <c r="CG92" s="624"/>
      <c r="CH92" s="624"/>
      <c r="CI92" s="624"/>
      <c r="CJ92" s="624"/>
      <c r="CK92" s="624"/>
      <c r="CL92" s="624"/>
      <c r="CM92" s="624"/>
      <c r="CN92" s="624"/>
      <c r="CO92" s="624"/>
      <c r="CP92" s="624"/>
      <c r="CQ92" s="624"/>
      <c r="CR92" s="624"/>
      <c r="CS92" s="624"/>
      <c r="CT92" s="624"/>
      <c r="CU92" s="624"/>
      <c r="CV92" s="624"/>
      <c r="CW92" s="624"/>
      <c r="CX92" s="624"/>
      <c r="CY92" s="624"/>
      <c r="CZ92" s="624"/>
      <c r="DA92" s="624"/>
      <c r="DB92" s="624"/>
      <c r="DC92" s="624"/>
      <c r="DD92" s="624"/>
      <c r="DE92" s="624"/>
      <c r="DF92" s="624"/>
      <c r="DG92" s="624"/>
      <c r="DH92" s="624"/>
      <c r="DI92" s="624"/>
      <c r="DJ92" s="624"/>
    </row>
    <row r="93" spans="1:114" ht="12.75">
      <c r="A93" s="629"/>
      <c r="B93" s="627"/>
      <c r="C93" s="627"/>
      <c r="D93" s="627"/>
      <c r="F93" s="627"/>
      <c r="H93" s="627"/>
      <c r="J93" s="627"/>
      <c r="AH93" s="628"/>
      <c r="AI93" s="622"/>
      <c r="AJ93" s="622"/>
    </row>
    <row r="94" spans="1:114" ht="12.75">
      <c r="A94" s="629"/>
      <c r="B94" s="627"/>
      <c r="C94" s="627"/>
      <c r="D94" s="627"/>
      <c r="F94" s="627"/>
      <c r="H94" s="627"/>
      <c r="J94" s="627"/>
      <c r="AH94" s="628"/>
      <c r="AI94" s="622"/>
      <c r="AJ94" s="622"/>
    </row>
    <row r="95" spans="1:114" ht="12.75">
      <c r="A95" s="629"/>
      <c r="B95" s="627"/>
      <c r="C95" s="627"/>
      <c r="D95" s="627"/>
      <c r="F95" s="627"/>
      <c r="H95" s="627"/>
      <c r="J95" s="627"/>
      <c r="AH95" s="628"/>
      <c r="AI95" s="622"/>
      <c r="AJ95" s="622"/>
    </row>
    <row r="96" spans="1:114" s="657" customFormat="1" ht="12.75">
      <c r="A96" s="629"/>
      <c r="B96" s="627"/>
      <c r="C96" s="627"/>
      <c r="D96" s="627"/>
      <c r="E96" s="627"/>
      <c r="F96" s="627"/>
      <c r="G96" s="627"/>
      <c r="H96" s="627"/>
      <c r="I96" s="627"/>
      <c r="J96" s="627"/>
      <c r="K96" s="627"/>
      <c r="L96" s="627"/>
      <c r="M96" s="627"/>
      <c r="N96" s="627"/>
      <c r="O96" s="627"/>
      <c r="P96" s="627"/>
      <c r="Q96" s="627"/>
      <c r="R96" s="627"/>
      <c r="S96" s="627"/>
      <c r="T96" s="627"/>
      <c r="U96" s="627"/>
      <c r="V96" s="627"/>
      <c r="W96" s="627"/>
      <c r="X96" s="627"/>
      <c r="Y96" s="627"/>
      <c r="Z96" s="627"/>
      <c r="AA96" s="627"/>
      <c r="AB96" s="627"/>
      <c r="AC96" s="627"/>
      <c r="AD96" s="627"/>
      <c r="AE96" s="627"/>
      <c r="AF96" s="627"/>
      <c r="AG96" s="627"/>
      <c r="AH96" s="628"/>
      <c r="AI96" s="622"/>
      <c r="AJ96" s="622"/>
      <c r="AK96" s="624"/>
      <c r="AL96" s="624"/>
      <c r="AM96" s="624"/>
      <c r="AN96" s="624"/>
      <c r="AO96" s="624"/>
      <c r="AP96" s="624"/>
      <c r="AQ96" s="624"/>
      <c r="AR96" s="624"/>
      <c r="AS96" s="624"/>
      <c r="AT96" s="624"/>
      <c r="AU96" s="624"/>
      <c r="AV96" s="624"/>
      <c r="AW96" s="624"/>
      <c r="AX96" s="624"/>
      <c r="AY96" s="624"/>
      <c r="AZ96" s="624"/>
      <c r="BA96" s="624"/>
      <c r="BB96" s="624"/>
      <c r="BC96" s="624"/>
      <c r="BD96" s="624"/>
      <c r="BE96" s="624"/>
      <c r="BF96" s="624"/>
      <c r="BG96" s="624"/>
      <c r="BH96" s="624"/>
      <c r="BI96" s="624"/>
      <c r="BJ96" s="624"/>
      <c r="BK96" s="624"/>
      <c r="BL96" s="624"/>
      <c r="BM96" s="624"/>
      <c r="BN96" s="624"/>
      <c r="BO96" s="624"/>
      <c r="BP96" s="624"/>
      <c r="BQ96" s="624"/>
      <c r="BR96" s="624"/>
      <c r="BS96" s="624"/>
      <c r="BT96" s="624"/>
      <c r="BU96" s="624"/>
      <c r="BV96" s="624"/>
      <c r="BW96" s="624"/>
      <c r="BX96" s="624"/>
      <c r="BY96" s="624"/>
      <c r="BZ96" s="624"/>
      <c r="CA96" s="624"/>
      <c r="CB96" s="624"/>
      <c r="CC96" s="624"/>
      <c r="CD96" s="624"/>
      <c r="CE96" s="624"/>
      <c r="CF96" s="624"/>
      <c r="CG96" s="624"/>
      <c r="CH96" s="624"/>
      <c r="CI96" s="624"/>
      <c r="CJ96" s="624"/>
      <c r="CK96" s="624"/>
      <c r="CL96" s="624"/>
      <c r="CM96" s="624"/>
      <c r="CN96" s="624"/>
      <c r="CO96" s="624"/>
      <c r="CP96" s="624"/>
      <c r="CQ96" s="624"/>
      <c r="CR96" s="624"/>
      <c r="CS96" s="624"/>
      <c r="CT96" s="624"/>
      <c r="CU96" s="624"/>
      <c r="CV96" s="624"/>
      <c r="CW96" s="624"/>
      <c r="CX96" s="624"/>
      <c r="CY96" s="624"/>
      <c r="CZ96" s="624"/>
      <c r="DA96" s="624"/>
      <c r="DB96" s="624"/>
      <c r="DC96" s="624"/>
      <c r="DD96" s="624"/>
      <c r="DE96" s="624"/>
      <c r="DF96" s="624"/>
      <c r="DG96" s="624"/>
      <c r="DH96" s="624"/>
      <c r="DI96" s="624"/>
      <c r="DJ96" s="624"/>
    </row>
    <row r="100" spans="1:36" s="657" customFormat="1">
      <c r="A100" s="662"/>
      <c r="B100" s="659"/>
      <c r="C100" s="623"/>
      <c r="D100" s="623"/>
      <c r="E100" s="662"/>
      <c r="F100" s="663"/>
      <c r="G100" s="662"/>
      <c r="H100" s="664"/>
      <c r="I100" s="662"/>
      <c r="J100" s="664"/>
      <c r="K100" s="662"/>
      <c r="L100" s="662"/>
      <c r="M100" s="662"/>
      <c r="N100" s="662"/>
      <c r="O100" s="662"/>
      <c r="P100" s="662"/>
      <c r="Q100" s="662"/>
      <c r="R100" s="662"/>
      <c r="S100" s="662"/>
      <c r="T100" s="662"/>
      <c r="U100" s="662"/>
      <c r="V100" s="662"/>
      <c r="W100" s="662"/>
      <c r="X100" s="662"/>
      <c r="Y100" s="662"/>
      <c r="Z100" s="662"/>
      <c r="AA100" s="662"/>
      <c r="AB100" s="662"/>
      <c r="AC100" s="662"/>
      <c r="AD100" s="662"/>
      <c r="AE100" s="662"/>
      <c r="AF100" s="662"/>
      <c r="AG100" s="662"/>
      <c r="AH100" s="662"/>
      <c r="AI100" s="662"/>
      <c r="AJ100" s="662"/>
    </row>
    <row r="104" spans="1:36" s="657" customFormat="1">
      <c r="A104" s="662"/>
      <c r="B104" s="659"/>
      <c r="C104" s="623"/>
      <c r="D104" s="623"/>
      <c r="E104" s="662"/>
      <c r="F104" s="663"/>
      <c r="G104" s="662"/>
      <c r="H104" s="664"/>
      <c r="I104" s="662"/>
      <c r="J104" s="664"/>
      <c r="K104" s="662"/>
      <c r="L104" s="662"/>
      <c r="M104" s="662"/>
      <c r="N104" s="662"/>
      <c r="O104" s="662"/>
      <c r="P104" s="662"/>
      <c r="Q104" s="662"/>
      <c r="R104" s="662"/>
      <c r="S104" s="662"/>
      <c r="T104" s="662"/>
      <c r="U104" s="662"/>
      <c r="V104" s="662"/>
      <c r="W104" s="662"/>
      <c r="X104" s="662"/>
      <c r="Y104" s="662"/>
      <c r="Z104" s="662"/>
      <c r="AA104" s="662"/>
      <c r="AB104" s="662"/>
      <c r="AC104" s="662"/>
      <c r="AD104" s="662"/>
      <c r="AE104" s="662"/>
      <c r="AF104" s="662"/>
      <c r="AG104" s="662"/>
      <c r="AH104" s="662"/>
      <c r="AI104" s="662"/>
      <c r="AJ104" s="662"/>
    </row>
    <row r="108" spans="1:36" s="657" customFormat="1">
      <c r="A108" s="662"/>
      <c r="B108" s="659"/>
      <c r="C108" s="623"/>
      <c r="D108" s="623"/>
      <c r="E108" s="662"/>
      <c r="F108" s="663"/>
      <c r="G108" s="662"/>
      <c r="H108" s="664"/>
      <c r="I108" s="662"/>
      <c r="J108" s="664"/>
      <c r="K108" s="662"/>
      <c r="L108" s="662"/>
      <c r="M108" s="662"/>
      <c r="N108" s="662"/>
      <c r="O108" s="662"/>
      <c r="P108" s="662"/>
      <c r="Q108" s="662"/>
      <c r="R108" s="662"/>
      <c r="S108" s="662"/>
      <c r="T108" s="662"/>
      <c r="U108" s="662"/>
      <c r="V108" s="662"/>
      <c r="W108" s="662"/>
      <c r="X108" s="662"/>
      <c r="Y108" s="662"/>
      <c r="Z108" s="662"/>
      <c r="AA108" s="662"/>
      <c r="AB108" s="662"/>
      <c r="AC108" s="662"/>
      <c r="AD108" s="662"/>
      <c r="AE108" s="662"/>
      <c r="AF108" s="662"/>
      <c r="AG108" s="662"/>
      <c r="AH108" s="662"/>
      <c r="AI108" s="662"/>
      <c r="AJ108" s="662"/>
    </row>
    <row r="112" spans="1:36" s="657" customFormat="1">
      <c r="A112" s="662"/>
      <c r="B112" s="659"/>
      <c r="C112" s="623"/>
      <c r="D112" s="623"/>
      <c r="E112" s="662"/>
      <c r="F112" s="663"/>
      <c r="G112" s="662"/>
      <c r="H112" s="664"/>
      <c r="I112" s="662"/>
      <c r="J112" s="664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2"/>
      <c r="AA112" s="662"/>
      <c r="AB112" s="662"/>
      <c r="AC112" s="662"/>
      <c r="AD112" s="662"/>
      <c r="AE112" s="662"/>
      <c r="AF112" s="662"/>
      <c r="AG112" s="662"/>
      <c r="AH112" s="662"/>
      <c r="AI112" s="662"/>
      <c r="AJ112" s="662"/>
    </row>
    <row r="116" spans="1:36" s="657" customFormat="1">
      <c r="A116" s="662"/>
      <c r="B116" s="659"/>
      <c r="C116" s="623"/>
      <c r="D116" s="623"/>
      <c r="E116" s="662"/>
      <c r="F116" s="663"/>
      <c r="G116" s="662"/>
      <c r="H116" s="664"/>
      <c r="I116" s="662"/>
      <c r="J116" s="664"/>
      <c r="K116" s="662"/>
      <c r="L116" s="662"/>
      <c r="M116" s="662"/>
      <c r="N116" s="662"/>
      <c r="O116" s="662"/>
      <c r="P116" s="662"/>
      <c r="Q116" s="662"/>
      <c r="R116" s="662"/>
      <c r="S116" s="662"/>
      <c r="T116" s="662"/>
      <c r="U116" s="662"/>
      <c r="V116" s="662"/>
      <c r="W116" s="662"/>
      <c r="X116" s="662"/>
      <c r="Y116" s="662"/>
      <c r="Z116" s="662"/>
      <c r="AA116" s="662"/>
      <c r="AB116" s="662"/>
      <c r="AC116" s="662"/>
      <c r="AD116" s="662"/>
      <c r="AE116" s="662"/>
      <c r="AF116" s="662"/>
      <c r="AG116" s="662"/>
      <c r="AH116" s="662"/>
      <c r="AI116" s="662"/>
      <c r="AJ116" s="662"/>
    </row>
    <row r="120" spans="1:36" s="657" customFormat="1">
      <c r="A120" s="662"/>
      <c r="B120" s="659"/>
      <c r="C120" s="623"/>
      <c r="D120" s="623"/>
      <c r="E120" s="662"/>
      <c r="F120" s="663"/>
      <c r="G120" s="662"/>
      <c r="H120" s="664"/>
      <c r="I120" s="662"/>
      <c r="J120" s="664"/>
      <c r="K120" s="662"/>
      <c r="L120" s="662"/>
      <c r="M120" s="662"/>
      <c r="N120" s="662"/>
      <c r="O120" s="662"/>
      <c r="P120" s="662"/>
      <c r="Q120" s="662"/>
      <c r="R120" s="662"/>
      <c r="S120" s="662"/>
      <c r="T120" s="662"/>
      <c r="U120" s="662"/>
      <c r="V120" s="662"/>
      <c r="W120" s="662"/>
      <c r="X120" s="662"/>
      <c r="Y120" s="662"/>
      <c r="Z120" s="662"/>
      <c r="AA120" s="662"/>
      <c r="AB120" s="662"/>
      <c r="AC120" s="662"/>
      <c r="AD120" s="662"/>
      <c r="AE120" s="662"/>
      <c r="AF120" s="662"/>
      <c r="AG120" s="662"/>
      <c r="AH120" s="662"/>
      <c r="AI120" s="662"/>
      <c r="AJ120" s="662"/>
    </row>
    <row r="124" spans="1:36" s="657" customFormat="1">
      <c r="A124" s="662"/>
      <c r="B124" s="659"/>
      <c r="C124" s="623"/>
      <c r="D124" s="623"/>
      <c r="E124" s="662"/>
      <c r="F124" s="663"/>
      <c r="G124" s="662"/>
      <c r="H124" s="664"/>
      <c r="I124" s="662"/>
      <c r="J124" s="664"/>
      <c r="K124" s="662"/>
      <c r="L124" s="662"/>
      <c r="M124" s="662"/>
      <c r="N124" s="662"/>
      <c r="O124" s="662"/>
      <c r="P124" s="662"/>
      <c r="Q124" s="662"/>
      <c r="R124" s="662"/>
      <c r="S124" s="662"/>
      <c r="T124" s="662"/>
      <c r="U124" s="662"/>
      <c r="V124" s="662"/>
      <c r="W124" s="662"/>
      <c r="X124" s="662"/>
      <c r="Y124" s="662"/>
      <c r="Z124" s="662"/>
      <c r="AA124" s="662"/>
      <c r="AB124" s="662"/>
      <c r="AC124" s="662"/>
      <c r="AD124" s="662"/>
      <c r="AE124" s="662"/>
      <c r="AF124" s="662"/>
      <c r="AG124" s="662"/>
      <c r="AH124" s="662"/>
      <c r="AI124" s="662"/>
      <c r="AJ124" s="662"/>
    </row>
    <row r="128" spans="1:36" s="657" customFormat="1">
      <c r="A128" s="662"/>
      <c r="B128" s="659"/>
      <c r="C128" s="623"/>
      <c r="D128" s="623"/>
      <c r="E128" s="662"/>
      <c r="F128" s="663"/>
      <c r="G128" s="662"/>
      <c r="H128" s="664"/>
      <c r="I128" s="662"/>
      <c r="J128" s="664"/>
      <c r="K128" s="662"/>
      <c r="L128" s="662"/>
      <c r="M128" s="662"/>
      <c r="N128" s="662"/>
      <c r="O128" s="662"/>
      <c r="P128" s="662"/>
      <c r="Q128" s="662"/>
      <c r="R128" s="662"/>
      <c r="S128" s="662"/>
      <c r="T128" s="662"/>
      <c r="U128" s="662"/>
      <c r="V128" s="662"/>
      <c r="W128" s="662"/>
      <c r="X128" s="662"/>
      <c r="Y128" s="662"/>
      <c r="Z128" s="662"/>
      <c r="AA128" s="662"/>
      <c r="AB128" s="662"/>
      <c r="AC128" s="662"/>
      <c r="AD128" s="662"/>
      <c r="AE128" s="662"/>
      <c r="AF128" s="662"/>
      <c r="AG128" s="662"/>
      <c r="AH128" s="662"/>
      <c r="AI128" s="662"/>
      <c r="AJ128" s="662"/>
    </row>
    <row r="132" spans="1:36" s="657" customFormat="1">
      <c r="A132" s="662"/>
      <c r="B132" s="659"/>
      <c r="C132" s="623"/>
      <c r="D132" s="623"/>
      <c r="E132" s="662"/>
      <c r="F132" s="663"/>
      <c r="G132" s="662"/>
      <c r="H132" s="664"/>
      <c r="I132" s="662"/>
      <c r="J132" s="664"/>
      <c r="K132" s="662"/>
      <c r="L132" s="662"/>
      <c r="M132" s="662"/>
      <c r="N132" s="662"/>
      <c r="O132" s="662"/>
      <c r="P132" s="662"/>
      <c r="Q132" s="662"/>
      <c r="R132" s="662"/>
      <c r="S132" s="662"/>
      <c r="T132" s="662"/>
      <c r="U132" s="662"/>
      <c r="V132" s="662"/>
      <c r="W132" s="662"/>
      <c r="X132" s="662"/>
      <c r="Y132" s="662"/>
      <c r="Z132" s="662"/>
      <c r="AA132" s="662"/>
      <c r="AB132" s="662"/>
      <c r="AC132" s="662"/>
      <c r="AD132" s="662"/>
      <c r="AE132" s="662"/>
      <c r="AF132" s="662"/>
      <c r="AG132" s="662"/>
      <c r="AH132" s="662"/>
      <c r="AI132" s="662"/>
      <c r="AJ132" s="662"/>
    </row>
    <row r="136" spans="1:36" s="657" customFormat="1">
      <c r="A136" s="662"/>
      <c r="B136" s="659"/>
      <c r="C136" s="623"/>
      <c r="D136" s="623"/>
      <c r="E136" s="662"/>
      <c r="F136" s="663"/>
      <c r="G136" s="662"/>
      <c r="H136" s="664"/>
      <c r="I136" s="662"/>
      <c r="J136" s="664"/>
      <c r="K136" s="662"/>
      <c r="L136" s="662"/>
      <c r="M136" s="662"/>
      <c r="N136" s="662"/>
      <c r="O136" s="662"/>
      <c r="P136" s="662"/>
      <c r="Q136" s="662"/>
      <c r="R136" s="662"/>
      <c r="S136" s="662"/>
      <c r="T136" s="662"/>
      <c r="U136" s="662"/>
      <c r="V136" s="662"/>
      <c r="W136" s="662"/>
      <c r="X136" s="662"/>
      <c r="Y136" s="662"/>
      <c r="Z136" s="662"/>
      <c r="AA136" s="662"/>
      <c r="AB136" s="662"/>
      <c r="AC136" s="662"/>
      <c r="AD136" s="662"/>
      <c r="AE136" s="662"/>
      <c r="AF136" s="662"/>
      <c r="AG136" s="662"/>
      <c r="AH136" s="662"/>
      <c r="AI136" s="662"/>
      <c r="AJ136" s="662"/>
    </row>
    <row r="140" spans="1:36" s="657" customFormat="1">
      <c r="A140" s="662"/>
      <c r="B140" s="659"/>
      <c r="C140" s="623"/>
      <c r="D140" s="623"/>
      <c r="E140" s="662"/>
      <c r="F140" s="663"/>
      <c r="G140" s="662"/>
      <c r="H140" s="664"/>
      <c r="I140" s="662"/>
      <c r="J140" s="664"/>
      <c r="K140" s="662"/>
      <c r="L140" s="662"/>
      <c r="M140" s="662"/>
      <c r="N140" s="662"/>
      <c r="O140" s="662"/>
      <c r="P140" s="662"/>
      <c r="Q140" s="662"/>
      <c r="R140" s="662"/>
      <c r="S140" s="662"/>
      <c r="T140" s="662"/>
      <c r="U140" s="662"/>
      <c r="V140" s="662"/>
      <c r="W140" s="662"/>
      <c r="X140" s="662"/>
      <c r="Y140" s="662"/>
      <c r="Z140" s="662"/>
      <c r="AA140" s="662"/>
      <c r="AB140" s="662"/>
      <c r="AC140" s="662"/>
      <c r="AD140" s="662"/>
      <c r="AE140" s="662"/>
      <c r="AF140" s="662"/>
      <c r="AG140" s="662"/>
      <c r="AH140" s="662"/>
      <c r="AI140" s="662"/>
      <c r="AJ140" s="662"/>
    </row>
    <row r="144" spans="1:36" s="657" customFormat="1">
      <c r="A144" s="662"/>
      <c r="B144" s="659"/>
      <c r="C144" s="623"/>
      <c r="D144" s="623"/>
      <c r="E144" s="662"/>
      <c r="F144" s="663"/>
      <c r="G144" s="662"/>
      <c r="H144" s="664"/>
      <c r="I144" s="662"/>
      <c r="J144" s="664"/>
      <c r="K144" s="662"/>
      <c r="L144" s="662"/>
      <c r="M144" s="662"/>
      <c r="N144" s="662"/>
      <c r="O144" s="662"/>
      <c r="P144" s="662"/>
      <c r="Q144" s="662"/>
      <c r="R144" s="662"/>
      <c r="S144" s="662"/>
      <c r="T144" s="662"/>
      <c r="U144" s="662"/>
      <c r="V144" s="662"/>
      <c r="W144" s="662"/>
      <c r="X144" s="662"/>
      <c r="Y144" s="662"/>
      <c r="Z144" s="662"/>
      <c r="AA144" s="662"/>
      <c r="AB144" s="662"/>
      <c r="AC144" s="662"/>
      <c r="AD144" s="662"/>
      <c r="AE144" s="662"/>
      <c r="AF144" s="662"/>
      <c r="AG144" s="662"/>
      <c r="AH144" s="662"/>
      <c r="AI144" s="662"/>
      <c r="AJ144" s="662"/>
    </row>
    <row r="148" spans="1:36" s="657" customFormat="1">
      <c r="A148" s="662"/>
      <c r="B148" s="659"/>
      <c r="C148" s="623"/>
      <c r="D148" s="623"/>
      <c r="E148" s="662"/>
      <c r="F148" s="663"/>
      <c r="G148" s="662"/>
      <c r="H148" s="664"/>
      <c r="I148" s="662"/>
      <c r="J148" s="664"/>
      <c r="K148" s="662"/>
      <c r="L148" s="662"/>
      <c r="M148" s="662"/>
      <c r="N148" s="662"/>
      <c r="O148" s="662"/>
      <c r="P148" s="662"/>
      <c r="Q148" s="662"/>
      <c r="R148" s="662"/>
      <c r="S148" s="662"/>
      <c r="T148" s="662"/>
      <c r="U148" s="662"/>
      <c r="V148" s="662"/>
      <c r="W148" s="662"/>
      <c r="X148" s="662"/>
      <c r="Y148" s="662"/>
      <c r="Z148" s="662"/>
      <c r="AA148" s="662"/>
      <c r="AB148" s="662"/>
      <c r="AC148" s="662"/>
      <c r="AD148" s="662"/>
      <c r="AE148" s="662"/>
      <c r="AF148" s="662"/>
      <c r="AG148" s="662"/>
      <c r="AH148" s="662"/>
      <c r="AI148" s="662"/>
      <c r="AJ148" s="662"/>
    </row>
    <row r="152" spans="1:36" s="657" customFormat="1">
      <c r="A152" s="662"/>
      <c r="B152" s="659"/>
      <c r="C152" s="623"/>
      <c r="D152" s="623"/>
      <c r="E152" s="662"/>
      <c r="F152" s="663"/>
      <c r="G152" s="662"/>
      <c r="H152" s="664"/>
      <c r="I152" s="662"/>
      <c r="J152" s="664"/>
      <c r="K152" s="662"/>
      <c r="L152" s="662"/>
      <c r="M152" s="662"/>
      <c r="N152" s="662"/>
      <c r="O152" s="662"/>
      <c r="P152" s="662"/>
      <c r="Q152" s="662"/>
      <c r="R152" s="662"/>
      <c r="S152" s="662"/>
      <c r="T152" s="662"/>
      <c r="U152" s="662"/>
      <c r="V152" s="662"/>
      <c r="W152" s="662"/>
      <c r="X152" s="662"/>
      <c r="Y152" s="662"/>
      <c r="Z152" s="662"/>
      <c r="AA152" s="662"/>
      <c r="AB152" s="662"/>
      <c r="AC152" s="662"/>
      <c r="AD152" s="662"/>
      <c r="AE152" s="662"/>
      <c r="AF152" s="662"/>
      <c r="AG152" s="662"/>
      <c r="AH152" s="662"/>
      <c r="AI152" s="662"/>
      <c r="AJ152" s="662"/>
    </row>
    <row r="156" spans="1:36" s="657" customFormat="1">
      <c r="A156" s="662"/>
      <c r="B156" s="659"/>
      <c r="C156" s="623"/>
      <c r="D156" s="623"/>
      <c r="E156" s="662"/>
      <c r="F156" s="663"/>
      <c r="G156" s="662"/>
      <c r="H156" s="664"/>
      <c r="I156" s="662"/>
      <c r="J156" s="664"/>
      <c r="K156" s="662"/>
      <c r="L156" s="662"/>
      <c r="M156" s="662"/>
      <c r="N156" s="662"/>
      <c r="O156" s="662"/>
      <c r="P156" s="662"/>
      <c r="Q156" s="662"/>
      <c r="R156" s="662"/>
      <c r="S156" s="662"/>
      <c r="T156" s="662"/>
      <c r="U156" s="662"/>
      <c r="V156" s="662"/>
      <c r="W156" s="662"/>
      <c r="X156" s="662"/>
      <c r="Y156" s="662"/>
      <c r="Z156" s="662"/>
      <c r="AA156" s="662"/>
      <c r="AB156" s="662"/>
      <c r="AC156" s="662"/>
      <c r="AD156" s="662"/>
      <c r="AE156" s="662"/>
      <c r="AF156" s="662"/>
      <c r="AG156" s="662"/>
      <c r="AH156" s="662"/>
      <c r="AI156" s="662"/>
      <c r="AJ156" s="662"/>
    </row>
    <row r="160" spans="1:36" s="657" customFormat="1">
      <c r="A160" s="662"/>
      <c r="B160" s="659"/>
      <c r="C160" s="623"/>
      <c r="D160" s="623"/>
      <c r="E160" s="662"/>
      <c r="F160" s="663"/>
      <c r="G160" s="662"/>
      <c r="H160" s="664"/>
      <c r="I160" s="662"/>
      <c r="J160" s="664"/>
      <c r="K160" s="662"/>
      <c r="L160" s="662"/>
      <c r="M160" s="662"/>
      <c r="N160" s="662"/>
      <c r="O160" s="662"/>
      <c r="P160" s="662"/>
      <c r="Q160" s="662"/>
      <c r="R160" s="662"/>
      <c r="S160" s="662"/>
      <c r="T160" s="662"/>
      <c r="U160" s="662"/>
      <c r="V160" s="662"/>
      <c r="W160" s="662"/>
      <c r="X160" s="662"/>
      <c r="Y160" s="662"/>
      <c r="Z160" s="662"/>
      <c r="AA160" s="662"/>
      <c r="AB160" s="662"/>
      <c r="AC160" s="662"/>
      <c r="AD160" s="662"/>
      <c r="AE160" s="662"/>
      <c r="AF160" s="662"/>
      <c r="AG160" s="662"/>
      <c r="AH160" s="662"/>
      <c r="AI160" s="662"/>
      <c r="AJ160" s="662"/>
    </row>
    <row r="164" spans="1:36" s="657" customFormat="1">
      <c r="A164" s="662"/>
      <c r="B164" s="659"/>
      <c r="C164" s="623"/>
      <c r="D164" s="623"/>
      <c r="E164" s="662"/>
      <c r="F164" s="663"/>
      <c r="G164" s="662"/>
      <c r="H164" s="664"/>
      <c r="I164" s="662"/>
      <c r="J164" s="664"/>
      <c r="K164" s="662"/>
      <c r="L164" s="662"/>
      <c r="M164" s="662"/>
      <c r="N164" s="662"/>
      <c r="O164" s="662"/>
      <c r="P164" s="662"/>
      <c r="Q164" s="662"/>
      <c r="R164" s="662"/>
      <c r="S164" s="662"/>
      <c r="T164" s="662"/>
      <c r="U164" s="662"/>
      <c r="V164" s="662"/>
      <c r="W164" s="662"/>
      <c r="X164" s="662"/>
      <c r="Y164" s="662"/>
      <c r="Z164" s="662"/>
      <c r="AA164" s="662"/>
      <c r="AB164" s="662"/>
      <c r="AC164" s="662"/>
      <c r="AD164" s="662"/>
      <c r="AE164" s="662"/>
      <c r="AF164" s="662"/>
      <c r="AG164" s="662"/>
      <c r="AH164" s="662"/>
      <c r="AI164" s="662"/>
      <c r="AJ164" s="662"/>
    </row>
    <row r="168" spans="1:36" s="657" customFormat="1">
      <c r="A168" s="662"/>
      <c r="B168" s="659"/>
      <c r="C168" s="623"/>
      <c r="D168" s="623"/>
      <c r="E168" s="662"/>
      <c r="F168" s="663"/>
      <c r="G168" s="662"/>
      <c r="H168" s="664"/>
      <c r="I168" s="662"/>
      <c r="J168" s="664"/>
      <c r="K168" s="662"/>
      <c r="L168" s="662"/>
      <c r="M168" s="662"/>
      <c r="N168" s="662"/>
      <c r="O168" s="662"/>
      <c r="P168" s="662"/>
      <c r="Q168" s="662"/>
      <c r="R168" s="662"/>
      <c r="S168" s="662"/>
      <c r="T168" s="662"/>
      <c r="U168" s="662"/>
      <c r="V168" s="662"/>
      <c r="W168" s="662"/>
      <c r="X168" s="662"/>
      <c r="Y168" s="662"/>
      <c r="Z168" s="662"/>
      <c r="AA168" s="662"/>
      <c r="AB168" s="662"/>
      <c r="AC168" s="662"/>
      <c r="AD168" s="662"/>
      <c r="AE168" s="662"/>
      <c r="AF168" s="662"/>
      <c r="AG168" s="662"/>
      <c r="AH168" s="662"/>
      <c r="AI168" s="662"/>
      <c r="AJ168" s="662"/>
    </row>
    <row r="172" spans="1:36" s="657" customFormat="1">
      <c r="A172" s="662"/>
      <c r="B172" s="659"/>
      <c r="C172" s="623"/>
      <c r="D172" s="623"/>
      <c r="E172" s="662"/>
      <c r="F172" s="663"/>
      <c r="G172" s="662"/>
      <c r="H172" s="664"/>
      <c r="I172" s="662"/>
      <c r="J172" s="664"/>
      <c r="K172" s="662"/>
      <c r="L172" s="662"/>
      <c r="M172" s="662"/>
      <c r="N172" s="662"/>
      <c r="O172" s="662"/>
      <c r="P172" s="662"/>
      <c r="Q172" s="662"/>
      <c r="R172" s="662"/>
      <c r="S172" s="662"/>
      <c r="T172" s="662"/>
      <c r="U172" s="662"/>
      <c r="V172" s="662"/>
      <c r="W172" s="662"/>
      <c r="X172" s="662"/>
      <c r="Y172" s="662"/>
      <c r="Z172" s="662"/>
      <c r="AA172" s="662"/>
      <c r="AB172" s="662"/>
      <c r="AC172" s="662"/>
      <c r="AD172" s="662"/>
      <c r="AE172" s="662"/>
      <c r="AF172" s="662"/>
      <c r="AG172" s="662"/>
      <c r="AH172" s="662"/>
      <c r="AI172" s="662"/>
      <c r="AJ172" s="662"/>
    </row>
    <row r="176" spans="1:36" s="657" customFormat="1">
      <c r="A176" s="662"/>
      <c r="B176" s="659"/>
      <c r="C176" s="623"/>
      <c r="D176" s="623"/>
      <c r="E176" s="662"/>
      <c r="F176" s="663"/>
      <c r="G176" s="662"/>
      <c r="H176" s="664"/>
      <c r="I176" s="662"/>
      <c r="J176" s="664"/>
      <c r="K176" s="662"/>
      <c r="L176" s="662"/>
      <c r="M176" s="662"/>
      <c r="N176" s="662"/>
      <c r="O176" s="662"/>
      <c r="P176" s="662"/>
      <c r="Q176" s="662"/>
      <c r="R176" s="662"/>
      <c r="S176" s="662"/>
      <c r="T176" s="662"/>
      <c r="U176" s="662"/>
      <c r="V176" s="662"/>
      <c r="W176" s="662"/>
      <c r="X176" s="662"/>
      <c r="Y176" s="662"/>
      <c r="Z176" s="662"/>
      <c r="AA176" s="662"/>
      <c r="AB176" s="662"/>
      <c r="AC176" s="662"/>
      <c r="AD176" s="662"/>
      <c r="AE176" s="662"/>
      <c r="AF176" s="662"/>
      <c r="AG176" s="662"/>
      <c r="AH176" s="662"/>
      <c r="AI176" s="662"/>
      <c r="AJ176" s="662"/>
    </row>
    <row r="180" spans="1:36" s="657" customFormat="1">
      <c r="A180" s="662"/>
      <c r="B180" s="659"/>
      <c r="C180" s="623"/>
      <c r="D180" s="623"/>
      <c r="E180" s="662"/>
      <c r="F180" s="663"/>
      <c r="G180" s="662"/>
      <c r="H180" s="664"/>
      <c r="I180" s="662"/>
      <c r="J180" s="664"/>
      <c r="K180" s="662"/>
      <c r="L180" s="662"/>
      <c r="M180" s="662"/>
      <c r="N180" s="662"/>
      <c r="O180" s="662"/>
      <c r="P180" s="662"/>
      <c r="Q180" s="662"/>
      <c r="R180" s="662"/>
      <c r="S180" s="662"/>
      <c r="T180" s="662"/>
      <c r="U180" s="662"/>
      <c r="V180" s="662"/>
      <c r="W180" s="662"/>
      <c r="X180" s="662"/>
      <c r="Y180" s="662"/>
      <c r="Z180" s="662"/>
      <c r="AA180" s="662"/>
      <c r="AB180" s="662"/>
      <c r="AC180" s="662"/>
      <c r="AD180" s="662"/>
      <c r="AE180" s="662"/>
      <c r="AF180" s="662"/>
      <c r="AG180" s="662"/>
      <c r="AH180" s="662"/>
      <c r="AI180" s="662"/>
      <c r="AJ180" s="662"/>
    </row>
    <row r="184" spans="1:36" s="657" customFormat="1">
      <c r="A184" s="662"/>
      <c r="B184" s="659"/>
      <c r="C184" s="623"/>
      <c r="D184" s="623"/>
      <c r="E184" s="662"/>
      <c r="F184" s="663"/>
      <c r="G184" s="662"/>
      <c r="H184" s="664"/>
      <c r="I184" s="662"/>
      <c r="J184" s="664"/>
      <c r="K184" s="662"/>
      <c r="L184" s="662"/>
      <c r="M184" s="662"/>
      <c r="N184" s="662"/>
      <c r="O184" s="662"/>
      <c r="P184" s="662"/>
      <c r="Q184" s="662"/>
      <c r="R184" s="662"/>
      <c r="S184" s="662"/>
      <c r="T184" s="662"/>
      <c r="U184" s="662"/>
      <c r="V184" s="662"/>
      <c r="W184" s="662"/>
      <c r="X184" s="662"/>
      <c r="Y184" s="662"/>
      <c r="Z184" s="662"/>
      <c r="AA184" s="662"/>
      <c r="AB184" s="662"/>
      <c r="AC184" s="662"/>
      <c r="AD184" s="662"/>
      <c r="AE184" s="662"/>
      <c r="AF184" s="662"/>
      <c r="AG184" s="662"/>
      <c r="AH184" s="662"/>
      <c r="AI184" s="662"/>
      <c r="AJ184" s="662"/>
    </row>
    <row r="188" spans="1:36" s="657" customFormat="1">
      <c r="A188" s="662"/>
      <c r="B188" s="659"/>
      <c r="C188" s="623"/>
      <c r="D188" s="623"/>
      <c r="E188" s="662"/>
      <c r="F188" s="663"/>
      <c r="G188" s="662"/>
      <c r="H188" s="664"/>
      <c r="I188" s="662"/>
      <c r="J188" s="664"/>
      <c r="K188" s="662"/>
      <c r="L188" s="662"/>
      <c r="M188" s="662"/>
      <c r="N188" s="662"/>
      <c r="O188" s="662"/>
      <c r="P188" s="662"/>
      <c r="Q188" s="662"/>
      <c r="R188" s="662"/>
      <c r="S188" s="662"/>
      <c r="T188" s="662"/>
      <c r="U188" s="662"/>
      <c r="V188" s="662"/>
      <c r="W188" s="662"/>
      <c r="X188" s="662"/>
      <c r="Y188" s="662"/>
      <c r="Z188" s="662"/>
      <c r="AA188" s="662"/>
      <c r="AB188" s="662"/>
      <c r="AC188" s="662"/>
      <c r="AD188" s="662"/>
      <c r="AE188" s="662"/>
      <c r="AF188" s="662"/>
      <c r="AG188" s="662"/>
      <c r="AH188" s="662"/>
      <c r="AI188" s="662"/>
      <c r="AJ188" s="662"/>
    </row>
    <row r="192" spans="1:36" s="665" customFormat="1">
      <c r="A192" s="662"/>
      <c r="B192" s="659"/>
      <c r="C192" s="623"/>
      <c r="D192" s="623"/>
      <c r="E192" s="662"/>
      <c r="F192" s="663"/>
      <c r="G192" s="662"/>
      <c r="H192" s="664"/>
      <c r="I192" s="662"/>
      <c r="J192" s="664"/>
      <c r="K192" s="662"/>
      <c r="L192" s="662"/>
      <c r="M192" s="662"/>
      <c r="N192" s="662"/>
      <c r="O192" s="662"/>
      <c r="P192" s="662"/>
      <c r="Q192" s="662"/>
      <c r="R192" s="662"/>
      <c r="S192" s="662"/>
      <c r="T192" s="662"/>
      <c r="U192" s="662"/>
      <c r="V192" s="662"/>
      <c r="W192" s="662"/>
      <c r="X192" s="662"/>
      <c r="Y192" s="662"/>
      <c r="Z192" s="662"/>
      <c r="AA192" s="662"/>
      <c r="AB192" s="662"/>
      <c r="AC192" s="662"/>
      <c r="AD192" s="662"/>
      <c r="AE192" s="662"/>
      <c r="AF192" s="662"/>
      <c r="AG192" s="662"/>
      <c r="AH192" s="662"/>
      <c r="AI192" s="662"/>
      <c r="AJ192" s="662"/>
    </row>
    <row r="194" spans="1:36" s="655" customFormat="1">
      <c r="A194" s="627"/>
      <c r="B194" s="659"/>
      <c r="C194" s="550"/>
      <c r="D194" s="550"/>
      <c r="E194" s="627"/>
      <c r="F194" s="660"/>
      <c r="G194" s="627"/>
      <c r="H194" s="661"/>
      <c r="I194" s="627"/>
      <c r="J194" s="661"/>
      <c r="K194" s="627"/>
      <c r="L194" s="627"/>
      <c r="M194" s="627"/>
      <c r="N194" s="627"/>
      <c r="O194" s="627"/>
      <c r="P194" s="627"/>
      <c r="Q194" s="627"/>
      <c r="R194" s="627"/>
      <c r="S194" s="627"/>
      <c r="T194" s="627"/>
      <c r="U194" s="627"/>
      <c r="V194" s="627"/>
      <c r="W194" s="627"/>
      <c r="X194" s="627"/>
      <c r="Y194" s="627"/>
      <c r="Z194" s="627"/>
      <c r="AA194" s="627"/>
      <c r="AB194" s="627"/>
      <c r="AC194" s="627"/>
      <c r="AD194" s="627"/>
      <c r="AE194" s="627"/>
      <c r="AF194" s="627"/>
      <c r="AG194" s="627"/>
      <c r="AH194" s="627"/>
      <c r="AI194" s="627"/>
      <c r="AJ194" s="627"/>
    </row>
    <row r="195" spans="1:36" s="655" customFormat="1">
      <c r="A195" s="627"/>
      <c r="B195" s="659"/>
      <c r="C195" s="550"/>
      <c r="D195" s="550"/>
      <c r="E195" s="627"/>
      <c r="F195" s="660"/>
      <c r="G195" s="627"/>
      <c r="H195" s="661"/>
      <c r="I195" s="627"/>
      <c r="J195" s="661"/>
      <c r="K195" s="627"/>
      <c r="L195" s="627"/>
      <c r="M195" s="627"/>
      <c r="N195" s="627"/>
      <c r="O195" s="627"/>
      <c r="P195" s="627"/>
      <c r="Q195" s="627"/>
      <c r="R195" s="627"/>
      <c r="S195" s="627"/>
      <c r="T195" s="627"/>
      <c r="U195" s="627"/>
      <c r="V195" s="627"/>
      <c r="W195" s="627"/>
      <c r="X195" s="627"/>
      <c r="Y195" s="627"/>
      <c r="Z195" s="627"/>
      <c r="AA195" s="627"/>
      <c r="AB195" s="627"/>
      <c r="AC195" s="627"/>
      <c r="AD195" s="627"/>
      <c r="AE195" s="627"/>
      <c r="AF195" s="627"/>
      <c r="AG195" s="627"/>
      <c r="AH195" s="627"/>
      <c r="AI195" s="627"/>
      <c r="AJ195" s="627"/>
    </row>
    <row r="196" spans="1:36" s="665" customFormat="1">
      <c r="A196" s="662"/>
      <c r="B196" s="659"/>
      <c r="C196" s="623"/>
      <c r="D196" s="623"/>
      <c r="E196" s="662"/>
      <c r="F196" s="663"/>
      <c r="G196" s="662"/>
      <c r="H196" s="664"/>
      <c r="I196" s="662"/>
      <c r="J196" s="664"/>
      <c r="K196" s="662"/>
      <c r="L196" s="662"/>
      <c r="M196" s="662"/>
      <c r="N196" s="662"/>
      <c r="O196" s="662"/>
      <c r="P196" s="662"/>
      <c r="Q196" s="662"/>
      <c r="R196" s="662"/>
      <c r="S196" s="662"/>
      <c r="T196" s="662"/>
      <c r="U196" s="662"/>
      <c r="V196" s="662"/>
      <c r="W196" s="662"/>
      <c r="X196" s="662"/>
      <c r="Y196" s="662"/>
      <c r="Z196" s="662"/>
      <c r="AA196" s="662"/>
      <c r="AB196" s="662"/>
      <c r="AC196" s="662"/>
      <c r="AD196" s="662"/>
      <c r="AE196" s="662"/>
      <c r="AF196" s="662"/>
      <c r="AG196" s="662"/>
      <c r="AH196" s="662"/>
      <c r="AI196" s="662"/>
      <c r="AJ196" s="662"/>
    </row>
    <row r="198" spans="1:36" s="655" customFormat="1">
      <c r="A198" s="627"/>
      <c r="B198" s="659"/>
      <c r="C198" s="550"/>
      <c r="D198" s="550"/>
      <c r="E198" s="627"/>
      <c r="F198" s="660"/>
      <c r="G198" s="627"/>
      <c r="H198" s="661"/>
      <c r="I198" s="627"/>
      <c r="J198" s="661"/>
      <c r="K198" s="627"/>
      <c r="L198" s="627"/>
      <c r="M198" s="627"/>
      <c r="N198" s="627"/>
      <c r="O198" s="627"/>
      <c r="P198" s="627"/>
      <c r="Q198" s="627"/>
      <c r="R198" s="627"/>
      <c r="S198" s="627"/>
      <c r="T198" s="627"/>
      <c r="U198" s="627"/>
      <c r="V198" s="627"/>
      <c r="W198" s="627"/>
      <c r="X198" s="627"/>
      <c r="Y198" s="627"/>
      <c r="Z198" s="627"/>
      <c r="AA198" s="627"/>
      <c r="AB198" s="627"/>
      <c r="AC198" s="627"/>
      <c r="AD198" s="627"/>
      <c r="AE198" s="627"/>
      <c r="AF198" s="627"/>
      <c r="AG198" s="627"/>
      <c r="AH198" s="627"/>
      <c r="AI198" s="627"/>
      <c r="AJ198" s="627"/>
    </row>
    <row r="199" spans="1:36" s="655" customFormat="1">
      <c r="A199" s="627"/>
      <c r="B199" s="659"/>
      <c r="C199" s="550"/>
      <c r="D199" s="550"/>
      <c r="E199" s="627"/>
      <c r="F199" s="660"/>
      <c r="G199" s="627"/>
      <c r="H199" s="661"/>
      <c r="I199" s="627"/>
      <c r="J199" s="661"/>
      <c r="K199" s="627"/>
      <c r="L199" s="627"/>
      <c r="M199" s="627"/>
      <c r="N199" s="627"/>
      <c r="O199" s="627"/>
      <c r="P199" s="627"/>
      <c r="Q199" s="627"/>
      <c r="R199" s="627"/>
      <c r="S199" s="627"/>
      <c r="T199" s="627"/>
      <c r="U199" s="627"/>
      <c r="V199" s="627"/>
      <c r="W199" s="627"/>
      <c r="X199" s="627"/>
      <c r="Y199" s="627"/>
      <c r="Z199" s="627"/>
      <c r="AA199" s="627"/>
      <c r="AB199" s="627"/>
      <c r="AC199" s="627"/>
      <c r="AD199" s="627"/>
      <c r="AE199" s="627"/>
      <c r="AF199" s="627"/>
      <c r="AG199" s="627"/>
      <c r="AH199" s="627"/>
      <c r="AI199" s="627"/>
      <c r="AJ199" s="627"/>
    </row>
    <row r="200" spans="1:36" s="665" customFormat="1">
      <c r="A200" s="662"/>
      <c r="B200" s="659"/>
      <c r="C200" s="623"/>
      <c r="D200" s="623"/>
      <c r="E200" s="662"/>
      <c r="F200" s="663"/>
      <c r="G200" s="662"/>
      <c r="H200" s="664"/>
      <c r="I200" s="662"/>
      <c r="J200" s="664"/>
      <c r="K200" s="662"/>
      <c r="L200" s="662"/>
      <c r="M200" s="662"/>
      <c r="N200" s="662"/>
      <c r="O200" s="662"/>
      <c r="P200" s="662"/>
      <c r="Q200" s="662"/>
      <c r="R200" s="662"/>
      <c r="S200" s="662"/>
      <c r="T200" s="662"/>
      <c r="U200" s="662"/>
      <c r="V200" s="662"/>
      <c r="W200" s="662"/>
      <c r="X200" s="662"/>
      <c r="Y200" s="662"/>
      <c r="Z200" s="662"/>
      <c r="AA200" s="662"/>
      <c r="AB200" s="662"/>
      <c r="AC200" s="662"/>
      <c r="AD200" s="662"/>
      <c r="AE200" s="662"/>
      <c r="AF200" s="662"/>
      <c r="AG200" s="662"/>
      <c r="AH200" s="662"/>
      <c r="AI200" s="662"/>
      <c r="AJ200" s="662"/>
    </row>
    <row r="202" spans="1:36" s="655" customFormat="1">
      <c r="A202" s="627"/>
      <c r="B202" s="659"/>
      <c r="C202" s="550"/>
      <c r="D202" s="550"/>
      <c r="E202" s="627"/>
      <c r="F202" s="660"/>
      <c r="G202" s="627"/>
      <c r="H202" s="661"/>
      <c r="I202" s="627"/>
      <c r="J202" s="661"/>
      <c r="K202" s="627"/>
      <c r="L202" s="627"/>
      <c r="M202" s="627"/>
      <c r="N202" s="627"/>
      <c r="O202" s="627"/>
      <c r="P202" s="627"/>
      <c r="Q202" s="627"/>
      <c r="R202" s="627"/>
      <c r="S202" s="627"/>
      <c r="T202" s="627"/>
      <c r="U202" s="627"/>
      <c r="V202" s="627"/>
      <c r="W202" s="627"/>
      <c r="X202" s="627"/>
      <c r="Y202" s="627"/>
      <c r="Z202" s="627"/>
      <c r="AA202" s="627"/>
      <c r="AB202" s="627"/>
      <c r="AC202" s="627"/>
      <c r="AD202" s="627"/>
      <c r="AE202" s="627"/>
      <c r="AF202" s="627"/>
      <c r="AG202" s="627"/>
      <c r="AH202" s="627"/>
      <c r="AI202" s="627"/>
      <c r="AJ202" s="627"/>
    </row>
    <row r="203" spans="1:36" s="655" customFormat="1">
      <c r="A203" s="627"/>
      <c r="B203" s="659"/>
      <c r="C203" s="550"/>
      <c r="D203" s="550"/>
      <c r="E203" s="627"/>
      <c r="F203" s="660"/>
      <c r="G203" s="627"/>
      <c r="H203" s="661"/>
      <c r="I203" s="627"/>
      <c r="J203" s="661"/>
      <c r="K203" s="627"/>
      <c r="L203" s="627"/>
      <c r="M203" s="627"/>
      <c r="N203" s="627"/>
      <c r="O203" s="627"/>
      <c r="P203" s="627"/>
      <c r="Q203" s="627"/>
      <c r="R203" s="627"/>
      <c r="S203" s="627"/>
      <c r="T203" s="627"/>
      <c r="U203" s="627"/>
      <c r="V203" s="627"/>
      <c r="W203" s="627"/>
      <c r="X203" s="627"/>
      <c r="Y203" s="627"/>
      <c r="Z203" s="627"/>
      <c r="AA203" s="627"/>
      <c r="AB203" s="627"/>
      <c r="AC203" s="627"/>
      <c r="AD203" s="627"/>
      <c r="AE203" s="627"/>
      <c r="AF203" s="627"/>
      <c r="AG203" s="627"/>
      <c r="AH203" s="627"/>
      <c r="AI203" s="627"/>
      <c r="AJ203" s="627"/>
    </row>
    <row r="204" spans="1:36" s="665" customFormat="1">
      <c r="A204" s="662"/>
      <c r="B204" s="659"/>
      <c r="C204" s="623"/>
      <c r="D204" s="623"/>
      <c r="E204" s="662"/>
      <c r="F204" s="663"/>
      <c r="G204" s="662"/>
      <c r="H204" s="664"/>
      <c r="I204" s="662"/>
      <c r="J204" s="664"/>
      <c r="K204" s="662"/>
      <c r="L204" s="662"/>
      <c r="M204" s="662"/>
      <c r="N204" s="662"/>
      <c r="O204" s="662"/>
      <c r="P204" s="662"/>
      <c r="Q204" s="662"/>
      <c r="R204" s="662"/>
      <c r="S204" s="662"/>
      <c r="T204" s="662"/>
      <c r="U204" s="662"/>
      <c r="V204" s="662"/>
      <c r="W204" s="662"/>
      <c r="X204" s="662"/>
      <c r="Y204" s="662"/>
      <c r="Z204" s="662"/>
      <c r="AA204" s="662"/>
      <c r="AB204" s="662"/>
      <c r="AC204" s="662"/>
      <c r="AD204" s="662"/>
      <c r="AE204" s="662"/>
      <c r="AF204" s="662"/>
      <c r="AG204" s="662"/>
      <c r="AH204" s="662"/>
      <c r="AI204" s="662"/>
      <c r="AJ204" s="662"/>
    </row>
    <row r="208" spans="1:36" s="665" customFormat="1">
      <c r="A208" s="662"/>
      <c r="B208" s="659"/>
      <c r="C208" s="623"/>
      <c r="D208" s="623"/>
      <c r="E208" s="662"/>
      <c r="F208" s="663"/>
      <c r="G208" s="662"/>
      <c r="H208" s="664"/>
      <c r="I208" s="662"/>
      <c r="J208" s="664"/>
      <c r="K208" s="662"/>
      <c r="L208" s="662"/>
      <c r="M208" s="662"/>
      <c r="N208" s="662"/>
      <c r="O208" s="662"/>
      <c r="P208" s="662"/>
      <c r="Q208" s="662"/>
      <c r="R208" s="662"/>
      <c r="S208" s="662"/>
      <c r="T208" s="662"/>
      <c r="U208" s="662"/>
      <c r="V208" s="662"/>
      <c r="W208" s="662"/>
      <c r="X208" s="662"/>
      <c r="Y208" s="662"/>
      <c r="Z208" s="662"/>
      <c r="AA208" s="662"/>
      <c r="AB208" s="662"/>
      <c r="AC208" s="662"/>
      <c r="AD208" s="662"/>
      <c r="AE208" s="662"/>
      <c r="AF208" s="662"/>
      <c r="AG208" s="662"/>
      <c r="AH208" s="662"/>
      <c r="AI208" s="662"/>
      <c r="AJ208" s="662"/>
    </row>
    <row r="210" spans="1:36" s="655" customFormat="1">
      <c r="A210" s="627"/>
      <c r="B210" s="659"/>
      <c r="C210" s="550"/>
      <c r="D210" s="550"/>
      <c r="E210" s="627"/>
      <c r="F210" s="660"/>
      <c r="G210" s="627"/>
      <c r="H210" s="661"/>
      <c r="I210" s="627"/>
      <c r="J210" s="661"/>
      <c r="K210" s="627"/>
      <c r="L210" s="627"/>
      <c r="M210" s="627"/>
      <c r="N210" s="627"/>
      <c r="O210" s="627"/>
      <c r="P210" s="627"/>
      <c r="Q210" s="627"/>
      <c r="R210" s="627"/>
      <c r="S210" s="627"/>
      <c r="T210" s="627"/>
      <c r="U210" s="627"/>
      <c r="V210" s="627"/>
      <c r="W210" s="627"/>
      <c r="X210" s="627"/>
      <c r="Y210" s="627"/>
      <c r="Z210" s="627"/>
      <c r="AA210" s="627"/>
      <c r="AB210" s="627"/>
      <c r="AC210" s="627"/>
      <c r="AD210" s="627"/>
      <c r="AE210" s="627"/>
      <c r="AF210" s="627"/>
      <c r="AG210" s="627"/>
      <c r="AH210" s="627"/>
      <c r="AI210" s="627"/>
      <c r="AJ210" s="627"/>
    </row>
    <row r="211" spans="1:36" s="655" customFormat="1">
      <c r="A211" s="627"/>
      <c r="B211" s="659"/>
      <c r="C211" s="550"/>
      <c r="D211" s="550"/>
      <c r="E211" s="627"/>
      <c r="F211" s="660"/>
      <c r="G211" s="627"/>
      <c r="H211" s="661"/>
      <c r="I211" s="627"/>
      <c r="J211" s="661"/>
      <c r="K211" s="627"/>
      <c r="L211" s="627"/>
      <c r="M211" s="627"/>
      <c r="N211" s="627"/>
      <c r="O211" s="627"/>
      <c r="P211" s="627"/>
      <c r="Q211" s="627"/>
      <c r="R211" s="627"/>
      <c r="S211" s="627"/>
      <c r="T211" s="627"/>
      <c r="U211" s="627"/>
      <c r="V211" s="627"/>
      <c r="W211" s="627"/>
      <c r="X211" s="627"/>
      <c r="Y211" s="627"/>
      <c r="Z211" s="627"/>
      <c r="AA211" s="627"/>
      <c r="AB211" s="627"/>
      <c r="AC211" s="627"/>
      <c r="AD211" s="627"/>
      <c r="AE211" s="627"/>
      <c r="AF211" s="627"/>
      <c r="AG211" s="627"/>
      <c r="AH211" s="627"/>
      <c r="AI211" s="627"/>
      <c r="AJ211" s="627"/>
    </row>
    <row r="212" spans="1:36" s="665" customFormat="1">
      <c r="A212" s="662"/>
      <c r="B212" s="659"/>
      <c r="C212" s="623"/>
      <c r="D212" s="623"/>
      <c r="E212" s="662"/>
      <c r="F212" s="663"/>
      <c r="G212" s="662"/>
      <c r="H212" s="664"/>
      <c r="I212" s="662"/>
      <c r="J212" s="664"/>
      <c r="K212" s="662"/>
      <c r="L212" s="662"/>
      <c r="M212" s="662"/>
      <c r="N212" s="662"/>
      <c r="O212" s="662"/>
      <c r="P212" s="662"/>
      <c r="Q212" s="662"/>
      <c r="R212" s="662"/>
      <c r="S212" s="662"/>
      <c r="T212" s="662"/>
      <c r="U212" s="662"/>
      <c r="V212" s="662"/>
      <c r="W212" s="662"/>
      <c r="X212" s="662"/>
      <c r="Y212" s="662"/>
      <c r="Z212" s="662"/>
      <c r="AA212" s="662"/>
      <c r="AB212" s="662"/>
      <c r="AC212" s="662"/>
      <c r="AD212" s="662"/>
      <c r="AE212" s="662"/>
      <c r="AF212" s="662"/>
      <c r="AG212" s="662"/>
      <c r="AH212" s="662"/>
      <c r="AI212" s="662"/>
      <c r="AJ212" s="662"/>
    </row>
    <row r="214" spans="1:36" s="655" customFormat="1">
      <c r="A214" s="627"/>
      <c r="B214" s="659"/>
      <c r="C214" s="550"/>
      <c r="D214" s="550"/>
      <c r="E214" s="627"/>
      <c r="F214" s="660"/>
      <c r="G214" s="627"/>
      <c r="H214" s="661"/>
      <c r="I214" s="627"/>
      <c r="J214" s="661"/>
      <c r="K214" s="627"/>
      <c r="L214" s="627"/>
      <c r="M214" s="627"/>
      <c r="N214" s="627"/>
      <c r="O214" s="627"/>
      <c r="P214" s="627"/>
      <c r="Q214" s="627"/>
      <c r="R214" s="627"/>
      <c r="S214" s="627"/>
      <c r="T214" s="627"/>
      <c r="U214" s="627"/>
      <c r="V214" s="627"/>
      <c r="W214" s="627"/>
      <c r="X214" s="627"/>
      <c r="Y214" s="627"/>
      <c r="Z214" s="627"/>
      <c r="AA214" s="627"/>
      <c r="AB214" s="627"/>
      <c r="AC214" s="627"/>
      <c r="AD214" s="627"/>
      <c r="AE214" s="627"/>
      <c r="AF214" s="627"/>
      <c r="AG214" s="627"/>
      <c r="AH214" s="627"/>
      <c r="AI214" s="627"/>
      <c r="AJ214" s="627"/>
    </row>
    <row r="215" spans="1:36" s="655" customFormat="1">
      <c r="A215" s="627"/>
      <c r="B215" s="659"/>
      <c r="C215" s="550"/>
      <c r="D215" s="550"/>
      <c r="E215" s="627"/>
      <c r="F215" s="660"/>
      <c r="G215" s="627"/>
      <c r="H215" s="661"/>
      <c r="I215" s="627"/>
      <c r="J215" s="661"/>
      <c r="K215" s="627"/>
      <c r="L215" s="627"/>
      <c r="M215" s="627"/>
      <c r="N215" s="627"/>
      <c r="O215" s="627"/>
      <c r="P215" s="627"/>
      <c r="Q215" s="627"/>
      <c r="R215" s="627"/>
      <c r="S215" s="627"/>
      <c r="T215" s="627"/>
      <c r="U215" s="627"/>
      <c r="V215" s="627"/>
      <c r="W215" s="627"/>
      <c r="X215" s="627"/>
      <c r="Y215" s="627"/>
      <c r="Z215" s="627"/>
      <c r="AA215" s="627"/>
      <c r="AB215" s="627"/>
      <c r="AC215" s="627"/>
      <c r="AD215" s="627"/>
      <c r="AE215" s="627"/>
      <c r="AF215" s="627"/>
      <c r="AG215" s="627"/>
      <c r="AH215" s="627"/>
      <c r="AI215" s="627"/>
      <c r="AJ215" s="627"/>
    </row>
    <row r="216" spans="1:36" s="665" customFormat="1">
      <c r="A216" s="662"/>
      <c r="B216" s="659"/>
      <c r="C216" s="623"/>
      <c r="D216" s="623"/>
      <c r="E216" s="662"/>
      <c r="F216" s="663"/>
      <c r="G216" s="662"/>
      <c r="H216" s="664"/>
      <c r="I216" s="662"/>
      <c r="J216" s="664"/>
      <c r="K216" s="662"/>
      <c r="L216" s="662"/>
      <c r="M216" s="662"/>
      <c r="N216" s="662"/>
      <c r="O216" s="662"/>
      <c r="P216" s="662"/>
      <c r="Q216" s="662"/>
      <c r="R216" s="662"/>
      <c r="S216" s="662"/>
      <c r="T216" s="662"/>
      <c r="U216" s="662"/>
      <c r="V216" s="662"/>
      <c r="W216" s="662"/>
      <c r="X216" s="662"/>
      <c r="Y216" s="662"/>
      <c r="Z216" s="662"/>
      <c r="AA216" s="662"/>
      <c r="AB216" s="662"/>
      <c r="AC216" s="662"/>
      <c r="AD216" s="662"/>
      <c r="AE216" s="662"/>
      <c r="AF216" s="662"/>
      <c r="AG216" s="662"/>
      <c r="AH216" s="662"/>
      <c r="AI216" s="662"/>
      <c r="AJ216" s="662"/>
    </row>
    <row r="218" spans="1:36" s="655" customFormat="1">
      <c r="A218" s="627"/>
      <c r="B218" s="659"/>
      <c r="C218" s="550"/>
      <c r="D218" s="550"/>
      <c r="E218" s="627"/>
      <c r="F218" s="660"/>
      <c r="G218" s="627"/>
      <c r="H218" s="661"/>
      <c r="I218" s="627"/>
      <c r="J218" s="661"/>
      <c r="K218" s="627"/>
      <c r="L218" s="627"/>
      <c r="M218" s="627"/>
      <c r="N218" s="627"/>
      <c r="O218" s="627"/>
      <c r="P218" s="627"/>
      <c r="Q218" s="627"/>
      <c r="R218" s="627"/>
      <c r="S218" s="627"/>
      <c r="T218" s="627"/>
      <c r="U218" s="627"/>
      <c r="V218" s="627"/>
      <c r="W218" s="627"/>
      <c r="X218" s="627"/>
      <c r="Y218" s="627"/>
      <c r="Z218" s="627"/>
      <c r="AA218" s="627"/>
      <c r="AB218" s="627"/>
      <c r="AC218" s="627"/>
      <c r="AD218" s="627"/>
      <c r="AE218" s="627"/>
      <c r="AF218" s="627"/>
      <c r="AG218" s="627"/>
      <c r="AH218" s="627"/>
      <c r="AI218" s="627"/>
      <c r="AJ218" s="627"/>
    </row>
    <row r="219" spans="1:36" s="655" customFormat="1">
      <c r="A219" s="627"/>
      <c r="B219" s="659"/>
      <c r="C219" s="550"/>
      <c r="D219" s="550"/>
      <c r="E219" s="627"/>
      <c r="F219" s="660"/>
      <c r="G219" s="627"/>
      <c r="H219" s="661"/>
      <c r="I219" s="627"/>
      <c r="J219" s="661"/>
      <c r="K219" s="627"/>
      <c r="L219" s="627"/>
      <c r="M219" s="627"/>
      <c r="N219" s="627"/>
      <c r="O219" s="627"/>
      <c r="P219" s="627"/>
      <c r="Q219" s="627"/>
      <c r="R219" s="627"/>
      <c r="S219" s="627"/>
      <c r="T219" s="627"/>
      <c r="U219" s="627"/>
      <c r="V219" s="627"/>
      <c r="W219" s="627"/>
      <c r="X219" s="627"/>
      <c r="Y219" s="627"/>
      <c r="Z219" s="627"/>
      <c r="AA219" s="627"/>
      <c r="AB219" s="627"/>
      <c r="AC219" s="627"/>
      <c r="AD219" s="627"/>
      <c r="AE219" s="627"/>
      <c r="AF219" s="627"/>
      <c r="AG219" s="627"/>
      <c r="AH219" s="627"/>
      <c r="AI219" s="627"/>
      <c r="AJ219" s="627"/>
    </row>
    <row r="220" spans="1:36" s="665" customFormat="1">
      <c r="A220" s="662"/>
      <c r="B220" s="659"/>
      <c r="C220" s="623"/>
      <c r="D220" s="623"/>
      <c r="E220" s="662"/>
      <c r="F220" s="663"/>
      <c r="G220" s="662"/>
      <c r="H220" s="664"/>
      <c r="I220" s="662"/>
      <c r="J220" s="664"/>
      <c r="K220" s="662"/>
      <c r="L220" s="662"/>
      <c r="M220" s="662"/>
      <c r="N220" s="662"/>
      <c r="O220" s="662"/>
      <c r="P220" s="662"/>
      <c r="Q220" s="662"/>
      <c r="R220" s="662"/>
      <c r="S220" s="662"/>
      <c r="T220" s="662"/>
      <c r="U220" s="662"/>
      <c r="V220" s="662"/>
      <c r="W220" s="662"/>
      <c r="X220" s="662"/>
      <c r="Y220" s="662"/>
      <c r="Z220" s="662"/>
      <c r="AA220" s="662"/>
      <c r="AB220" s="662"/>
      <c r="AC220" s="662"/>
      <c r="AD220" s="662"/>
      <c r="AE220" s="662"/>
      <c r="AF220" s="662"/>
      <c r="AG220" s="662"/>
      <c r="AH220" s="662"/>
      <c r="AI220" s="662"/>
      <c r="AJ220" s="662"/>
    </row>
    <row r="222" spans="1:36" s="655" customFormat="1">
      <c r="A222" s="627"/>
      <c r="B222" s="659"/>
      <c r="C222" s="550"/>
      <c r="D222" s="550"/>
      <c r="E222" s="627"/>
      <c r="F222" s="660"/>
      <c r="G222" s="627"/>
      <c r="H222" s="661"/>
      <c r="I222" s="627"/>
      <c r="J222" s="661"/>
      <c r="K222" s="627"/>
      <c r="L222" s="627"/>
      <c r="M222" s="627"/>
      <c r="N222" s="627"/>
      <c r="O222" s="627"/>
      <c r="P222" s="627"/>
      <c r="Q222" s="627"/>
      <c r="R222" s="627"/>
      <c r="S222" s="627"/>
      <c r="T222" s="627"/>
      <c r="U222" s="627"/>
      <c r="V222" s="627"/>
      <c r="W222" s="627"/>
      <c r="X222" s="627"/>
      <c r="Y222" s="627"/>
      <c r="Z222" s="627"/>
      <c r="AA222" s="627"/>
      <c r="AB222" s="627"/>
      <c r="AC222" s="627"/>
      <c r="AD222" s="627"/>
      <c r="AE222" s="627"/>
      <c r="AF222" s="627"/>
      <c r="AG222" s="627"/>
      <c r="AH222" s="627"/>
      <c r="AI222" s="627"/>
      <c r="AJ222" s="627"/>
    </row>
    <row r="223" spans="1:36" s="655" customFormat="1">
      <c r="A223" s="627"/>
      <c r="B223" s="659"/>
      <c r="C223" s="550"/>
      <c r="D223" s="550"/>
      <c r="E223" s="627"/>
      <c r="F223" s="660"/>
      <c r="G223" s="627"/>
      <c r="H223" s="661"/>
      <c r="I223" s="627"/>
      <c r="J223" s="661"/>
      <c r="K223" s="627"/>
      <c r="L223" s="627"/>
      <c r="M223" s="627"/>
      <c r="N223" s="627"/>
      <c r="O223" s="627"/>
      <c r="P223" s="627"/>
      <c r="Q223" s="627"/>
      <c r="R223" s="627"/>
      <c r="S223" s="627"/>
      <c r="T223" s="627"/>
      <c r="U223" s="627"/>
      <c r="V223" s="627"/>
      <c r="W223" s="627"/>
      <c r="X223" s="627"/>
      <c r="Y223" s="627"/>
      <c r="Z223" s="627"/>
      <c r="AA223" s="627"/>
      <c r="AB223" s="627"/>
      <c r="AC223" s="627"/>
      <c r="AD223" s="627"/>
      <c r="AE223" s="627"/>
      <c r="AF223" s="627"/>
      <c r="AG223" s="627"/>
      <c r="AH223" s="627"/>
      <c r="AI223" s="627"/>
      <c r="AJ223" s="627"/>
    </row>
    <row r="224" spans="1:36" s="665" customFormat="1">
      <c r="A224" s="662"/>
      <c r="B224" s="659"/>
      <c r="C224" s="623"/>
      <c r="D224" s="623"/>
      <c r="E224" s="662"/>
      <c r="F224" s="663"/>
      <c r="G224" s="662"/>
      <c r="H224" s="664"/>
      <c r="I224" s="662"/>
      <c r="J224" s="664"/>
      <c r="K224" s="662"/>
      <c r="L224" s="662"/>
      <c r="M224" s="662"/>
      <c r="N224" s="662"/>
      <c r="O224" s="662"/>
      <c r="P224" s="662"/>
      <c r="Q224" s="662"/>
      <c r="R224" s="662"/>
      <c r="S224" s="662"/>
      <c r="T224" s="662"/>
      <c r="U224" s="662"/>
      <c r="V224" s="662"/>
      <c r="W224" s="662"/>
      <c r="X224" s="662"/>
      <c r="Y224" s="662"/>
      <c r="Z224" s="662"/>
      <c r="AA224" s="662"/>
      <c r="AB224" s="662"/>
      <c r="AC224" s="662"/>
      <c r="AD224" s="662"/>
      <c r="AE224" s="662"/>
      <c r="AF224" s="662"/>
      <c r="AG224" s="662"/>
      <c r="AH224" s="662"/>
      <c r="AI224" s="662"/>
      <c r="AJ224" s="662"/>
    </row>
    <row r="226" spans="1:36" s="666" customFormat="1">
      <c r="A226" s="627"/>
      <c r="B226" s="659"/>
      <c r="C226" s="550"/>
      <c r="D226" s="550"/>
      <c r="E226" s="627"/>
      <c r="F226" s="660"/>
      <c r="G226" s="627"/>
      <c r="H226" s="661"/>
      <c r="I226" s="627"/>
      <c r="J226" s="661"/>
      <c r="K226" s="627"/>
      <c r="L226" s="627"/>
      <c r="M226" s="627"/>
      <c r="N226" s="627"/>
      <c r="O226" s="627"/>
      <c r="P226" s="627"/>
      <c r="Q226" s="627"/>
      <c r="R226" s="627"/>
      <c r="S226" s="627"/>
      <c r="T226" s="627"/>
      <c r="U226" s="627"/>
      <c r="V226" s="627"/>
      <c r="W226" s="627"/>
      <c r="X226" s="627"/>
      <c r="Y226" s="627"/>
      <c r="Z226" s="627"/>
      <c r="AA226" s="627"/>
      <c r="AB226" s="627"/>
      <c r="AC226" s="627"/>
      <c r="AD226" s="627"/>
      <c r="AE226" s="627"/>
      <c r="AF226" s="627"/>
      <c r="AG226" s="627"/>
      <c r="AH226" s="627"/>
      <c r="AI226" s="627"/>
      <c r="AJ226" s="627"/>
    </row>
    <row r="227" spans="1:36" s="666" customFormat="1">
      <c r="A227" s="627"/>
      <c r="B227" s="659"/>
      <c r="C227" s="550"/>
      <c r="D227" s="550"/>
      <c r="E227" s="627"/>
      <c r="F227" s="660"/>
      <c r="G227" s="627"/>
      <c r="H227" s="661"/>
      <c r="I227" s="627"/>
      <c r="J227" s="661"/>
      <c r="K227" s="627"/>
      <c r="L227" s="627"/>
      <c r="M227" s="627"/>
      <c r="N227" s="627"/>
      <c r="O227" s="627"/>
      <c r="P227" s="627"/>
      <c r="Q227" s="627"/>
      <c r="R227" s="627"/>
      <c r="S227" s="627"/>
      <c r="T227" s="627"/>
      <c r="U227" s="627"/>
      <c r="V227" s="627"/>
      <c r="W227" s="627"/>
      <c r="X227" s="627"/>
      <c r="Y227" s="627"/>
      <c r="Z227" s="627"/>
      <c r="AA227" s="627"/>
      <c r="AB227" s="627"/>
      <c r="AC227" s="627"/>
      <c r="AD227" s="627"/>
      <c r="AE227" s="627"/>
      <c r="AF227" s="627"/>
      <c r="AG227" s="627"/>
      <c r="AH227" s="627"/>
      <c r="AI227" s="627"/>
      <c r="AJ227" s="627"/>
    </row>
    <row r="228" spans="1:36" s="657" customFormat="1">
      <c r="A228" s="662"/>
      <c r="B228" s="659"/>
      <c r="C228" s="623"/>
      <c r="D228" s="623"/>
      <c r="E228" s="662"/>
      <c r="F228" s="663"/>
      <c r="G228" s="662"/>
      <c r="H228" s="664"/>
      <c r="I228" s="662"/>
      <c r="J228" s="664"/>
      <c r="K228" s="662"/>
      <c r="L228" s="662"/>
      <c r="M228" s="662"/>
      <c r="N228" s="662"/>
      <c r="O228" s="662"/>
      <c r="P228" s="662"/>
      <c r="Q228" s="662"/>
      <c r="R228" s="662"/>
      <c r="S228" s="662"/>
      <c r="T228" s="662"/>
      <c r="U228" s="662"/>
      <c r="V228" s="662"/>
      <c r="W228" s="662"/>
      <c r="X228" s="662"/>
      <c r="Y228" s="662"/>
      <c r="Z228" s="662"/>
      <c r="AA228" s="662"/>
      <c r="AB228" s="662"/>
      <c r="AC228" s="662"/>
      <c r="AD228" s="662"/>
      <c r="AE228" s="662"/>
      <c r="AF228" s="662"/>
      <c r="AG228" s="662"/>
      <c r="AH228" s="662"/>
      <c r="AI228" s="662"/>
      <c r="AJ228" s="662"/>
    </row>
    <row r="230" spans="1:36" s="655" customFormat="1">
      <c r="A230" s="627"/>
      <c r="B230" s="659"/>
      <c r="C230" s="550"/>
      <c r="D230" s="550"/>
      <c r="E230" s="627"/>
      <c r="F230" s="660"/>
      <c r="G230" s="627"/>
      <c r="H230" s="661"/>
      <c r="I230" s="627"/>
      <c r="J230" s="661"/>
      <c r="K230" s="627"/>
      <c r="L230" s="627"/>
      <c r="M230" s="627"/>
      <c r="N230" s="627"/>
      <c r="O230" s="627"/>
      <c r="P230" s="627"/>
      <c r="Q230" s="627"/>
      <c r="R230" s="627"/>
      <c r="S230" s="627"/>
      <c r="T230" s="627"/>
      <c r="U230" s="627"/>
      <c r="V230" s="627"/>
      <c r="W230" s="627"/>
      <c r="X230" s="627"/>
      <c r="Y230" s="627"/>
      <c r="Z230" s="627"/>
      <c r="AA230" s="627"/>
      <c r="AB230" s="627"/>
      <c r="AC230" s="627"/>
      <c r="AD230" s="627"/>
      <c r="AE230" s="627"/>
      <c r="AF230" s="627"/>
      <c r="AG230" s="627"/>
      <c r="AH230" s="627"/>
      <c r="AI230" s="627"/>
      <c r="AJ230" s="627"/>
    </row>
    <row r="231" spans="1:36" s="655" customFormat="1">
      <c r="A231" s="627"/>
      <c r="B231" s="659"/>
      <c r="C231" s="550"/>
      <c r="D231" s="550"/>
      <c r="E231" s="627"/>
      <c r="F231" s="660"/>
      <c r="G231" s="627"/>
      <c r="H231" s="661"/>
      <c r="I231" s="627"/>
      <c r="J231" s="661"/>
      <c r="K231" s="627"/>
      <c r="L231" s="627"/>
      <c r="M231" s="627"/>
      <c r="N231" s="627"/>
      <c r="O231" s="627"/>
      <c r="P231" s="627"/>
      <c r="Q231" s="627"/>
      <c r="R231" s="627"/>
      <c r="S231" s="627"/>
      <c r="T231" s="627"/>
      <c r="U231" s="627"/>
      <c r="V231" s="627"/>
      <c r="W231" s="627"/>
      <c r="X231" s="627"/>
      <c r="Y231" s="627"/>
      <c r="Z231" s="627"/>
      <c r="AA231" s="627"/>
      <c r="AB231" s="627"/>
      <c r="AC231" s="627"/>
      <c r="AD231" s="627"/>
      <c r="AE231" s="627"/>
      <c r="AF231" s="627"/>
      <c r="AG231" s="627"/>
      <c r="AH231" s="627"/>
      <c r="AI231" s="627"/>
      <c r="AJ231" s="627"/>
    </row>
    <row r="232" spans="1:36" s="665" customFormat="1">
      <c r="A232" s="662"/>
      <c r="B232" s="659"/>
      <c r="C232" s="623"/>
      <c r="D232" s="623"/>
      <c r="E232" s="662"/>
      <c r="F232" s="663"/>
      <c r="G232" s="662"/>
      <c r="H232" s="664"/>
      <c r="I232" s="662"/>
      <c r="J232" s="664"/>
      <c r="K232" s="662"/>
      <c r="L232" s="662"/>
      <c r="M232" s="662"/>
      <c r="N232" s="662"/>
      <c r="O232" s="662"/>
      <c r="P232" s="662"/>
      <c r="Q232" s="662"/>
      <c r="R232" s="662"/>
      <c r="S232" s="662"/>
      <c r="T232" s="662"/>
      <c r="U232" s="662"/>
      <c r="V232" s="662"/>
      <c r="W232" s="662"/>
      <c r="X232" s="662"/>
      <c r="Y232" s="662"/>
      <c r="Z232" s="662"/>
      <c r="AA232" s="662"/>
      <c r="AB232" s="662"/>
      <c r="AC232" s="662"/>
      <c r="AD232" s="662"/>
      <c r="AE232" s="662"/>
      <c r="AF232" s="662"/>
      <c r="AG232" s="662"/>
      <c r="AH232" s="662"/>
      <c r="AI232" s="662"/>
      <c r="AJ232" s="662"/>
    </row>
    <row r="234" spans="1:36" ht="15" customHeight="1"/>
    <row r="236" spans="1:36" ht="18" customHeight="1"/>
    <row r="237" spans="1:36" ht="20.25" customHeight="1"/>
    <row r="238" spans="1:36" s="665" customFormat="1">
      <c r="A238" s="662"/>
      <c r="B238" s="659"/>
      <c r="C238" s="623"/>
      <c r="D238" s="623"/>
      <c r="E238" s="662"/>
      <c r="F238" s="663"/>
      <c r="G238" s="662"/>
      <c r="H238" s="664"/>
      <c r="I238" s="662"/>
      <c r="J238" s="664"/>
      <c r="K238" s="662"/>
      <c r="L238" s="662"/>
      <c r="M238" s="662"/>
      <c r="N238" s="662"/>
      <c r="O238" s="662"/>
      <c r="P238" s="662"/>
      <c r="Q238" s="662"/>
      <c r="R238" s="662"/>
      <c r="S238" s="662"/>
      <c r="T238" s="662"/>
      <c r="U238" s="662"/>
      <c r="V238" s="662"/>
      <c r="W238" s="662"/>
      <c r="X238" s="662"/>
      <c r="Y238" s="662"/>
      <c r="Z238" s="662"/>
      <c r="AA238" s="662"/>
      <c r="AB238" s="662"/>
      <c r="AC238" s="662"/>
      <c r="AD238" s="662"/>
      <c r="AE238" s="662"/>
      <c r="AF238" s="662"/>
      <c r="AG238" s="662"/>
      <c r="AH238" s="662"/>
      <c r="AI238" s="662"/>
      <c r="AJ238" s="662"/>
    </row>
  </sheetData>
  <pageMargins left="0.27" right="0.16" top="0.22" bottom="0.2" header="0.17" footer="0.17"/>
  <pageSetup paperSize="9" scale="65" orientation="landscape" r:id="rId1"/>
  <headerFooter alignWithMargins="0"/>
  <rowBreaks count="2" manualBreakCount="2">
    <brk id="31" max="109" man="1"/>
    <brk id="63" max="10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1"/>
  <sheetViews>
    <sheetView tabSelected="1" workbookViewId="0">
      <selection sqref="A1:C17"/>
    </sheetView>
  </sheetViews>
  <sheetFormatPr defaultRowHeight="15"/>
  <cols>
    <col min="1" max="1" width="3.42578125" style="627" customWidth="1"/>
    <col min="2" max="2" width="50.85546875" style="659" customWidth="1"/>
    <col min="3" max="3" width="9.140625" style="927"/>
  </cols>
  <sheetData>
    <row r="1" spans="1:3" s="669" customFormat="1" ht="38.25" customHeight="1">
      <c r="A1" s="625" t="s">
        <v>85</v>
      </c>
      <c r="B1" s="625" t="s">
        <v>0</v>
      </c>
      <c r="C1" s="670" t="s">
        <v>295</v>
      </c>
    </row>
    <row r="2" spans="1:3" ht="15" customHeight="1">
      <c r="A2" s="637">
        <v>1</v>
      </c>
      <c r="B2" s="668" t="s">
        <v>10</v>
      </c>
      <c r="C2" s="925">
        <v>99</v>
      </c>
    </row>
    <row r="3" spans="1:3" ht="15" customHeight="1">
      <c r="A3" s="637">
        <v>2</v>
      </c>
      <c r="B3" s="668" t="s">
        <v>14</v>
      </c>
      <c r="C3" s="925">
        <v>97</v>
      </c>
    </row>
    <row r="4" spans="1:3">
      <c r="A4" s="637">
        <v>3</v>
      </c>
      <c r="B4" s="668" t="s">
        <v>15</v>
      </c>
      <c r="C4" s="925">
        <v>96</v>
      </c>
    </row>
    <row r="5" spans="1:3">
      <c r="A5" s="637">
        <v>4</v>
      </c>
      <c r="B5" s="668" t="s">
        <v>9</v>
      </c>
      <c r="C5" s="925">
        <v>96</v>
      </c>
    </row>
    <row r="6" spans="1:3">
      <c r="A6" s="637">
        <v>5</v>
      </c>
      <c r="B6" s="668" t="s">
        <v>59</v>
      </c>
      <c r="C6" s="925">
        <v>95</v>
      </c>
    </row>
    <row r="7" spans="1:3">
      <c r="A7" s="637">
        <v>6</v>
      </c>
      <c r="B7" s="668" t="s">
        <v>11</v>
      </c>
      <c r="C7" s="925">
        <v>85</v>
      </c>
    </row>
    <row r="8" spans="1:3">
      <c r="A8" s="637">
        <v>7</v>
      </c>
      <c r="B8" s="668" t="s">
        <v>13</v>
      </c>
      <c r="C8" s="925">
        <v>75</v>
      </c>
    </row>
    <row r="9" spans="1:3">
      <c r="A9" s="637">
        <v>8</v>
      </c>
      <c r="B9" s="668" t="s">
        <v>6</v>
      </c>
      <c r="C9" s="925">
        <v>68</v>
      </c>
    </row>
    <row r="10" spans="1:3">
      <c r="A10" s="637">
        <v>9</v>
      </c>
      <c r="B10" s="668" t="s">
        <v>8</v>
      </c>
      <c r="C10" s="925">
        <v>58</v>
      </c>
    </row>
    <row r="11" spans="1:3">
      <c r="A11" s="637">
        <v>10</v>
      </c>
      <c r="B11" s="668" t="s">
        <v>60</v>
      </c>
      <c r="C11" s="925">
        <v>55</v>
      </c>
    </row>
    <row r="12" spans="1:3">
      <c r="A12" s="637">
        <v>11</v>
      </c>
      <c r="B12" s="668" t="s">
        <v>58</v>
      </c>
      <c r="C12" s="925">
        <v>55</v>
      </c>
    </row>
    <row r="13" spans="1:3">
      <c r="A13" s="637">
        <v>12</v>
      </c>
      <c r="B13" s="668" t="s">
        <v>63</v>
      </c>
      <c r="C13" s="925">
        <v>54</v>
      </c>
    </row>
    <row r="14" spans="1:3">
      <c r="A14" s="637">
        <v>13</v>
      </c>
      <c r="B14" s="668" t="s">
        <v>20</v>
      </c>
      <c r="C14" s="925">
        <v>52</v>
      </c>
    </row>
    <row r="15" spans="1:3">
      <c r="A15" s="637">
        <v>14</v>
      </c>
      <c r="B15" s="668" t="s">
        <v>57</v>
      </c>
      <c r="C15" s="925">
        <v>52</v>
      </c>
    </row>
    <row r="16" spans="1:3">
      <c r="A16" s="637">
        <v>15</v>
      </c>
      <c r="B16" s="668" t="s">
        <v>56</v>
      </c>
      <c r="C16" s="925">
        <v>39</v>
      </c>
    </row>
    <row r="17" spans="1:3">
      <c r="A17" s="637">
        <v>16</v>
      </c>
      <c r="B17" s="672" t="s">
        <v>7</v>
      </c>
      <c r="C17" s="926">
        <v>39</v>
      </c>
    </row>
    <row r="18" spans="1:3">
      <c r="A18" s="629"/>
      <c r="B18" s="627"/>
    </row>
    <row r="19" spans="1:3">
      <c r="A19" s="629"/>
      <c r="B19" s="627"/>
    </row>
    <row r="20" spans="1:3">
      <c r="A20" s="629"/>
      <c r="B20" s="627"/>
    </row>
    <row r="21" spans="1:3">
      <c r="A21" s="629"/>
      <c r="B21" s="627"/>
    </row>
    <row r="22" spans="1:3">
      <c r="A22" s="629"/>
      <c r="B22" s="627"/>
    </row>
    <row r="23" spans="1:3">
      <c r="A23" s="629"/>
      <c r="B23" s="627"/>
    </row>
    <row r="24" spans="1:3">
      <c r="A24" s="629"/>
      <c r="B24" s="627"/>
    </row>
    <row r="25" spans="1:3">
      <c r="A25" s="629"/>
      <c r="B25" s="627"/>
    </row>
    <row r="26" spans="1:3">
      <c r="A26" s="629"/>
      <c r="B26" s="627"/>
    </row>
    <row r="27" spans="1:3">
      <c r="A27" s="629"/>
      <c r="B27" s="627"/>
    </row>
    <row r="28" spans="1:3">
      <c r="A28" s="629"/>
      <c r="B28" s="627"/>
    </row>
    <row r="29" spans="1:3">
      <c r="A29" s="629"/>
      <c r="B29" s="627"/>
    </row>
    <row r="30" spans="1:3">
      <c r="A30" s="629"/>
      <c r="B30" s="627"/>
    </row>
    <row r="31" spans="1:3">
      <c r="A31" s="629"/>
      <c r="B31" s="627"/>
    </row>
    <row r="32" spans="1:3">
      <c r="A32" s="629"/>
      <c r="B32" s="627"/>
    </row>
    <row r="33" spans="1:2">
      <c r="A33" s="629"/>
      <c r="B33" s="627"/>
    </row>
    <row r="34" spans="1:2">
      <c r="A34" s="629"/>
      <c r="B34" s="627"/>
    </row>
    <row r="35" spans="1:2">
      <c r="A35" s="629"/>
      <c r="B35" s="627"/>
    </row>
    <row r="36" spans="1:2">
      <c r="A36" s="629"/>
      <c r="B36" s="627"/>
    </row>
    <row r="37" spans="1:2">
      <c r="A37" s="629"/>
      <c r="B37" s="627"/>
    </row>
    <row r="38" spans="1:2">
      <c r="A38" s="629"/>
      <c r="B38" s="627"/>
    </row>
    <row r="39" spans="1:2">
      <c r="A39" s="629"/>
      <c r="B39" s="627"/>
    </row>
    <row r="40" spans="1:2">
      <c r="A40" s="629"/>
      <c r="B40" s="627"/>
    </row>
    <row r="41" spans="1:2">
      <c r="A41" s="629"/>
      <c r="B41" s="627"/>
    </row>
    <row r="42" spans="1:2">
      <c r="A42" s="629"/>
      <c r="B42" s="627"/>
    </row>
    <row r="43" spans="1:2">
      <c r="A43" s="629"/>
      <c r="B43" s="627"/>
    </row>
    <row r="44" spans="1:2">
      <c r="A44" s="629"/>
      <c r="B44" s="627"/>
    </row>
    <row r="45" spans="1:2">
      <c r="A45" s="629"/>
      <c r="B45" s="627"/>
    </row>
    <row r="46" spans="1:2">
      <c r="A46" s="629"/>
      <c r="B46" s="627"/>
    </row>
    <row r="47" spans="1:2">
      <c r="A47" s="629"/>
      <c r="B47" s="627"/>
    </row>
    <row r="48" spans="1:2">
      <c r="A48" s="629"/>
      <c r="B48" s="627"/>
    </row>
    <row r="49" spans="1:2">
      <c r="A49" s="629"/>
      <c r="B49" s="627"/>
    </row>
    <row r="53" spans="1:2">
      <c r="A53" s="662"/>
    </row>
    <row r="57" spans="1:2">
      <c r="A57" s="662"/>
    </row>
    <row r="61" spans="1:2">
      <c r="A61" s="662"/>
    </row>
    <row r="65" spans="1:1">
      <c r="A65" s="662"/>
    </row>
    <row r="69" spans="1:1">
      <c r="A69" s="662"/>
    </row>
    <row r="73" spans="1:1">
      <c r="A73" s="662"/>
    </row>
    <row r="77" spans="1:1">
      <c r="A77" s="662"/>
    </row>
    <row r="81" spans="1:1">
      <c r="A81" s="662"/>
    </row>
    <row r="85" spans="1:1">
      <c r="A85" s="662"/>
    </row>
    <row r="89" spans="1:1">
      <c r="A89" s="662"/>
    </row>
    <row r="93" spans="1:1">
      <c r="A93" s="662"/>
    </row>
    <row r="97" spans="1:1">
      <c r="A97" s="662"/>
    </row>
    <row r="101" spans="1:1">
      <c r="A101" s="662"/>
    </row>
    <row r="105" spans="1:1">
      <c r="A105" s="662"/>
    </row>
    <row r="109" spans="1:1">
      <c r="A109" s="662"/>
    </row>
    <row r="113" spans="1:1">
      <c r="A113" s="662"/>
    </row>
    <row r="117" spans="1:1">
      <c r="A117" s="662"/>
    </row>
    <row r="121" spans="1:1">
      <c r="A121" s="662"/>
    </row>
    <row r="125" spans="1:1">
      <c r="A125" s="662"/>
    </row>
    <row r="129" spans="1:1">
      <c r="A129" s="662"/>
    </row>
    <row r="133" spans="1:1">
      <c r="A133" s="662"/>
    </row>
    <row r="137" spans="1:1">
      <c r="A137" s="662"/>
    </row>
    <row r="141" spans="1:1">
      <c r="A141" s="662"/>
    </row>
    <row r="145" spans="1:1">
      <c r="A145" s="662"/>
    </row>
    <row r="149" spans="1:1">
      <c r="A149" s="662"/>
    </row>
    <row r="153" spans="1:1">
      <c r="A153" s="662"/>
    </row>
    <row r="157" spans="1:1">
      <c r="A157" s="662"/>
    </row>
    <row r="161" spans="1:1">
      <c r="A161" s="662"/>
    </row>
    <row r="165" spans="1:1">
      <c r="A165" s="662"/>
    </row>
    <row r="169" spans="1:1">
      <c r="A169" s="662"/>
    </row>
    <row r="173" spans="1:1">
      <c r="A173" s="662"/>
    </row>
    <row r="177" spans="1:1">
      <c r="A177" s="662"/>
    </row>
    <row r="181" spans="1:1">
      <c r="A181" s="662"/>
    </row>
    <row r="185" spans="1:1">
      <c r="A185" s="662"/>
    </row>
    <row r="191" spans="1:1">
      <c r="A191" s="662"/>
    </row>
  </sheetData>
  <sortState ref="A2:C17">
    <sortCondition descending="1" ref="C2:C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246"/>
  <sheetViews>
    <sheetView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AG2"/>
    </sheetView>
  </sheetViews>
  <sheetFormatPr defaultRowHeight="12.75"/>
  <cols>
    <col min="1" max="1" width="3.42578125" style="122" customWidth="1"/>
    <col min="2" max="2" width="42.5703125" style="123" customWidth="1"/>
    <col min="3" max="3" width="11.85546875" style="124" hidden="1" customWidth="1"/>
    <col min="4" max="4" width="15.140625" style="124" hidden="1" customWidth="1"/>
    <col min="5" max="5" width="10.28515625" style="122" hidden="1" customWidth="1"/>
    <col min="6" max="7" width="9.7109375" style="122" hidden="1" customWidth="1"/>
    <col min="8" max="8" width="10.85546875" style="122" hidden="1" customWidth="1"/>
    <col min="9" max="12" width="10.42578125" style="122" hidden="1" customWidth="1"/>
    <col min="13" max="13" width="16.28515625" style="122" hidden="1" customWidth="1"/>
    <col min="14" max="14" width="15.140625" style="122" hidden="1" customWidth="1"/>
    <col min="15" max="15" width="13.5703125" style="122" hidden="1" customWidth="1"/>
    <col min="16" max="16" width="10.5703125" style="122" hidden="1" customWidth="1"/>
    <col min="17" max="17" width="10.85546875" style="122" hidden="1" customWidth="1"/>
    <col min="18" max="18" width="18" style="122" hidden="1" customWidth="1"/>
    <col min="19" max="19" width="15.42578125" style="122" hidden="1" customWidth="1"/>
    <col min="20" max="20" width="12.140625" style="122" hidden="1" customWidth="1"/>
    <col min="21" max="21" width="13.42578125" style="122" hidden="1" customWidth="1"/>
    <col min="22" max="24" width="8.85546875" style="122" hidden="1" customWidth="1"/>
    <col min="25" max="25" width="9.28515625" style="122" hidden="1" customWidth="1"/>
    <col min="26" max="26" width="14" style="122" hidden="1" customWidth="1"/>
    <col min="27" max="28" width="8.85546875" style="122" hidden="1" customWidth="1"/>
    <col min="29" max="29" width="10.140625" style="122" hidden="1" customWidth="1"/>
    <col min="30" max="32" width="9.5703125" style="122" hidden="1" customWidth="1"/>
    <col min="33" max="33" width="10.42578125" style="122" customWidth="1"/>
    <col min="34" max="34" width="9.85546875" style="1" customWidth="1"/>
    <col min="35" max="36" width="10.140625" style="1" customWidth="1"/>
    <col min="37" max="39" width="9.28515625" style="1" customWidth="1"/>
    <col min="40" max="40" width="9.85546875" style="1" customWidth="1"/>
    <col min="41" max="42" width="8.5703125" style="1" customWidth="1"/>
    <col min="43" max="45" width="8.85546875" style="1" customWidth="1"/>
    <col min="46" max="46" width="9.28515625" style="1" customWidth="1"/>
    <col min="47" max="48" width="8.85546875" style="1" customWidth="1"/>
    <col min="49" max="49" width="10" style="1" customWidth="1"/>
    <col min="50" max="51" width="8.85546875" style="1" customWidth="1"/>
    <col min="52" max="52" width="11" style="1" customWidth="1"/>
    <col min="53" max="54" width="9.5703125" style="1" customWidth="1"/>
    <col min="55" max="57" width="8.85546875" style="1" customWidth="1"/>
    <col min="58" max="58" width="10.42578125" style="1" customWidth="1"/>
    <col min="59" max="60" width="8.85546875" style="1" customWidth="1"/>
    <col min="61" max="61" width="9.7109375" style="1" customWidth="1"/>
    <col min="62" max="63" width="8.85546875" style="1" customWidth="1"/>
    <col min="64" max="64" width="9.28515625" style="1" customWidth="1"/>
    <col min="65" max="85" width="8.85546875" style="1" customWidth="1"/>
    <col min="86" max="86" width="9.85546875" style="1" customWidth="1"/>
    <col min="87" max="87" width="8.85546875" style="1" customWidth="1"/>
    <col min="88" max="88" width="10" style="1" customWidth="1"/>
    <col min="89" max="105" width="8.85546875" style="1" customWidth="1"/>
    <col min="106" max="106" width="9.42578125" style="1" customWidth="1"/>
    <col min="107" max="107" width="8.85546875" style="1" customWidth="1"/>
    <col min="108" max="108" width="12" style="1" customWidth="1"/>
    <col min="109" max="109" width="11.140625" style="1" customWidth="1"/>
    <col min="110" max="110" width="28.7109375" style="1" customWidth="1"/>
    <col min="111" max="111" width="5.85546875" style="1" customWidth="1"/>
    <col min="112" max="261" width="9.140625" style="1"/>
    <col min="262" max="262" width="3.42578125" style="1" customWidth="1"/>
    <col min="263" max="263" width="27.85546875" style="1" customWidth="1"/>
    <col min="264" max="264" width="11.85546875" style="1" customWidth="1"/>
    <col min="265" max="265" width="15.140625" style="1" customWidth="1"/>
    <col min="266" max="266" width="10.28515625" style="1" customWidth="1"/>
    <col min="267" max="268" width="9.7109375" style="1" customWidth="1"/>
    <col min="269" max="269" width="10.42578125" style="1" customWidth="1"/>
    <col min="270" max="270" width="10.42578125" style="1" bestFit="1" customWidth="1"/>
    <col min="271" max="271" width="16.28515625" style="1" customWidth="1"/>
    <col min="272" max="272" width="15.140625" style="1" customWidth="1"/>
    <col min="273" max="273" width="13.5703125" style="1" customWidth="1"/>
    <col min="274" max="274" width="10.5703125" style="1" customWidth="1"/>
    <col min="275" max="275" width="10.85546875" style="1" customWidth="1"/>
    <col min="276" max="276" width="18" style="1" customWidth="1"/>
    <col min="277" max="277" width="20.85546875" style="1" customWidth="1"/>
    <col min="278" max="278" width="13.5703125" style="1" customWidth="1"/>
    <col min="279" max="279" width="14.140625" style="1" customWidth="1"/>
    <col min="280" max="282" width="8.85546875" style="1" customWidth="1"/>
    <col min="283" max="283" width="9.28515625" style="1" customWidth="1"/>
    <col min="284" max="284" width="14" style="1" customWidth="1"/>
    <col min="285" max="286" width="8.85546875" style="1" customWidth="1"/>
    <col min="287" max="287" width="10.140625" style="1" customWidth="1"/>
    <col min="288" max="289" width="9.5703125" style="1" customWidth="1"/>
    <col min="290" max="290" width="9.85546875" style="1" customWidth="1"/>
    <col min="291" max="292" width="10.140625" style="1" customWidth="1"/>
    <col min="293" max="295" width="9.28515625" style="1" customWidth="1"/>
    <col min="296" max="296" width="9.85546875" style="1" customWidth="1"/>
    <col min="297" max="298" width="8.5703125" style="1" customWidth="1"/>
    <col min="299" max="301" width="8.85546875" style="1" customWidth="1"/>
    <col min="302" max="302" width="9.28515625" style="1" customWidth="1"/>
    <col min="303" max="304" width="8.85546875" style="1" customWidth="1"/>
    <col min="305" max="305" width="10" style="1" customWidth="1"/>
    <col min="306" max="307" width="8.85546875" style="1" customWidth="1"/>
    <col min="308" max="308" width="11" style="1" customWidth="1"/>
    <col min="309" max="310" width="9.5703125" style="1" customWidth="1"/>
    <col min="311" max="313" width="8.85546875" style="1" customWidth="1"/>
    <col min="314" max="314" width="10.42578125" style="1" customWidth="1"/>
    <col min="315" max="316" width="8.85546875" style="1" customWidth="1"/>
    <col min="317" max="317" width="9.7109375" style="1" customWidth="1"/>
    <col min="318" max="319" width="8.85546875" style="1" customWidth="1"/>
    <col min="320" max="320" width="9.28515625" style="1" customWidth="1"/>
    <col min="321" max="341" width="8.85546875" style="1" customWidth="1"/>
    <col min="342" max="342" width="9.85546875" style="1" customWidth="1"/>
    <col min="343" max="343" width="8.85546875" style="1" customWidth="1"/>
    <col min="344" max="344" width="10" style="1" customWidth="1"/>
    <col min="345" max="361" width="8.85546875" style="1" customWidth="1"/>
    <col min="362" max="362" width="9.42578125" style="1" customWidth="1"/>
    <col min="363" max="363" width="8.85546875" style="1" customWidth="1"/>
    <col min="364" max="364" width="12" style="1" customWidth="1"/>
    <col min="365" max="365" width="11.140625" style="1" customWidth="1"/>
    <col min="366" max="366" width="28.7109375" style="1" customWidth="1"/>
    <col min="367" max="367" width="5.85546875" style="1" customWidth="1"/>
    <col min="368" max="517" width="9.140625" style="1"/>
    <col min="518" max="518" width="3.42578125" style="1" customWidth="1"/>
    <col min="519" max="519" width="27.85546875" style="1" customWidth="1"/>
    <col min="520" max="520" width="11.85546875" style="1" customWidth="1"/>
    <col min="521" max="521" width="15.140625" style="1" customWidth="1"/>
    <col min="522" max="522" width="10.28515625" style="1" customWidth="1"/>
    <col min="523" max="524" width="9.7109375" style="1" customWidth="1"/>
    <col min="525" max="525" width="10.42578125" style="1" customWidth="1"/>
    <col min="526" max="526" width="10.42578125" style="1" bestFit="1" customWidth="1"/>
    <col min="527" max="527" width="16.28515625" style="1" customWidth="1"/>
    <col min="528" max="528" width="15.140625" style="1" customWidth="1"/>
    <col min="529" max="529" width="13.5703125" style="1" customWidth="1"/>
    <col min="530" max="530" width="10.5703125" style="1" customWidth="1"/>
    <col min="531" max="531" width="10.85546875" style="1" customWidth="1"/>
    <col min="532" max="532" width="18" style="1" customWidth="1"/>
    <col min="533" max="533" width="20.85546875" style="1" customWidth="1"/>
    <col min="534" max="534" width="13.5703125" style="1" customWidth="1"/>
    <col min="535" max="535" width="14.140625" style="1" customWidth="1"/>
    <col min="536" max="538" width="8.85546875" style="1" customWidth="1"/>
    <col min="539" max="539" width="9.28515625" style="1" customWidth="1"/>
    <col min="540" max="540" width="14" style="1" customWidth="1"/>
    <col min="541" max="542" width="8.85546875" style="1" customWidth="1"/>
    <col min="543" max="543" width="10.140625" style="1" customWidth="1"/>
    <col min="544" max="545" width="9.5703125" style="1" customWidth="1"/>
    <col min="546" max="546" width="9.85546875" style="1" customWidth="1"/>
    <col min="547" max="548" width="10.140625" style="1" customWidth="1"/>
    <col min="549" max="551" width="9.28515625" style="1" customWidth="1"/>
    <col min="552" max="552" width="9.85546875" style="1" customWidth="1"/>
    <col min="553" max="554" width="8.5703125" style="1" customWidth="1"/>
    <col min="555" max="557" width="8.85546875" style="1" customWidth="1"/>
    <col min="558" max="558" width="9.28515625" style="1" customWidth="1"/>
    <col min="559" max="560" width="8.85546875" style="1" customWidth="1"/>
    <col min="561" max="561" width="10" style="1" customWidth="1"/>
    <col min="562" max="563" width="8.85546875" style="1" customWidth="1"/>
    <col min="564" max="564" width="11" style="1" customWidth="1"/>
    <col min="565" max="566" width="9.5703125" style="1" customWidth="1"/>
    <col min="567" max="569" width="8.85546875" style="1" customWidth="1"/>
    <col min="570" max="570" width="10.42578125" style="1" customWidth="1"/>
    <col min="571" max="572" width="8.85546875" style="1" customWidth="1"/>
    <col min="573" max="573" width="9.7109375" style="1" customWidth="1"/>
    <col min="574" max="575" width="8.85546875" style="1" customWidth="1"/>
    <col min="576" max="576" width="9.28515625" style="1" customWidth="1"/>
    <col min="577" max="597" width="8.85546875" style="1" customWidth="1"/>
    <col min="598" max="598" width="9.85546875" style="1" customWidth="1"/>
    <col min="599" max="599" width="8.85546875" style="1" customWidth="1"/>
    <col min="600" max="600" width="10" style="1" customWidth="1"/>
    <col min="601" max="617" width="8.85546875" style="1" customWidth="1"/>
    <col min="618" max="618" width="9.42578125" style="1" customWidth="1"/>
    <col min="619" max="619" width="8.85546875" style="1" customWidth="1"/>
    <col min="620" max="620" width="12" style="1" customWidth="1"/>
    <col min="621" max="621" width="11.140625" style="1" customWidth="1"/>
    <col min="622" max="622" width="28.7109375" style="1" customWidth="1"/>
    <col min="623" max="623" width="5.85546875" style="1" customWidth="1"/>
    <col min="624" max="773" width="9.140625" style="1"/>
    <col min="774" max="774" width="3.42578125" style="1" customWidth="1"/>
    <col min="775" max="775" width="27.85546875" style="1" customWidth="1"/>
    <col min="776" max="776" width="11.85546875" style="1" customWidth="1"/>
    <col min="777" max="777" width="15.140625" style="1" customWidth="1"/>
    <col min="778" max="778" width="10.28515625" style="1" customWidth="1"/>
    <col min="779" max="780" width="9.7109375" style="1" customWidth="1"/>
    <col min="781" max="781" width="10.42578125" style="1" customWidth="1"/>
    <col min="782" max="782" width="10.42578125" style="1" bestFit="1" customWidth="1"/>
    <col min="783" max="783" width="16.28515625" style="1" customWidth="1"/>
    <col min="784" max="784" width="15.140625" style="1" customWidth="1"/>
    <col min="785" max="785" width="13.5703125" style="1" customWidth="1"/>
    <col min="786" max="786" width="10.5703125" style="1" customWidth="1"/>
    <col min="787" max="787" width="10.85546875" style="1" customWidth="1"/>
    <col min="788" max="788" width="18" style="1" customWidth="1"/>
    <col min="789" max="789" width="20.85546875" style="1" customWidth="1"/>
    <col min="790" max="790" width="13.5703125" style="1" customWidth="1"/>
    <col min="791" max="791" width="14.140625" style="1" customWidth="1"/>
    <col min="792" max="794" width="8.85546875" style="1" customWidth="1"/>
    <col min="795" max="795" width="9.28515625" style="1" customWidth="1"/>
    <col min="796" max="796" width="14" style="1" customWidth="1"/>
    <col min="797" max="798" width="8.85546875" style="1" customWidth="1"/>
    <col min="799" max="799" width="10.140625" style="1" customWidth="1"/>
    <col min="800" max="801" width="9.5703125" style="1" customWidth="1"/>
    <col min="802" max="802" width="9.85546875" style="1" customWidth="1"/>
    <col min="803" max="804" width="10.140625" style="1" customWidth="1"/>
    <col min="805" max="807" width="9.28515625" style="1" customWidth="1"/>
    <col min="808" max="808" width="9.85546875" style="1" customWidth="1"/>
    <col min="809" max="810" width="8.5703125" style="1" customWidth="1"/>
    <col min="811" max="813" width="8.85546875" style="1" customWidth="1"/>
    <col min="814" max="814" width="9.28515625" style="1" customWidth="1"/>
    <col min="815" max="816" width="8.85546875" style="1" customWidth="1"/>
    <col min="817" max="817" width="10" style="1" customWidth="1"/>
    <col min="818" max="819" width="8.85546875" style="1" customWidth="1"/>
    <col min="820" max="820" width="11" style="1" customWidth="1"/>
    <col min="821" max="822" width="9.5703125" style="1" customWidth="1"/>
    <col min="823" max="825" width="8.85546875" style="1" customWidth="1"/>
    <col min="826" max="826" width="10.42578125" style="1" customWidth="1"/>
    <col min="827" max="828" width="8.85546875" style="1" customWidth="1"/>
    <col min="829" max="829" width="9.7109375" style="1" customWidth="1"/>
    <col min="830" max="831" width="8.85546875" style="1" customWidth="1"/>
    <col min="832" max="832" width="9.28515625" style="1" customWidth="1"/>
    <col min="833" max="853" width="8.85546875" style="1" customWidth="1"/>
    <col min="854" max="854" width="9.85546875" style="1" customWidth="1"/>
    <col min="855" max="855" width="8.85546875" style="1" customWidth="1"/>
    <col min="856" max="856" width="10" style="1" customWidth="1"/>
    <col min="857" max="873" width="8.85546875" style="1" customWidth="1"/>
    <col min="874" max="874" width="9.42578125" style="1" customWidth="1"/>
    <col min="875" max="875" width="8.85546875" style="1" customWidth="1"/>
    <col min="876" max="876" width="12" style="1" customWidth="1"/>
    <col min="877" max="877" width="11.140625" style="1" customWidth="1"/>
    <col min="878" max="878" width="28.7109375" style="1" customWidth="1"/>
    <col min="879" max="879" width="5.85546875" style="1" customWidth="1"/>
    <col min="880" max="1029" width="9.140625" style="1"/>
    <col min="1030" max="1030" width="3.42578125" style="1" customWidth="1"/>
    <col min="1031" max="1031" width="27.85546875" style="1" customWidth="1"/>
    <col min="1032" max="1032" width="11.85546875" style="1" customWidth="1"/>
    <col min="1033" max="1033" width="15.140625" style="1" customWidth="1"/>
    <col min="1034" max="1034" width="10.28515625" style="1" customWidth="1"/>
    <col min="1035" max="1036" width="9.7109375" style="1" customWidth="1"/>
    <col min="1037" max="1037" width="10.42578125" style="1" customWidth="1"/>
    <col min="1038" max="1038" width="10.42578125" style="1" bestFit="1" customWidth="1"/>
    <col min="1039" max="1039" width="16.28515625" style="1" customWidth="1"/>
    <col min="1040" max="1040" width="15.140625" style="1" customWidth="1"/>
    <col min="1041" max="1041" width="13.5703125" style="1" customWidth="1"/>
    <col min="1042" max="1042" width="10.5703125" style="1" customWidth="1"/>
    <col min="1043" max="1043" width="10.85546875" style="1" customWidth="1"/>
    <col min="1044" max="1044" width="18" style="1" customWidth="1"/>
    <col min="1045" max="1045" width="20.85546875" style="1" customWidth="1"/>
    <col min="1046" max="1046" width="13.5703125" style="1" customWidth="1"/>
    <col min="1047" max="1047" width="14.140625" style="1" customWidth="1"/>
    <col min="1048" max="1050" width="8.85546875" style="1" customWidth="1"/>
    <col min="1051" max="1051" width="9.28515625" style="1" customWidth="1"/>
    <col min="1052" max="1052" width="14" style="1" customWidth="1"/>
    <col min="1053" max="1054" width="8.85546875" style="1" customWidth="1"/>
    <col min="1055" max="1055" width="10.140625" style="1" customWidth="1"/>
    <col min="1056" max="1057" width="9.5703125" style="1" customWidth="1"/>
    <col min="1058" max="1058" width="9.85546875" style="1" customWidth="1"/>
    <col min="1059" max="1060" width="10.140625" style="1" customWidth="1"/>
    <col min="1061" max="1063" width="9.28515625" style="1" customWidth="1"/>
    <col min="1064" max="1064" width="9.85546875" style="1" customWidth="1"/>
    <col min="1065" max="1066" width="8.5703125" style="1" customWidth="1"/>
    <col min="1067" max="1069" width="8.85546875" style="1" customWidth="1"/>
    <col min="1070" max="1070" width="9.28515625" style="1" customWidth="1"/>
    <col min="1071" max="1072" width="8.85546875" style="1" customWidth="1"/>
    <col min="1073" max="1073" width="10" style="1" customWidth="1"/>
    <col min="1074" max="1075" width="8.85546875" style="1" customWidth="1"/>
    <col min="1076" max="1076" width="11" style="1" customWidth="1"/>
    <col min="1077" max="1078" width="9.5703125" style="1" customWidth="1"/>
    <col min="1079" max="1081" width="8.85546875" style="1" customWidth="1"/>
    <col min="1082" max="1082" width="10.42578125" style="1" customWidth="1"/>
    <col min="1083" max="1084" width="8.85546875" style="1" customWidth="1"/>
    <col min="1085" max="1085" width="9.7109375" style="1" customWidth="1"/>
    <col min="1086" max="1087" width="8.85546875" style="1" customWidth="1"/>
    <col min="1088" max="1088" width="9.28515625" style="1" customWidth="1"/>
    <col min="1089" max="1109" width="8.85546875" style="1" customWidth="1"/>
    <col min="1110" max="1110" width="9.85546875" style="1" customWidth="1"/>
    <col min="1111" max="1111" width="8.85546875" style="1" customWidth="1"/>
    <col min="1112" max="1112" width="10" style="1" customWidth="1"/>
    <col min="1113" max="1129" width="8.85546875" style="1" customWidth="1"/>
    <col min="1130" max="1130" width="9.42578125" style="1" customWidth="1"/>
    <col min="1131" max="1131" width="8.85546875" style="1" customWidth="1"/>
    <col min="1132" max="1132" width="12" style="1" customWidth="1"/>
    <col min="1133" max="1133" width="11.140625" style="1" customWidth="1"/>
    <col min="1134" max="1134" width="28.7109375" style="1" customWidth="1"/>
    <col min="1135" max="1135" width="5.85546875" style="1" customWidth="1"/>
    <col min="1136" max="1285" width="9.140625" style="1"/>
    <col min="1286" max="1286" width="3.42578125" style="1" customWidth="1"/>
    <col min="1287" max="1287" width="27.85546875" style="1" customWidth="1"/>
    <col min="1288" max="1288" width="11.85546875" style="1" customWidth="1"/>
    <col min="1289" max="1289" width="15.140625" style="1" customWidth="1"/>
    <col min="1290" max="1290" width="10.28515625" style="1" customWidth="1"/>
    <col min="1291" max="1292" width="9.7109375" style="1" customWidth="1"/>
    <col min="1293" max="1293" width="10.42578125" style="1" customWidth="1"/>
    <col min="1294" max="1294" width="10.42578125" style="1" bestFit="1" customWidth="1"/>
    <col min="1295" max="1295" width="16.28515625" style="1" customWidth="1"/>
    <col min="1296" max="1296" width="15.140625" style="1" customWidth="1"/>
    <col min="1297" max="1297" width="13.5703125" style="1" customWidth="1"/>
    <col min="1298" max="1298" width="10.5703125" style="1" customWidth="1"/>
    <col min="1299" max="1299" width="10.85546875" style="1" customWidth="1"/>
    <col min="1300" max="1300" width="18" style="1" customWidth="1"/>
    <col min="1301" max="1301" width="20.85546875" style="1" customWidth="1"/>
    <col min="1302" max="1302" width="13.5703125" style="1" customWidth="1"/>
    <col min="1303" max="1303" width="14.140625" style="1" customWidth="1"/>
    <col min="1304" max="1306" width="8.85546875" style="1" customWidth="1"/>
    <col min="1307" max="1307" width="9.28515625" style="1" customWidth="1"/>
    <col min="1308" max="1308" width="14" style="1" customWidth="1"/>
    <col min="1309" max="1310" width="8.85546875" style="1" customWidth="1"/>
    <col min="1311" max="1311" width="10.140625" style="1" customWidth="1"/>
    <col min="1312" max="1313" width="9.5703125" style="1" customWidth="1"/>
    <col min="1314" max="1314" width="9.85546875" style="1" customWidth="1"/>
    <col min="1315" max="1316" width="10.140625" style="1" customWidth="1"/>
    <col min="1317" max="1319" width="9.28515625" style="1" customWidth="1"/>
    <col min="1320" max="1320" width="9.85546875" style="1" customWidth="1"/>
    <col min="1321" max="1322" width="8.5703125" style="1" customWidth="1"/>
    <col min="1323" max="1325" width="8.85546875" style="1" customWidth="1"/>
    <col min="1326" max="1326" width="9.28515625" style="1" customWidth="1"/>
    <col min="1327" max="1328" width="8.85546875" style="1" customWidth="1"/>
    <col min="1329" max="1329" width="10" style="1" customWidth="1"/>
    <col min="1330" max="1331" width="8.85546875" style="1" customWidth="1"/>
    <col min="1332" max="1332" width="11" style="1" customWidth="1"/>
    <col min="1333" max="1334" width="9.5703125" style="1" customWidth="1"/>
    <col min="1335" max="1337" width="8.85546875" style="1" customWidth="1"/>
    <col min="1338" max="1338" width="10.42578125" style="1" customWidth="1"/>
    <col min="1339" max="1340" width="8.85546875" style="1" customWidth="1"/>
    <col min="1341" max="1341" width="9.7109375" style="1" customWidth="1"/>
    <col min="1342" max="1343" width="8.85546875" style="1" customWidth="1"/>
    <col min="1344" max="1344" width="9.28515625" style="1" customWidth="1"/>
    <col min="1345" max="1365" width="8.85546875" style="1" customWidth="1"/>
    <col min="1366" max="1366" width="9.85546875" style="1" customWidth="1"/>
    <col min="1367" max="1367" width="8.85546875" style="1" customWidth="1"/>
    <col min="1368" max="1368" width="10" style="1" customWidth="1"/>
    <col min="1369" max="1385" width="8.85546875" style="1" customWidth="1"/>
    <col min="1386" max="1386" width="9.42578125" style="1" customWidth="1"/>
    <col min="1387" max="1387" width="8.85546875" style="1" customWidth="1"/>
    <col min="1388" max="1388" width="12" style="1" customWidth="1"/>
    <col min="1389" max="1389" width="11.140625" style="1" customWidth="1"/>
    <col min="1390" max="1390" width="28.7109375" style="1" customWidth="1"/>
    <col min="1391" max="1391" width="5.85546875" style="1" customWidth="1"/>
    <col min="1392" max="1541" width="9.140625" style="1"/>
    <col min="1542" max="1542" width="3.42578125" style="1" customWidth="1"/>
    <col min="1543" max="1543" width="27.85546875" style="1" customWidth="1"/>
    <col min="1544" max="1544" width="11.85546875" style="1" customWidth="1"/>
    <col min="1545" max="1545" width="15.140625" style="1" customWidth="1"/>
    <col min="1546" max="1546" width="10.28515625" style="1" customWidth="1"/>
    <col min="1547" max="1548" width="9.7109375" style="1" customWidth="1"/>
    <col min="1549" max="1549" width="10.42578125" style="1" customWidth="1"/>
    <col min="1550" max="1550" width="10.42578125" style="1" bestFit="1" customWidth="1"/>
    <col min="1551" max="1551" width="16.28515625" style="1" customWidth="1"/>
    <col min="1552" max="1552" width="15.140625" style="1" customWidth="1"/>
    <col min="1553" max="1553" width="13.5703125" style="1" customWidth="1"/>
    <col min="1554" max="1554" width="10.5703125" style="1" customWidth="1"/>
    <col min="1555" max="1555" width="10.85546875" style="1" customWidth="1"/>
    <col min="1556" max="1556" width="18" style="1" customWidth="1"/>
    <col min="1557" max="1557" width="20.85546875" style="1" customWidth="1"/>
    <col min="1558" max="1558" width="13.5703125" style="1" customWidth="1"/>
    <col min="1559" max="1559" width="14.140625" style="1" customWidth="1"/>
    <col min="1560" max="1562" width="8.85546875" style="1" customWidth="1"/>
    <col min="1563" max="1563" width="9.28515625" style="1" customWidth="1"/>
    <col min="1564" max="1564" width="14" style="1" customWidth="1"/>
    <col min="1565" max="1566" width="8.85546875" style="1" customWidth="1"/>
    <col min="1567" max="1567" width="10.140625" style="1" customWidth="1"/>
    <col min="1568" max="1569" width="9.5703125" style="1" customWidth="1"/>
    <col min="1570" max="1570" width="9.85546875" style="1" customWidth="1"/>
    <col min="1571" max="1572" width="10.140625" style="1" customWidth="1"/>
    <col min="1573" max="1575" width="9.28515625" style="1" customWidth="1"/>
    <col min="1576" max="1576" width="9.85546875" style="1" customWidth="1"/>
    <col min="1577" max="1578" width="8.5703125" style="1" customWidth="1"/>
    <col min="1579" max="1581" width="8.85546875" style="1" customWidth="1"/>
    <col min="1582" max="1582" width="9.28515625" style="1" customWidth="1"/>
    <col min="1583" max="1584" width="8.85546875" style="1" customWidth="1"/>
    <col min="1585" max="1585" width="10" style="1" customWidth="1"/>
    <col min="1586" max="1587" width="8.85546875" style="1" customWidth="1"/>
    <col min="1588" max="1588" width="11" style="1" customWidth="1"/>
    <col min="1589" max="1590" width="9.5703125" style="1" customWidth="1"/>
    <col min="1591" max="1593" width="8.85546875" style="1" customWidth="1"/>
    <col min="1594" max="1594" width="10.42578125" style="1" customWidth="1"/>
    <col min="1595" max="1596" width="8.85546875" style="1" customWidth="1"/>
    <col min="1597" max="1597" width="9.7109375" style="1" customWidth="1"/>
    <col min="1598" max="1599" width="8.85546875" style="1" customWidth="1"/>
    <col min="1600" max="1600" width="9.28515625" style="1" customWidth="1"/>
    <col min="1601" max="1621" width="8.85546875" style="1" customWidth="1"/>
    <col min="1622" max="1622" width="9.85546875" style="1" customWidth="1"/>
    <col min="1623" max="1623" width="8.85546875" style="1" customWidth="1"/>
    <col min="1624" max="1624" width="10" style="1" customWidth="1"/>
    <col min="1625" max="1641" width="8.85546875" style="1" customWidth="1"/>
    <col min="1642" max="1642" width="9.42578125" style="1" customWidth="1"/>
    <col min="1643" max="1643" width="8.85546875" style="1" customWidth="1"/>
    <col min="1644" max="1644" width="12" style="1" customWidth="1"/>
    <col min="1645" max="1645" width="11.140625" style="1" customWidth="1"/>
    <col min="1646" max="1646" width="28.7109375" style="1" customWidth="1"/>
    <col min="1647" max="1647" width="5.85546875" style="1" customWidth="1"/>
    <col min="1648" max="1797" width="9.140625" style="1"/>
    <col min="1798" max="1798" width="3.42578125" style="1" customWidth="1"/>
    <col min="1799" max="1799" width="27.85546875" style="1" customWidth="1"/>
    <col min="1800" max="1800" width="11.85546875" style="1" customWidth="1"/>
    <col min="1801" max="1801" width="15.140625" style="1" customWidth="1"/>
    <col min="1802" max="1802" width="10.28515625" style="1" customWidth="1"/>
    <col min="1803" max="1804" width="9.7109375" style="1" customWidth="1"/>
    <col min="1805" max="1805" width="10.42578125" style="1" customWidth="1"/>
    <col min="1806" max="1806" width="10.42578125" style="1" bestFit="1" customWidth="1"/>
    <col min="1807" max="1807" width="16.28515625" style="1" customWidth="1"/>
    <col min="1808" max="1808" width="15.140625" style="1" customWidth="1"/>
    <col min="1809" max="1809" width="13.5703125" style="1" customWidth="1"/>
    <col min="1810" max="1810" width="10.5703125" style="1" customWidth="1"/>
    <col min="1811" max="1811" width="10.85546875" style="1" customWidth="1"/>
    <col min="1812" max="1812" width="18" style="1" customWidth="1"/>
    <col min="1813" max="1813" width="20.85546875" style="1" customWidth="1"/>
    <col min="1814" max="1814" width="13.5703125" style="1" customWidth="1"/>
    <col min="1815" max="1815" width="14.140625" style="1" customWidth="1"/>
    <col min="1816" max="1818" width="8.85546875" style="1" customWidth="1"/>
    <col min="1819" max="1819" width="9.28515625" style="1" customWidth="1"/>
    <col min="1820" max="1820" width="14" style="1" customWidth="1"/>
    <col min="1821" max="1822" width="8.85546875" style="1" customWidth="1"/>
    <col min="1823" max="1823" width="10.140625" style="1" customWidth="1"/>
    <col min="1824" max="1825" width="9.5703125" style="1" customWidth="1"/>
    <col min="1826" max="1826" width="9.85546875" style="1" customWidth="1"/>
    <col min="1827" max="1828" width="10.140625" style="1" customWidth="1"/>
    <col min="1829" max="1831" width="9.28515625" style="1" customWidth="1"/>
    <col min="1832" max="1832" width="9.85546875" style="1" customWidth="1"/>
    <col min="1833" max="1834" width="8.5703125" style="1" customWidth="1"/>
    <col min="1835" max="1837" width="8.85546875" style="1" customWidth="1"/>
    <col min="1838" max="1838" width="9.28515625" style="1" customWidth="1"/>
    <col min="1839" max="1840" width="8.85546875" style="1" customWidth="1"/>
    <col min="1841" max="1841" width="10" style="1" customWidth="1"/>
    <col min="1842" max="1843" width="8.85546875" style="1" customWidth="1"/>
    <col min="1844" max="1844" width="11" style="1" customWidth="1"/>
    <col min="1845" max="1846" width="9.5703125" style="1" customWidth="1"/>
    <col min="1847" max="1849" width="8.85546875" style="1" customWidth="1"/>
    <col min="1850" max="1850" width="10.42578125" style="1" customWidth="1"/>
    <col min="1851" max="1852" width="8.85546875" style="1" customWidth="1"/>
    <col min="1853" max="1853" width="9.7109375" style="1" customWidth="1"/>
    <col min="1854" max="1855" width="8.85546875" style="1" customWidth="1"/>
    <col min="1856" max="1856" width="9.28515625" style="1" customWidth="1"/>
    <col min="1857" max="1877" width="8.85546875" style="1" customWidth="1"/>
    <col min="1878" max="1878" width="9.85546875" style="1" customWidth="1"/>
    <col min="1879" max="1879" width="8.85546875" style="1" customWidth="1"/>
    <col min="1880" max="1880" width="10" style="1" customWidth="1"/>
    <col min="1881" max="1897" width="8.85546875" style="1" customWidth="1"/>
    <col min="1898" max="1898" width="9.42578125" style="1" customWidth="1"/>
    <col min="1899" max="1899" width="8.85546875" style="1" customWidth="1"/>
    <col min="1900" max="1900" width="12" style="1" customWidth="1"/>
    <col min="1901" max="1901" width="11.140625" style="1" customWidth="1"/>
    <col min="1902" max="1902" width="28.7109375" style="1" customWidth="1"/>
    <col min="1903" max="1903" width="5.85546875" style="1" customWidth="1"/>
    <col min="1904" max="2053" width="9.140625" style="1"/>
    <col min="2054" max="2054" width="3.42578125" style="1" customWidth="1"/>
    <col min="2055" max="2055" width="27.85546875" style="1" customWidth="1"/>
    <col min="2056" max="2056" width="11.85546875" style="1" customWidth="1"/>
    <col min="2057" max="2057" width="15.140625" style="1" customWidth="1"/>
    <col min="2058" max="2058" width="10.28515625" style="1" customWidth="1"/>
    <col min="2059" max="2060" width="9.7109375" style="1" customWidth="1"/>
    <col min="2061" max="2061" width="10.42578125" style="1" customWidth="1"/>
    <col min="2062" max="2062" width="10.42578125" style="1" bestFit="1" customWidth="1"/>
    <col min="2063" max="2063" width="16.28515625" style="1" customWidth="1"/>
    <col min="2064" max="2064" width="15.140625" style="1" customWidth="1"/>
    <col min="2065" max="2065" width="13.5703125" style="1" customWidth="1"/>
    <col min="2066" max="2066" width="10.5703125" style="1" customWidth="1"/>
    <col min="2067" max="2067" width="10.85546875" style="1" customWidth="1"/>
    <col min="2068" max="2068" width="18" style="1" customWidth="1"/>
    <col min="2069" max="2069" width="20.85546875" style="1" customWidth="1"/>
    <col min="2070" max="2070" width="13.5703125" style="1" customWidth="1"/>
    <col min="2071" max="2071" width="14.140625" style="1" customWidth="1"/>
    <col min="2072" max="2074" width="8.85546875" style="1" customWidth="1"/>
    <col min="2075" max="2075" width="9.28515625" style="1" customWidth="1"/>
    <col min="2076" max="2076" width="14" style="1" customWidth="1"/>
    <col min="2077" max="2078" width="8.85546875" style="1" customWidth="1"/>
    <col min="2079" max="2079" width="10.140625" style="1" customWidth="1"/>
    <col min="2080" max="2081" width="9.5703125" style="1" customWidth="1"/>
    <col min="2082" max="2082" width="9.85546875" style="1" customWidth="1"/>
    <col min="2083" max="2084" width="10.140625" style="1" customWidth="1"/>
    <col min="2085" max="2087" width="9.28515625" style="1" customWidth="1"/>
    <col min="2088" max="2088" width="9.85546875" style="1" customWidth="1"/>
    <col min="2089" max="2090" width="8.5703125" style="1" customWidth="1"/>
    <col min="2091" max="2093" width="8.85546875" style="1" customWidth="1"/>
    <col min="2094" max="2094" width="9.28515625" style="1" customWidth="1"/>
    <col min="2095" max="2096" width="8.85546875" style="1" customWidth="1"/>
    <col min="2097" max="2097" width="10" style="1" customWidth="1"/>
    <col min="2098" max="2099" width="8.85546875" style="1" customWidth="1"/>
    <col min="2100" max="2100" width="11" style="1" customWidth="1"/>
    <col min="2101" max="2102" width="9.5703125" style="1" customWidth="1"/>
    <col min="2103" max="2105" width="8.85546875" style="1" customWidth="1"/>
    <col min="2106" max="2106" width="10.42578125" style="1" customWidth="1"/>
    <col min="2107" max="2108" width="8.85546875" style="1" customWidth="1"/>
    <col min="2109" max="2109" width="9.7109375" style="1" customWidth="1"/>
    <col min="2110" max="2111" width="8.85546875" style="1" customWidth="1"/>
    <col min="2112" max="2112" width="9.28515625" style="1" customWidth="1"/>
    <col min="2113" max="2133" width="8.85546875" style="1" customWidth="1"/>
    <col min="2134" max="2134" width="9.85546875" style="1" customWidth="1"/>
    <col min="2135" max="2135" width="8.85546875" style="1" customWidth="1"/>
    <col min="2136" max="2136" width="10" style="1" customWidth="1"/>
    <col min="2137" max="2153" width="8.85546875" style="1" customWidth="1"/>
    <col min="2154" max="2154" width="9.42578125" style="1" customWidth="1"/>
    <col min="2155" max="2155" width="8.85546875" style="1" customWidth="1"/>
    <col min="2156" max="2156" width="12" style="1" customWidth="1"/>
    <col min="2157" max="2157" width="11.140625" style="1" customWidth="1"/>
    <col min="2158" max="2158" width="28.7109375" style="1" customWidth="1"/>
    <col min="2159" max="2159" width="5.85546875" style="1" customWidth="1"/>
    <col min="2160" max="2309" width="9.140625" style="1"/>
    <col min="2310" max="2310" width="3.42578125" style="1" customWidth="1"/>
    <col min="2311" max="2311" width="27.85546875" style="1" customWidth="1"/>
    <col min="2312" max="2312" width="11.85546875" style="1" customWidth="1"/>
    <col min="2313" max="2313" width="15.140625" style="1" customWidth="1"/>
    <col min="2314" max="2314" width="10.28515625" style="1" customWidth="1"/>
    <col min="2315" max="2316" width="9.7109375" style="1" customWidth="1"/>
    <col min="2317" max="2317" width="10.42578125" style="1" customWidth="1"/>
    <col min="2318" max="2318" width="10.42578125" style="1" bestFit="1" customWidth="1"/>
    <col min="2319" max="2319" width="16.28515625" style="1" customWidth="1"/>
    <col min="2320" max="2320" width="15.140625" style="1" customWidth="1"/>
    <col min="2321" max="2321" width="13.5703125" style="1" customWidth="1"/>
    <col min="2322" max="2322" width="10.5703125" style="1" customWidth="1"/>
    <col min="2323" max="2323" width="10.85546875" style="1" customWidth="1"/>
    <col min="2324" max="2324" width="18" style="1" customWidth="1"/>
    <col min="2325" max="2325" width="20.85546875" style="1" customWidth="1"/>
    <col min="2326" max="2326" width="13.5703125" style="1" customWidth="1"/>
    <col min="2327" max="2327" width="14.140625" style="1" customWidth="1"/>
    <col min="2328" max="2330" width="8.85546875" style="1" customWidth="1"/>
    <col min="2331" max="2331" width="9.28515625" style="1" customWidth="1"/>
    <col min="2332" max="2332" width="14" style="1" customWidth="1"/>
    <col min="2333" max="2334" width="8.85546875" style="1" customWidth="1"/>
    <col min="2335" max="2335" width="10.140625" style="1" customWidth="1"/>
    <col min="2336" max="2337" width="9.5703125" style="1" customWidth="1"/>
    <col min="2338" max="2338" width="9.85546875" style="1" customWidth="1"/>
    <col min="2339" max="2340" width="10.140625" style="1" customWidth="1"/>
    <col min="2341" max="2343" width="9.28515625" style="1" customWidth="1"/>
    <col min="2344" max="2344" width="9.85546875" style="1" customWidth="1"/>
    <col min="2345" max="2346" width="8.5703125" style="1" customWidth="1"/>
    <col min="2347" max="2349" width="8.85546875" style="1" customWidth="1"/>
    <col min="2350" max="2350" width="9.28515625" style="1" customWidth="1"/>
    <col min="2351" max="2352" width="8.85546875" style="1" customWidth="1"/>
    <col min="2353" max="2353" width="10" style="1" customWidth="1"/>
    <col min="2354" max="2355" width="8.85546875" style="1" customWidth="1"/>
    <col min="2356" max="2356" width="11" style="1" customWidth="1"/>
    <col min="2357" max="2358" width="9.5703125" style="1" customWidth="1"/>
    <col min="2359" max="2361" width="8.85546875" style="1" customWidth="1"/>
    <col min="2362" max="2362" width="10.42578125" style="1" customWidth="1"/>
    <col min="2363" max="2364" width="8.85546875" style="1" customWidth="1"/>
    <col min="2365" max="2365" width="9.7109375" style="1" customWidth="1"/>
    <col min="2366" max="2367" width="8.85546875" style="1" customWidth="1"/>
    <col min="2368" max="2368" width="9.28515625" style="1" customWidth="1"/>
    <col min="2369" max="2389" width="8.85546875" style="1" customWidth="1"/>
    <col min="2390" max="2390" width="9.85546875" style="1" customWidth="1"/>
    <col min="2391" max="2391" width="8.85546875" style="1" customWidth="1"/>
    <col min="2392" max="2392" width="10" style="1" customWidth="1"/>
    <col min="2393" max="2409" width="8.85546875" style="1" customWidth="1"/>
    <col min="2410" max="2410" width="9.42578125" style="1" customWidth="1"/>
    <col min="2411" max="2411" width="8.85546875" style="1" customWidth="1"/>
    <col min="2412" max="2412" width="12" style="1" customWidth="1"/>
    <col min="2413" max="2413" width="11.140625" style="1" customWidth="1"/>
    <col min="2414" max="2414" width="28.7109375" style="1" customWidth="1"/>
    <col min="2415" max="2415" width="5.85546875" style="1" customWidth="1"/>
    <col min="2416" max="2565" width="9.140625" style="1"/>
    <col min="2566" max="2566" width="3.42578125" style="1" customWidth="1"/>
    <col min="2567" max="2567" width="27.85546875" style="1" customWidth="1"/>
    <col min="2568" max="2568" width="11.85546875" style="1" customWidth="1"/>
    <col min="2569" max="2569" width="15.140625" style="1" customWidth="1"/>
    <col min="2570" max="2570" width="10.28515625" style="1" customWidth="1"/>
    <col min="2571" max="2572" width="9.7109375" style="1" customWidth="1"/>
    <col min="2573" max="2573" width="10.42578125" style="1" customWidth="1"/>
    <col min="2574" max="2574" width="10.42578125" style="1" bestFit="1" customWidth="1"/>
    <col min="2575" max="2575" width="16.28515625" style="1" customWidth="1"/>
    <col min="2576" max="2576" width="15.140625" style="1" customWidth="1"/>
    <col min="2577" max="2577" width="13.5703125" style="1" customWidth="1"/>
    <col min="2578" max="2578" width="10.5703125" style="1" customWidth="1"/>
    <col min="2579" max="2579" width="10.85546875" style="1" customWidth="1"/>
    <col min="2580" max="2580" width="18" style="1" customWidth="1"/>
    <col min="2581" max="2581" width="20.85546875" style="1" customWidth="1"/>
    <col min="2582" max="2582" width="13.5703125" style="1" customWidth="1"/>
    <col min="2583" max="2583" width="14.140625" style="1" customWidth="1"/>
    <col min="2584" max="2586" width="8.85546875" style="1" customWidth="1"/>
    <col min="2587" max="2587" width="9.28515625" style="1" customWidth="1"/>
    <col min="2588" max="2588" width="14" style="1" customWidth="1"/>
    <col min="2589" max="2590" width="8.85546875" style="1" customWidth="1"/>
    <col min="2591" max="2591" width="10.140625" style="1" customWidth="1"/>
    <col min="2592" max="2593" width="9.5703125" style="1" customWidth="1"/>
    <col min="2594" max="2594" width="9.85546875" style="1" customWidth="1"/>
    <col min="2595" max="2596" width="10.140625" style="1" customWidth="1"/>
    <col min="2597" max="2599" width="9.28515625" style="1" customWidth="1"/>
    <col min="2600" max="2600" width="9.85546875" style="1" customWidth="1"/>
    <col min="2601" max="2602" width="8.5703125" style="1" customWidth="1"/>
    <col min="2603" max="2605" width="8.85546875" style="1" customWidth="1"/>
    <col min="2606" max="2606" width="9.28515625" style="1" customWidth="1"/>
    <col min="2607" max="2608" width="8.85546875" style="1" customWidth="1"/>
    <col min="2609" max="2609" width="10" style="1" customWidth="1"/>
    <col min="2610" max="2611" width="8.85546875" style="1" customWidth="1"/>
    <col min="2612" max="2612" width="11" style="1" customWidth="1"/>
    <col min="2613" max="2614" width="9.5703125" style="1" customWidth="1"/>
    <col min="2615" max="2617" width="8.85546875" style="1" customWidth="1"/>
    <col min="2618" max="2618" width="10.42578125" style="1" customWidth="1"/>
    <col min="2619" max="2620" width="8.85546875" style="1" customWidth="1"/>
    <col min="2621" max="2621" width="9.7109375" style="1" customWidth="1"/>
    <col min="2622" max="2623" width="8.85546875" style="1" customWidth="1"/>
    <col min="2624" max="2624" width="9.28515625" style="1" customWidth="1"/>
    <col min="2625" max="2645" width="8.85546875" style="1" customWidth="1"/>
    <col min="2646" max="2646" width="9.85546875" style="1" customWidth="1"/>
    <col min="2647" max="2647" width="8.85546875" style="1" customWidth="1"/>
    <col min="2648" max="2648" width="10" style="1" customWidth="1"/>
    <col min="2649" max="2665" width="8.85546875" style="1" customWidth="1"/>
    <col min="2666" max="2666" width="9.42578125" style="1" customWidth="1"/>
    <col min="2667" max="2667" width="8.85546875" style="1" customWidth="1"/>
    <col min="2668" max="2668" width="12" style="1" customWidth="1"/>
    <col min="2669" max="2669" width="11.140625" style="1" customWidth="1"/>
    <col min="2670" max="2670" width="28.7109375" style="1" customWidth="1"/>
    <col min="2671" max="2671" width="5.85546875" style="1" customWidth="1"/>
    <col min="2672" max="2821" width="9.140625" style="1"/>
    <col min="2822" max="2822" width="3.42578125" style="1" customWidth="1"/>
    <col min="2823" max="2823" width="27.85546875" style="1" customWidth="1"/>
    <col min="2824" max="2824" width="11.85546875" style="1" customWidth="1"/>
    <col min="2825" max="2825" width="15.140625" style="1" customWidth="1"/>
    <col min="2826" max="2826" width="10.28515625" style="1" customWidth="1"/>
    <col min="2827" max="2828" width="9.7109375" style="1" customWidth="1"/>
    <col min="2829" max="2829" width="10.42578125" style="1" customWidth="1"/>
    <col min="2830" max="2830" width="10.42578125" style="1" bestFit="1" customWidth="1"/>
    <col min="2831" max="2831" width="16.28515625" style="1" customWidth="1"/>
    <col min="2832" max="2832" width="15.140625" style="1" customWidth="1"/>
    <col min="2833" max="2833" width="13.5703125" style="1" customWidth="1"/>
    <col min="2834" max="2834" width="10.5703125" style="1" customWidth="1"/>
    <col min="2835" max="2835" width="10.85546875" style="1" customWidth="1"/>
    <col min="2836" max="2836" width="18" style="1" customWidth="1"/>
    <col min="2837" max="2837" width="20.85546875" style="1" customWidth="1"/>
    <col min="2838" max="2838" width="13.5703125" style="1" customWidth="1"/>
    <col min="2839" max="2839" width="14.140625" style="1" customWidth="1"/>
    <col min="2840" max="2842" width="8.85546875" style="1" customWidth="1"/>
    <col min="2843" max="2843" width="9.28515625" style="1" customWidth="1"/>
    <col min="2844" max="2844" width="14" style="1" customWidth="1"/>
    <col min="2845" max="2846" width="8.85546875" style="1" customWidth="1"/>
    <col min="2847" max="2847" width="10.140625" style="1" customWidth="1"/>
    <col min="2848" max="2849" width="9.5703125" style="1" customWidth="1"/>
    <col min="2850" max="2850" width="9.85546875" style="1" customWidth="1"/>
    <col min="2851" max="2852" width="10.140625" style="1" customWidth="1"/>
    <col min="2853" max="2855" width="9.28515625" style="1" customWidth="1"/>
    <col min="2856" max="2856" width="9.85546875" style="1" customWidth="1"/>
    <col min="2857" max="2858" width="8.5703125" style="1" customWidth="1"/>
    <col min="2859" max="2861" width="8.85546875" style="1" customWidth="1"/>
    <col min="2862" max="2862" width="9.28515625" style="1" customWidth="1"/>
    <col min="2863" max="2864" width="8.85546875" style="1" customWidth="1"/>
    <col min="2865" max="2865" width="10" style="1" customWidth="1"/>
    <col min="2866" max="2867" width="8.85546875" style="1" customWidth="1"/>
    <col min="2868" max="2868" width="11" style="1" customWidth="1"/>
    <col min="2869" max="2870" width="9.5703125" style="1" customWidth="1"/>
    <col min="2871" max="2873" width="8.85546875" style="1" customWidth="1"/>
    <col min="2874" max="2874" width="10.42578125" style="1" customWidth="1"/>
    <col min="2875" max="2876" width="8.85546875" style="1" customWidth="1"/>
    <col min="2877" max="2877" width="9.7109375" style="1" customWidth="1"/>
    <col min="2878" max="2879" width="8.85546875" style="1" customWidth="1"/>
    <col min="2880" max="2880" width="9.28515625" style="1" customWidth="1"/>
    <col min="2881" max="2901" width="8.85546875" style="1" customWidth="1"/>
    <col min="2902" max="2902" width="9.85546875" style="1" customWidth="1"/>
    <col min="2903" max="2903" width="8.85546875" style="1" customWidth="1"/>
    <col min="2904" max="2904" width="10" style="1" customWidth="1"/>
    <col min="2905" max="2921" width="8.85546875" style="1" customWidth="1"/>
    <col min="2922" max="2922" width="9.42578125" style="1" customWidth="1"/>
    <col min="2923" max="2923" width="8.85546875" style="1" customWidth="1"/>
    <col min="2924" max="2924" width="12" style="1" customWidth="1"/>
    <col min="2925" max="2925" width="11.140625" style="1" customWidth="1"/>
    <col min="2926" max="2926" width="28.7109375" style="1" customWidth="1"/>
    <col min="2927" max="2927" width="5.85546875" style="1" customWidth="1"/>
    <col min="2928" max="3077" width="9.140625" style="1"/>
    <col min="3078" max="3078" width="3.42578125" style="1" customWidth="1"/>
    <col min="3079" max="3079" width="27.85546875" style="1" customWidth="1"/>
    <col min="3080" max="3080" width="11.85546875" style="1" customWidth="1"/>
    <col min="3081" max="3081" width="15.140625" style="1" customWidth="1"/>
    <col min="3082" max="3082" width="10.28515625" style="1" customWidth="1"/>
    <col min="3083" max="3084" width="9.7109375" style="1" customWidth="1"/>
    <col min="3085" max="3085" width="10.42578125" style="1" customWidth="1"/>
    <col min="3086" max="3086" width="10.42578125" style="1" bestFit="1" customWidth="1"/>
    <col min="3087" max="3087" width="16.28515625" style="1" customWidth="1"/>
    <col min="3088" max="3088" width="15.140625" style="1" customWidth="1"/>
    <col min="3089" max="3089" width="13.5703125" style="1" customWidth="1"/>
    <col min="3090" max="3090" width="10.5703125" style="1" customWidth="1"/>
    <col min="3091" max="3091" width="10.85546875" style="1" customWidth="1"/>
    <col min="3092" max="3092" width="18" style="1" customWidth="1"/>
    <col min="3093" max="3093" width="20.85546875" style="1" customWidth="1"/>
    <col min="3094" max="3094" width="13.5703125" style="1" customWidth="1"/>
    <col min="3095" max="3095" width="14.140625" style="1" customWidth="1"/>
    <col min="3096" max="3098" width="8.85546875" style="1" customWidth="1"/>
    <col min="3099" max="3099" width="9.28515625" style="1" customWidth="1"/>
    <col min="3100" max="3100" width="14" style="1" customWidth="1"/>
    <col min="3101" max="3102" width="8.85546875" style="1" customWidth="1"/>
    <col min="3103" max="3103" width="10.140625" style="1" customWidth="1"/>
    <col min="3104" max="3105" width="9.5703125" style="1" customWidth="1"/>
    <col min="3106" max="3106" width="9.85546875" style="1" customWidth="1"/>
    <col min="3107" max="3108" width="10.140625" style="1" customWidth="1"/>
    <col min="3109" max="3111" width="9.28515625" style="1" customWidth="1"/>
    <col min="3112" max="3112" width="9.85546875" style="1" customWidth="1"/>
    <col min="3113" max="3114" width="8.5703125" style="1" customWidth="1"/>
    <col min="3115" max="3117" width="8.85546875" style="1" customWidth="1"/>
    <col min="3118" max="3118" width="9.28515625" style="1" customWidth="1"/>
    <col min="3119" max="3120" width="8.85546875" style="1" customWidth="1"/>
    <col min="3121" max="3121" width="10" style="1" customWidth="1"/>
    <col min="3122" max="3123" width="8.85546875" style="1" customWidth="1"/>
    <col min="3124" max="3124" width="11" style="1" customWidth="1"/>
    <col min="3125" max="3126" width="9.5703125" style="1" customWidth="1"/>
    <col min="3127" max="3129" width="8.85546875" style="1" customWidth="1"/>
    <col min="3130" max="3130" width="10.42578125" style="1" customWidth="1"/>
    <col min="3131" max="3132" width="8.85546875" style="1" customWidth="1"/>
    <col min="3133" max="3133" width="9.7109375" style="1" customWidth="1"/>
    <col min="3134" max="3135" width="8.85546875" style="1" customWidth="1"/>
    <col min="3136" max="3136" width="9.28515625" style="1" customWidth="1"/>
    <col min="3137" max="3157" width="8.85546875" style="1" customWidth="1"/>
    <col min="3158" max="3158" width="9.85546875" style="1" customWidth="1"/>
    <col min="3159" max="3159" width="8.85546875" style="1" customWidth="1"/>
    <col min="3160" max="3160" width="10" style="1" customWidth="1"/>
    <col min="3161" max="3177" width="8.85546875" style="1" customWidth="1"/>
    <col min="3178" max="3178" width="9.42578125" style="1" customWidth="1"/>
    <col min="3179" max="3179" width="8.85546875" style="1" customWidth="1"/>
    <col min="3180" max="3180" width="12" style="1" customWidth="1"/>
    <col min="3181" max="3181" width="11.140625" style="1" customWidth="1"/>
    <col min="3182" max="3182" width="28.7109375" style="1" customWidth="1"/>
    <col min="3183" max="3183" width="5.85546875" style="1" customWidth="1"/>
    <col min="3184" max="3333" width="9.140625" style="1"/>
    <col min="3334" max="3334" width="3.42578125" style="1" customWidth="1"/>
    <col min="3335" max="3335" width="27.85546875" style="1" customWidth="1"/>
    <col min="3336" max="3336" width="11.85546875" style="1" customWidth="1"/>
    <col min="3337" max="3337" width="15.140625" style="1" customWidth="1"/>
    <col min="3338" max="3338" width="10.28515625" style="1" customWidth="1"/>
    <col min="3339" max="3340" width="9.7109375" style="1" customWidth="1"/>
    <col min="3341" max="3341" width="10.42578125" style="1" customWidth="1"/>
    <col min="3342" max="3342" width="10.42578125" style="1" bestFit="1" customWidth="1"/>
    <col min="3343" max="3343" width="16.28515625" style="1" customWidth="1"/>
    <col min="3344" max="3344" width="15.140625" style="1" customWidth="1"/>
    <col min="3345" max="3345" width="13.5703125" style="1" customWidth="1"/>
    <col min="3346" max="3346" width="10.5703125" style="1" customWidth="1"/>
    <col min="3347" max="3347" width="10.85546875" style="1" customWidth="1"/>
    <col min="3348" max="3348" width="18" style="1" customWidth="1"/>
    <col min="3349" max="3349" width="20.85546875" style="1" customWidth="1"/>
    <col min="3350" max="3350" width="13.5703125" style="1" customWidth="1"/>
    <col min="3351" max="3351" width="14.140625" style="1" customWidth="1"/>
    <col min="3352" max="3354" width="8.85546875" style="1" customWidth="1"/>
    <col min="3355" max="3355" width="9.28515625" style="1" customWidth="1"/>
    <col min="3356" max="3356" width="14" style="1" customWidth="1"/>
    <col min="3357" max="3358" width="8.85546875" style="1" customWidth="1"/>
    <col min="3359" max="3359" width="10.140625" style="1" customWidth="1"/>
    <col min="3360" max="3361" width="9.5703125" style="1" customWidth="1"/>
    <col min="3362" max="3362" width="9.85546875" style="1" customWidth="1"/>
    <col min="3363" max="3364" width="10.140625" style="1" customWidth="1"/>
    <col min="3365" max="3367" width="9.28515625" style="1" customWidth="1"/>
    <col min="3368" max="3368" width="9.85546875" style="1" customWidth="1"/>
    <col min="3369" max="3370" width="8.5703125" style="1" customWidth="1"/>
    <col min="3371" max="3373" width="8.85546875" style="1" customWidth="1"/>
    <col min="3374" max="3374" width="9.28515625" style="1" customWidth="1"/>
    <col min="3375" max="3376" width="8.85546875" style="1" customWidth="1"/>
    <col min="3377" max="3377" width="10" style="1" customWidth="1"/>
    <col min="3378" max="3379" width="8.85546875" style="1" customWidth="1"/>
    <col min="3380" max="3380" width="11" style="1" customWidth="1"/>
    <col min="3381" max="3382" width="9.5703125" style="1" customWidth="1"/>
    <col min="3383" max="3385" width="8.85546875" style="1" customWidth="1"/>
    <col min="3386" max="3386" width="10.42578125" style="1" customWidth="1"/>
    <col min="3387" max="3388" width="8.85546875" style="1" customWidth="1"/>
    <col min="3389" max="3389" width="9.7109375" style="1" customWidth="1"/>
    <col min="3390" max="3391" width="8.85546875" style="1" customWidth="1"/>
    <col min="3392" max="3392" width="9.28515625" style="1" customWidth="1"/>
    <col min="3393" max="3413" width="8.85546875" style="1" customWidth="1"/>
    <col min="3414" max="3414" width="9.85546875" style="1" customWidth="1"/>
    <col min="3415" max="3415" width="8.85546875" style="1" customWidth="1"/>
    <col min="3416" max="3416" width="10" style="1" customWidth="1"/>
    <col min="3417" max="3433" width="8.85546875" style="1" customWidth="1"/>
    <col min="3434" max="3434" width="9.42578125" style="1" customWidth="1"/>
    <col min="3435" max="3435" width="8.85546875" style="1" customWidth="1"/>
    <col min="3436" max="3436" width="12" style="1" customWidth="1"/>
    <col min="3437" max="3437" width="11.140625" style="1" customWidth="1"/>
    <col min="3438" max="3438" width="28.7109375" style="1" customWidth="1"/>
    <col min="3439" max="3439" width="5.85546875" style="1" customWidth="1"/>
    <col min="3440" max="3589" width="9.140625" style="1"/>
    <col min="3590" max="3590" width="3.42578125" style="1" customWidth="1"/>
    <col min="3591" max="3591" width="27.85546875" style="1" customWidth="1"/>
    <col min="3592" max="3592" width="11.85546875" style="1" customWidth="1"/>
    <col min="3593" max="3593" width="15.140625" style="1" customWidth="1"/>
    <col min="3594" max="3594" width="10.28515625" style="1" customWidth="1"/>
    <col min="3595" max="3596" width="9.7109375" style="1" customWidth="1"/>
    <col min="3597" max="3597" width="10.42578125" style="1" customWidth="1"/>
    <col min="3598" max="3598" width="10.42578125" style="1" bestFit="1" customWidth="1"/>
    <col min="3599" max="3599" width="16.28515625" style="1" customWidth="1"/>
    <col min="3600" max="3600" width="15.140625" style="1" customWidth="1"/>
    <col min="3601" max="3601" width="13.5703125" style="1" customWidth="1"/>
    <col min="3602" max="3602" width="10.5703125" style="1" customWidth="1"/>
    <col min="3603" max="3603" width="10.85546875" style="1" customWidth="1"/>
    <col min="3604" max="3604" width="18" style="1" customWidth="1"/>
    <col min="3605" max="3605" width="20.85546875" style="1" customWidth="1"/>
    <col min="3606" max="3606" width="13.5703125" style="1" customWidth="1"/>
    <col min="3607" max="3607" width="14.140625" style="1" customWidth="1"/>
    <col min="3608" max="3610" width="8.85546875" style="1" customWidth="1"/>
    <col min="3611" max="3611" width="9.28515625" style="1" customWidth="1"/>
    <col min="3612" max="3612" width="14" style="1" customWidth="1"/>
    <col min="3613" max="3614" width="8.85546875" style="1" customWidth="1"/>
    <col min="3615" max="3615" width="10.140625" style="1" customWidth="1"/>
    <col min="3616" max="3617" width="9.5703125" style="1" customWidth="1"/>
    <col min="3618" max="3618" width="9.85546875" style="1" customWidth="1"/>
    <col min="3619" max="3620" width="10.140625" style="1" customWidth="1"/>
    <col min="3621" max="3623" width="9.28515625" style="1" customWidth="1"/>
    <col min="3624" max="3624" width="9.85546875" style="1" customWidth="1"/>
    <col min="3625" max="3626" width="8.5703125" style="1" customWidth="1"/>
    <col min="3627" max="3629" width="8.85546875" style="1" customWidth="1"/>
    <col min="3630" max="3630" width="9.28515625" style="1" customWidth="1"/>
    <col min="3631" max="3632" width="8.85546875" style="1" customWidth="1"/>
    <col min="3633" max="3633" width="10" style="1" customWidth="1"/>
    <col min="3634" max="3635" width="8.85546875" style="1" customWidth="1"/>
    <col min="3636" max="3636" width="11" style="1" customWidth="1"/>
    <col min="3637" max="3638" width="9.5703125" style="1" customWidth="1"/>
    <col min="3639" max="3641" width="8.85546875" style="1" customWidth="1"/>
    <col min="3642" max="3642" width="10.42578125" style="1" customWidth="1"/>
    <col min="3643" max="3644" width="8.85546875" style="1" customWidth="1"/>
    <col min="3645" max="3645" width="9.7109375" style="1" customWidth="1"/>
    <col min="3646" max="3647" width="8.85546875" style="1" customWidth="1"/>
    <col min="3648" max="3648" width="9.28515625" style="1" customWidth="1"/>
    <col min="3649" max="3669" width="8.85546875" style="1" customWidth="1"/>
    <col min="3670" max="3670" width="9.85546875" style="1" customWidth="1"/>
    <col min="3671" max="3671" width="8.85546875" style="1" customWidth="1"/>
    <col min="3672" max="3672" width="10" style="1" customWidth="1"/>
    <col min="3673" max="3689" width="8.85546875" style="1" customWidth="1"/>
    <col min="3690" max="3690" width="9.42578125" style="1" customWidth="1"/>
    <col min="3691" max="3691" width="8.85546875" style="1" customWidth="1"/>
    <col min="3692" max="3692" width="12" style="1" customWidth="1"/>
    <col min="3693" max="3693" width="11.140625" style="1" customWidth="1"/>
    <col min="3694" max="3694" width="28.7109375" style="1" customWidth="1"/>
    <col min="3695" max="3695" width="5.85546875" style="1" customWidth="1"/>
    <col min="3696" max="3845" width="9.140625" style="1"/>
    <col min="3846" max="3846" width="3.42578125" style="1" customWidth="1"/>
    <col min="3847" max="3847" width="27.85546875" style="1" customWidth="1"/>
    <col min="3848" max="3848" width="11.85546875" style="1" customWidth="1"/>
    <col min="3849" max="3849" width="15.140625" style="1" customWidth="1"/>
    <col min="3850" max="3850" width="10.28515625" style="1" customWidth="1"/>
    <col min="3851" max="3852" width="9.7109375" style="1" customWidth="1"/>
    <col min="3853" max="3853" width="10.42578125" style="1" customWidth="1"/>
    <col min="3854" max="3854" width="10.42578125" style="1" bestFit="1" customWidth="1"/>
    <col min="3855" max="3855" width="16.28515625" style="1" customWidth="1"/>
    <col min="3856" max="3856" width="15.140625" style="1" customWidth="1"/>
    <col min="3857" max="3857" width="13.5703125" style="1" customWidth="1"/>
    <col min="3858" max="3858" width="10.5703125" style="1" customWidth="1"/>
    <col min="3859" max="3859" width="10.85546875" style="1" customWidth="1"/>
    <col min="3860" max="3860" width="18" style="1" customWidth="1"/>
    <col min="3861" max="3861" width="20.85546875" style="1" customWidth="1"/>
    <col min="3862" max="3862" width="13.5703125" style="1" customWidth="1"/>
    <col min="3863" max="3863" width="14.140625" style="1" customWidth="1"/>
    <col min="3864" max="3866" width="8.85546875" style="1" customWidth="1"/>
    <col min="3867" max="3867" width="9.28515625" style="1" customWidth="1"/>
    <col min="3868" max="3868" width="14" style="1" customWidth="1"/>
    <col min="3869" max="3870" width="8.85546875" style="1" customWidth="1"/>
    <col min="3871" max="3871" width="10.140625" style="1" customWidth="1"/>
    <col min="3872" max="3873" width="9.5703125" style="1" customWidth="1"/>
    <col min="3874" max="3874" width="9.85546875" style="1" customWidth="1"/>
    <col min="3875" max="3876" width="10.140625" style="1" customWidth="1"/>
    <col min="3877" max="3879" width="9.28515625" style="1" customWidth="1"/>
    <col min="3880" max="3880" width="9.85546875" style="1" customWidth="1"/>
    <col min="3881" max="3882" width="8.5703125" style="1" customWidth="1"/>
    <col min="3883" max="3885" width="8.85546875" style="1" customWidth="1"/>
    <col min="3886" max="3886" width="9.28515625" style="1" customWidth="1"/>
    <col min="3887" max="3888" width="8.85546875" style="1" customWidth="1"/>
    <col min="3889" max="3889" width="10" style="1" customWidth="1"/>
    <col min="3890" max="3891" width="8.85546875" style="1" customWidth="1"/>
    <col min="3892" max="3892" width="11" style="1" customWidth="1"/>
    <col min="3893" max="3894" width="9.5703125" style="1" customWidth="1"/>
    <col min="3895" max="3897" width="8.85546875" style="1" customWidth="1"/>
    <col min="3898" max="3898" width="10.42578125" style="1" customWidth="1"/>
    <col min="3899" max="3900" width="8.85546875" style="1" customWidth="1"/>
    <col min="3901" max="3901" width="9.7109375" style="1" customWidth="1"/>
    <col min="3902" max="3903" width="8.85546875" style="1" customWidth="1"/>
    <col min="3904" max="3904" width="9.28515625" style="1" customWidth="1"/>
    <col min="3905" max="3925" width="8.85546875" style="1" customWidth="1"/>
    <col min="3926" max="3926" width="9.85546875" style="1" customWidth="1"/>
    <col min="3927" max="3927" width="8.85546875" style="1" customWidth="1"/>
    <col min="3928" max="3928" width="10" style="1" customWidth="1"/>
    <col min="3929" max="3945" width="8.85546875" style="1" customWidth="1"/>
    <col min="3946" max="3946" width="9.42578125" style="1" customWidth="1"/>
    <col min="3947" max="3947" width="8.85546875" style="1" customWidth="1"/>
    <col min="3948" max="3948" width="12" style="1" customWidth="1"/>
    <col min="3949" max="3949" width="11.140625" style="1" customWidth="1"/>
    <col min="3950" max="3950" width="28.7109375" style="1" customWidth="1"/>
    <col min="3951" max="3951" width="5.85546875" style="1" customWidth="1"/>
    <col min="3952" max="4101" width="9.140625" style="1"/>
    <col min="4102" max="4102" width="3.42578125" style="1" customWidth="1"/>
    <col min="4103" max="4103" width="27.85546875" style="1" customWidth="1"/>
    <col min="4104" max="4104" width="11.85546875" style="1" customWidth="1"/>
    <col min="4105" max="4105" width="15.140625" style="1" customWidth="1"/>
    <col min="4106" max="4106" width="10.28515625" style="1" customWidth="1"/>
    <col min="4107" max="4108" width="9.7109375" style="1" customWidth="1"/>
    <col min="4109" max="4109" width="10.42578125" style="1" customWidth="1"/>
    <col min="4110" max="4110" width="10.42578125" style="1" bestFit="1" customWidth="1"/>
    <col min="4111" max="4111" width="16.28515625" style="1" customWidth="1"/>
    <col min="4112" max="4112" width="15.140625" style="1" customWidth="1"/>
    <col min="4113" max="4113" width="13.5703125" style="1" customWidth="1"/>
    <col min="4114" max="4114" width="10.5703125" style="1" customWidth="1"/>
    <col min="4115" max="4115" width="10.85546875" style="1" customWidth="1"/>
    <col min="4116" max="4116" width="18" style="1" customWidth="1"/>
    <col min="4117" max="4117" width="20.85546875" style="1" customWidth="1"/>
    <col min="4118" max="4118" width="13.5703125" style="1" customWidth="1"/>
    <col min="4119" max="4119" width="14.140625" style="1" customWidth="1"/>
    <col min="4120" max="4122" width="8.85546875" style="1" customWidth="1"/>
    <col min="4123" max="4123" width="9.28515625" style="1" customWidth="1"/>
    <col min="4124" max="4124" width="14" style="1" customWidth="1"/>
    <col min="4125" max="4126" width="8.85546875" style="1" customWidth="1"/>
    <col min="4127" max="4127" width="10.140625" style="1" customWidth="1"/>
    <col min="4128" max="4129" width="9.5703125" style="1" customWidth="1"/>
    <col min="4130" max="4130" width="9.85546875" style="1" customWidth="1"/>
    <col min="4131" max="4132" width="10.140625" style="1" customWidth="1"/>
    <col min="4133" max="4135" width="9.28515625" style="1" customWidth="1"/>
    <col min="4136" max="4136" width="9.85546875" style="1" customWidth="1"/>
    <col min="4137" max="4138" width="8.5703125" style="1" customWidth="1"/>
    <col min="4139" max="4141" width="8.85546875" style="1" customWidth="1"/>
    <col min="4142" max="4142" width="9.28515625" style="1" customWidth="1"/>
    <col min="4143" max="4144" width="8.85546875" style="1" customWidth="1"/>
    <col min="4145" max="4145" width="10" style="1" customWidth="1"/>
    <col min="4146" max="4147" width="8.85546875" style="1" customWidth="1"/>
    <col min="4148" max="4148" width="11" style="1" customWidth="1"/>
    <col min="4149" max="4150" width="9.5703125" style="1" customWidth="1"/>
    <col min="4151" max="4153" width="8.85546875" style="1" customWidth="1"/>
    <col min="4154" max="4154" width="10.42578125" style="1" customWidth="1"/>
    <col min="4155" max="4156" width="8.85546875" style="1" customWidth="1"/>
    <col min="4157" max="4157" width="9.7109375" style="1" customWidth="1"/>
    <col min="4158" max="4159" width="8.85546875" style="1" customWidth="1"/>
    <col min="4160" max="4160" width="9.28515625" style="1" customWidth="1"/>
    <col min="4161" max="4181" width="8.85546875" style="1" customWidth="1"/>
    <col min="4182" max="4182" width="9.85546875" style="1" customWidth="1"/>
    <col min="4183" max="4183" width="8.85546875" style="1" customWidth="1"/>
    <col min="4184" max="4184" width="10" style="1" customWidth="1"/>
    <col min="4185" max="4201" width="8.85546875" style="1" customWidth="1"/>
    <col min="4202" max="4202" width="9.42578125" style="1" customWidth="1"/>
    <col min="4203" max="4203" width="8.85546875" style="1" customWidth="1"/>
    <col min="4204" max="4204" width="12" style="1" customWidth="1"/>
    <col min="4205" max="4205" width="11.140625" style="1" customWidth="1"/>
    <col min="4206" max="4206" width="28.7109375" style="1" customWidth="1"/>
    <col min="4207" max="4207" width="5.85546875" style="1" customWidth="1"/>
    <col min="4208" max="4357" width="9.140625" style="1"/>
    <col min="4358" max="4358" width="3.42578125" style="1" customWidth="1"/>
    <col min="4359" max="4359" width="27.85546875" style="1" customWidth="1"/>
    <col min="4360" max="4360" width="11.85546875" style="1" customWidth="1"/>
    <col min="4361" max="4361" width="15.140625" style="1" customWidth="1"/>
    <col min="4362" max="4362" width="10.28515625" style="1" customWidth="1"/>
    <col min="4363" max="4364" width="9.7109375" style="1" customWidth="1"/>
    <col min="4365" max="4365" width="10.42578125" style="1" customWidth="1"/>
    <col min="4366" max="4366" width="10.42578125" style="1" bestFit="1" customWidth="1"/>
    <col min="4367" max="4367" width="16.28515625" style="1" customWidth="1"/>
    <col min="4368" max="4368" width="15.140625" style="1" customWidth="1"/>
    <col min="4369" max="4369" width="13.5703125" style="1" customWidth="1"/>
    <col min="4370" max="4370" width="10.5703125" style="1" customWidth="1"/>
    <col min="4371" max="4371" width="10.85546875" style="1" customWidth="1"/>
    <col min="4372" max="4372" width="18" style="1" customWidth="1"/>
    <col min="4373" max="4373" width="20.85546875" style="1" customWidth="1"/>
    <col min="4374" max="4374" width="13.5703125" style="1" customWidth="1"/>
    <col min="4375" max="4375" width="14.140625" style="1" customWidth="1"/>
    <col min="4376" max="4378" width="8.85546875" style="1" customWidth="1"/>
    <col min="4379" max="4379" width="9.28515625" style="1" customWidth="1"/>
    <col min="4380" max="4380" width="14" style="1" customWidth="1"/>
    <col min="4381" max="4382" width="8.85546875" style="1" customWidth="1"/>
    <col min="4383" max="4383" width="10.140625" style="1" customWidth="1"/>
    <col min="4384" max="4385" width="9.5703125" style="1" customWidth="1"/>
    <col min="4386" max="4386" width="9.85546875" style="1" customWidth="1"/>
    <col min="4387" max="4388" width="10.140625" style="1" customWidth="1"/>
    <col min="4389" max="4391" width="9.28515625" style="1" customWidth="1"/>
    <col min="4392" max="4392" width="9.85546875" style="1" customWidth="1"/>
    <col min="4393" max="4394" width="8.5703125" style="1" customWidth="1"/>
    <col min="4395" max="4397" width="8.85546875" style="1" customWidth="1"/>
    <col min="4398" max="4398" width="9.28515625" style="1" customWidth="1"/>
    <col min="4399" max="4400" width="8.85546875" style="1" customWidth="1"/>
    <col min="4401" max="4401" width="10" style="1" customWidth="1"/>
    <col min="4402" max="4403" width="8.85546875" style="1" customWidth="1"/>
    <col min="4404" max="4404" width="11" style="1" customWidth="1"/>
    <col min="4405" max="4406" width="9.5703125" style="1" customWidth="1"/>
    <col min="4407" max="4409" width="8.85546875" style="1" customWidth="1"/>
    <col min="4410" max="4410" width="10.42578125" style="1" customWidth="1"/>
    <col min="4411" max="4412" width="8.85546875" style="1" customWidth="1"/>
    <col min="4413" max="4413" width="9.7109375" style="1" customWidth="1"/>
    <col min="4414" max="4415" width="8.85546875" style="1" customWidth="1"/>
    <col min="4416" max="4416" width="9.28515625" style="1" customWidth="1"/>
    <col min="4417" max="4437" width="8.85546875" style="1" customWidth="1"/>
    <col min="4438" max="4438" width="9.85546875" style="1" customWidth="1"/>
    <col min="4439" max="4439" width="8.85546875" style="1" customWidth="1"/>
    <col min="4440" max="4440" width="10" style="1" customWidth="1"/>
    <col min="4441" max="4457" width="8.85546875" style="1" customWidth="1"/>
    <col min="4458" max="4458" width="9.42578125" style="1" customWidth="1"/>
    <col min="4459" max="4459" width="8.85546875" style="1" customWidth="1"/>
    <col min="4460" max="4460" width="12" style="1" customWidth="1"/>
    <col min="4461" max="4461" width="11.140625" style="1" customWidth="1"/>
    <col min="4462" max="4462" width="28.7109375" style="1" customWidth="1"/>
    <col min="4463" max="4463" width="5.85546875" style="1" customWidth="1"/>
    <col min="4464" max="4613" width="9.140625" style="1"/>
    <col min="4614" max="4614" width="3.42578125" style="1" customWidth="1"/>
    <col min="4615" max="4615" width="27.85546875" style="1" customWidth="1"/>
    <col min="4616" max="4616" width="11.85546875" style="1" customWidth="1"/>
    <col min="4617" max="4617" width="15.140625" style="1" customWidth="1"/>
    <col min="4618" max="4618" width="10.28515625" style="1" customWidth="1"/>
    <col min="4619" max="4620" width="9.7109375" style="1" customWidth="1"/>
    <col min="4621" max="4621" width="10.42578125" style="1" customWidth="1"/>
    <col min="4622" max="4622" width="10.42578125" style="1" bestFit="1" customWidth="1"/>
    <col min="4623" max="4623" width="16.28515625" style="1" customWidth="1"/>
    <col min="4624" max="4624" width="15.140625" style="1" customWidth="1"/>
    <col min="4625" max="4625" width="13.5703125" style="1" customWidth="1"/>
    <col min="4626" max="4626" width="10.5703125" style="1" customWidth="1"/>
    <col min="4627" max="4627" width="10.85546875" style="1" customWidth="1"/>
    <col min="4628" max="4628" width="18" style="1" customWidth="1"/>
    <col min="4629" max="4629" width="20.85546875" style="1" customWidth="1"/>
    <col min="4630" max="4630" width="13.5703125" style="1" customWidth="1"/>
    <col min="4631" max="4631" width="14.140625" style="1" customWidth="1"/>
    <col min="4632" max="4634" width="8.85546875" style="1" customWidth="1"/>
    <col min="4635" max="4635" width="9.28515625" style="1" customWidth="1"/>
    <col min="4636" max="4636" width="14" style="1" customWidth="1"/>
    <col min="4637" max="4638" width="8.85546875" style="1" customWidth="1"/>
    <col min="4639" max="4639" width="10.140625" style="1" customWidth="1"/>
    <col min="4640" max="4641" width="9.5703125" style="1" customWidth="1"/>
    <col min="4642" max="4642" width="9.85546875" style="1" customWidth="1"/>
    <col min="4643" max="4644" width="10.140625" style="1" customWidth="1"/>
    <col min="4645" max="4647" width="9.28515625" style="1" customWidth="1"/>
    <col min="4648" max="4648" width="9.85546875" style="1" customWidth="1"/>
    <col min="4649" max="4650" width="8.5703125" style="1" customWidth="1"/>
    <col min="4651" max="4653" width="8.85546875" style="1" customWidth="1"/>
    <col min="4654" max="4654" width="9.28515625" style="1" customWidth="1"/>
    <col min="4655" max="4656" width="8.85546875" style="1" customWidth="1"/>
    <col min="4657" max="4657" width="10" style="1" customWidth="1"/>
    <col min="4658" max="4659" width="8.85546875" style="1" customWidth="1"/>
    <col min="4660" max="4660" width="11" style="1" customWidth="1"/>
    <col min="4661" max="4662" width="9.5703125" style="1" customWidth="1"/>
    <col min="4663" max="4665" width="8.85546875" style="1" customWidth="1"/>
    <col min="4666" max="4666" width="10.42578125" style="1" customWidth="1"/>
    <col min="4667" max="4668" width="8.85546875" style="1" customWidth="1"/>
    <col min="4669" max="4669" width="9.7109375" style="1" customWidth="1"/>
    <col min="4670" max="4671" width="8.85546875" style="1" customWidth="1"/>
    <col min="4672" max="4672" width="9.28515625" style="1" customWidth="1"/>
    <col min="4673" max="4693" width="8.85546875" style="1" customWidth="1"/>
    <col min="4694" max="4694" width="9.85546875" style="1" customWidth="1"/>
    <col min="4695" max="4695" width="8.85546875" style="1" customWidth="1"/>
    <col min="4696" max="4696" width="10" style="1" customWidth="1"/>
    <col min="4697" max="4713" width="8.85546875" style="1" customWidth="1"/>
    <col min="4714" max="4714" width="9.42578125" style="1" customWidth="1"/>
    <col min="4715" max="4715" width="8.85546875" style="1" customWidth="1"/>
    <col min="4716" max="4716" width="12" style="1" customWidth="1"/>
    <col min="4717" max="4717" width="11.140625" style="1" customWidth="1"/>
    <col min="4718" max="4718" width="28.7109375" style="1" customWidth="1"/>
    <col min="4719" max="4719" width="5.85546875" style="1" customWidth="1"/>
    <col min="4720" max="4869" width="9.140625" style="1"/>
    <col min="4870" max="4870" width="3.42578125" style="1" customWidth="1"/>
    <col min="4871" max="4871" width="27.85546875" style="1" customWidth="1"/>
    <col min="4872" max="4872" width="11.85546875" style="1" customWidth="1"/>
    <col min="4873" max="4873" width="15.140625" style="1" customWidth="1"/>
    <col min="4874" max="4874" width="10.28515625" style="1" customWidth="1"/>
    <col min="4875" max="4876" width="9.7109375" style="1" customWidth="1"/>
    <col min="4877" max="4877" width="10.42578125" style="1" customWidth="1"/>
    <col min="4878" max="4878" width="10.42578125" style="1" bestFit="1" customWidth="1"/>
    <col min="4879" max="4879" width="16.28515625" style="1" customWidth="1"/>
    <col min="4880" max="4880" width="15.140625" style="1" customWidth="1"/>
    <col min="4881" max="4881" width="13.5703125" style="1" customWidth="1"/>
    <col min="4882" max="4882" width="10.5703125" style="1" customWidth="1"/>
    <col min="4883" max="4883" width="10.85546875" style="1" customWidth="1"/>
    <col min="4884" max="4884" width="18" style="1" customWidth="1"/>
    <col min="4885" max="4885" width="20.85546875" style="1" customWidth="1"/>
    <col min="4886" max="4886" width="13.5703125" style="1" customWidth="1"/>
    <col min="4887" max="4887" width="14.140625" style="1" customWidth="1"/>
    <col min="4888" max="4890" width="8.85546875" style="1" customWidth="1"/>
    <col min="4891" max="4891" width="9.28515625" style="1" customWidth="1"/>
    <col min="4892" max="4892" width="14" style="1" customWidth="1"/>
    <col min="4893" max="4894" width="8.85546875" style="1" customWidth="1"/>
    <col min="4895" max="4895" width="10.140625" style="1" customWidth="1"/>
    <col min="4896" max="4897" width="9.5703125" style="1" customWidth="1"/>
    <col min="4898" max="4898" width="9.85546875" style="1" customWidth="1"/>
    <col min="4899" max="4900" width="10.140625" style="1" customWidth="1"/>
    <col min="4901" max="4903" width="9.28515625" style="1" customWidth="1"/>
    <col min="4904" max="4904" width="9.85546875" style="1" customWidth="1"/>
    <col min="4905" max="4906" width="8.5703125" style="1" customWidth="1"/>
    <col min="4907" max="4909" width="8.85546875" style="1" customWidth="1"/>
    <col min="4910" max="4910" width="9.28515625" style="1" customWidth="1"/>
    <col min="4911" max="4912" width="8.85546875" style="1" customWidth="1"/>
    <col min="4913" max="4913" width="10" style="1" customWidth="1"/>
    <col min="4914" max="4915" width="8.85546875" style="1" customWidth="1"/>
    <col min="4916" max="4916" width="11" style="1" customWidth="1"/>
    <col min="4917" max="4918" width="9.5703125" style="1" customWidth="1"/>
    <col min="4919" max="4921" width="8.85546875" style="1" customWidth="1"/>
    <col min="4922" max="4922" width="10.42578125" style="1" customWidth="1"/>
    <col min="4923" max="4924" width="8.85546875" style="1" customWidth="1"/>
    <col min="4925" max="4925" width="9.7109375" style="1" customWidth="1"/>
    <col min="4926" max="4927" width="8.85546875" style="1" customWidth="1"/>
    <col min="4928" max="4928" width="9.28515625" style="1" customWidth="1"/>
    <col min="4929" max="4949" width="8.85546875" style="1" customWidth="1"/>
    <col min="4950" max="4950" width="9.85546875" style="1" customWidth="1"/>
    <col min="4951" max="4951" width="8.85546875" style="1" customWidth="1"/>
    <col min="4952" max="4952" width="10" style="1" customWidth="1"/>
    <col min="4953" max="4969" width="8.85546875" style="1" customWidth="1"/>
    <col min="4970" max="4970" width="9.42578125" style="1" customWidth="1"/>
    <col min="4971" max="4971" width="8.85546875" style="1" customWidth="1"/>
    <col min="4972" max="4972" width="12" style="1" customWidth="1"/>
    <col min="4973" max="4973" width="11.140625" style="1" customWidth="1"/>
    <col min="4974" max="4974" width="28.7109375" style="1" customWidth="1"/>
    <col min="4975" max="4975" width="5.85546875" style="1" customWidth="1"/>
    <col min="4976" max="5125" width="9.140625" style="1"/>
    <col min="5126" max="5126" width="3.42578125" style="1" customWidth="1"/>
    <col min="5127" max="5127" width="27.85546875" style="1" customWidth="1"/>
    <col min="5128" max="5128" width="11.85546875" style="1" customWidth="1"/>
    <col min="5129" max="5129" width="15.140625" style="1" customWidth="1"/>
    <col min="5130" max="5130" width="10.28515625" style="1" customWidth="1"/>
    <col min="5131" max="5132" width="9.7109375" style="1" customWidth="1"/>
    <col min="5133" max="5133" width="10.42578125" style="1" customWidth="1"/>
    <col min="5134" max="5134" width="10.42578125" style="1" bestFit="1" customWidth="1"/>
    <col min="5135" max="5135" width="16.28515625" style="1" customWidth="1"/>
    <col min="5136" max="5136" width="15.140625" style="1" customWidth="1"/>
    <col min="5137" max="5137" width="13.5703125" style="1" customWidth="1"/>
    <col min="5138" max="5138" width="10.5703125" style="1" customWidth="1"/>
    <col min="5139" max="5139" width="10.85546875" style="1" customWidth="1"/>
    <col min="5140" max="5140" width="18" style="1" customWidth="1"/>
    <col min="5141" max="5141" width="20.85546875" style="1" customWidth="1"/>
    <col min="5142" max="5142" width="13.5703125" style="1" customWidth="1"/>
    <col min="5143" max="5143" width="14.140625" style="1" customWidth="1"/>
    <col min="5144" max="5146" width="8.85546875" style="1" customWidth="1"/>
    <col min="5147" max="5147" width="9.28515625" style="1" customWidth="1"/>
    <col min="5148" max="5148" width="14" style="1" customWidth="1"/>
    <col min="5149" max="5150" width="8.85546875" style="1" customWidth="1"/>
    <col min="5151" max="5151" width="10.140625" style="1" customWidth="1"/>
    <col min="5152" max="5153" width="9.5703125" style="1" customWidth="1"/>
    <col min="5154" max="5154" width="9.85546875" style="1" customWidth="1"/>
    <col min="5155" max="5156" width="10.140625" style="1" customWidth="1"/>
    <col min="5157" max="5159" width="9.28515625" style="1" customWidth="1"/>
    <col min="5160" max="5160" width="9.85546875" style="1" customWidth="1"/>
    <col min="5161" max="5162" width="8.5703125" style="1" customWidth="1"/>
    <col min="5163" max="5165" width="8.85546875" style="1" customWidth="1"/>
    <col min="5166" max="5166" width="9.28515625" style="1" customWidth="1"/>
    <col min="5167" max="5168" width="8.85546875" style="1" customWidth="1"/>
    <col min="5169" max="5169" width="10" style="1" customWidth="1"/>
    <col min="5170" max="5171" width="8.85546875" style="1" customWidth="1"/>
    <col min="5172" max="5172" width="11" style="1" customWidth="1"/>
    <col min="5173" max="5174" width="9.5703125" style="1" customWidth="1"/>
    <col min="5175" max="5177" width="8.85546875" style="1" customWidth="1"/>
    <col min="5178" max="5178" width="10.42578125" style="1" customWidth="1"/>
    <col min="5179" max="5180" width="8.85546875" style="1" customWidth="1"/>
    <col min="5181" max="5181" width="9.7109375" style="1" customWidth="1"/>
    <col min="5182" max="5183" width="8.85546875" style="1" customWidth="1"/>
    <col min="5184" max="5184" width="9.28515625" style="1" customWidth="1"/>
    <col min="5185" max="5205" width="8.85546875" style="1" customWidth="1"/>
    <col min="5206" max="5206" width="9.85546875" style="1" customWidth="1"/>
    <col min="5207" max="5207" width="8.85546875" style="1" customWidth="1"/>
    <col min="5208" max="5208" width="10" style="1" customWidth="1"/>
    <col min="5209" max="5225" width="8.85546875" style="1" customWidth="1"/>
    <col min="5226" max="5226" width="9.42578125" style="1" customWidth="1"/>
    <col min="5227" max="5227" width="8.85546875" style="1" customWidth="1"/>
    <col min="5228" max="5228" width="12" style="1" customWidth="1"/>
    <col min="5229" max="5229" width="11.140625" style="1" customWidth="1"/>
    <col min="5230" max="5230" width="28.7109375" style="1" customWidth="1"/>
    <col min="5231" max="5231" width="5.85546875" style="1" customWidth="1"/>
    <col min="5232" max="5381" width="9.140625" style="1"/>
    <col min="5382" max="5382" width="3.42578125" style="1" customWidth="1"/>
    <col min="5383" max="5383" width="27.85546875" style="1" customWidth="1"/>
    <col min="5384" max="5384" width="11.85546875" style="1" customWidth="1"/>
    <col min="5385" max="5385" width="15.140625" style="1" customWidth="1"/>
    <col min="5386" max="5386" width="10.28515625" style="1" customWidth="1"/>
    <col min="5387" max="5388" width="9.7109375" style="1" customWidth="1"/>
    <col min="5389" max="5389" width="10.42578125" style="1" customWidth="1"/>
    <col min="5390" max="5390" width="10.42578125" style="1" bestFit="1" customWidth="1"/>
    <col min="5391" max="5391" width="16.28515625" style="1" customWidth="1"/>
    <col min="5392" max="5392" width="15.140625" style="1" customWidth="1"/>
    <col min="5393" max="5393" width="13.5703125" style="1" customWidth="1"/>
    <col min="5394" max="5394" width="10.5703125" style="1" customWidth="1"/>
    <col min="5395" max="5395" width="10.85546875" style="1" customWidth="1"/>
    <col min="5396" max="5396" width="18" style="1" customWidth="1"/>
    <col min="5397" max="5397" width="20.85546875" style="1" customWidth="1"/>
    <col min="5398" max="5398" width="13.5703125" style="1" customWidth="1"/>
    <col min="5399" max="5399" width="14.140625" style="1" customWidth="1"/>
    <col min="5400" max="5402" width="8.85546875" style="1" customWidth="1"/>
    <col min="5403" max="5403" width="9.28515625" style="1" customWidth="1"/>
    <col min="5404" max="5404" width="14" style="1" customWidth="1"/>
    <col min="5405" max="5406" width="8.85546875" style="1" customWidth="1"/>
    <col min="5407" max="5407" width="10.140625" style="1" customWidth="1"/>
    <col min="5408" max="5409" width="9.5703125" style="1" customWidth="1"/>
    <col min="5410" max="5410" width="9.85546875" style="1" customWidth="1"/>
    <col min="5411" max="5412" width="10.140625" style="1" customWidth="1"/>
    <col min="5413" max="5415" width="9.28515625" style="1" customWidth="1"/>
    <col min="5416" max="5416" width="9.85546875" style="1" customWidth="1"/>
    <col min="5417" max="5418" width="8.5703125" style="1" customWidth="1"/>
    <col min="5419" max="5421" width="8.85546875" style="1" customWidth="1"/>
    <col min="5422" max="5422" width="9.28515625" style="1" customWidth="1"/>
    <col min="5423" max="5424" width="8.85546875" style="1" customWidth="1"/>
    <col min="5425" max="5425" width="10" style="1" customWidth="1"/>
    <col min="5426" max="5427" width="8.85546875" style="1" customWidth="1"/>
    <col min="5428" max="5428" width="11" style="1" customWidth="1"/>
    <col min="5429" max="5430" width="9.5703125" style="1" customWidth="1"/>
    <col min="5431" max="5433" width="8.85546875" style="1" customWidth="1"/>
    <col min="5434" max="5434" width="10.42578125" style="1" customWidth="1"/>
    <col min="5435" max="5436" width="8.85546875" style="1" customWidth="1"/>
    <col min="5437" max="5437" width="9.7109375" style="1" customWidth="1"/>
    <col min="5438" max="5439" width="8.85546875" style="1" customWidth="1"/>
    <col min="5440" max="5440" width="9.28515625" style="1" customWidth="1"/>
    <col min="5441" max="5461" width="8.85546875" style="1" customWidth="1"/>
    <col min="5462" max="5462" width="9.85546875" style="1" customWidth="1"/>
    <col min="5463" max="5463" width="8.85546875" style="1" customWidth="1"/>
    <col min="5464" max="5464" width="10" style="1" customWidth="1"/>
    <col min="5465" max="5481" width="8.85546875" style="1" customWidth="1"/>
    <col min="5482" max="5482" width="9.42578125" style="1" customWidth="1"/>
    <col min="5483" max="5483" width="8.85546875" style="1" customWidth="1"/>
    <col min="5484" max="5484" width="12" style="1" customWidth="1"/>
    <col min="5485" max="5485" width="11.140625" style="1" customWidth="1"/>
    <col min="5486" max="5486" width="28.7109375" style="1" customWidth="1"/>
    <col min="5487" max="5487" width="5.85546875" style="1" customWidth="1"/>
    <col min="5488" max="5637" width="9.140625" style="1"/>
    <col min="5638" max="5638" width="3.42578125" style="1" customWidth="1"/>
    <col min="5639" max="5639" width="27.85546875" style="1" customWidth="1"/>
    <col min="5640" max="5640" width="11.85546875" style="1" customWidth="1"/>
    <col min="5641" max="5641" width="15.140625" style="1" customWidth="1"/>
    <col min="5642" max="5642" width="10.28515625" style="1" customWidth="1"/>
    <col min="5643" max="5644" width="9.7109375" style="1" customWidth="1"/>
    <col min="5645" max="5645" width="10.42578125" style="1" customWidth="1"/>
    <col min="5646" max="5646" width="10.42578125" style="1" bestFit="1" customWidth="1"/>
    <col min="5647" max="5647" width="16.28515625" style="1" customWidth="1"/>
    <col min="5648" max="5648" width="15.140625" style="1" customWidth="1"/>
    <col min="5649" max="5649" width="13.5703125" style="1" customWidth="1"/>
    <col min="5650" max="5650" width="10.5703125" style="1" customWidth="1"/>
    <col min="5651" max="5651" width="10.85546875" style="1" customWidth="1"/>
    <col min="5652" max="5652" width="18" style="1" customWidth="1"/>
    <col min="5653" max="5653" width="20.85546875" style="1" customWidth="1"/>
    <col min="5654" max="5654" width="13.5703125" style="1" customWidth="1"/>
    <col min="5655" max="5655" width="14.140625" style="1" customWidth="1"/>
    <col min="5656" max="5658" width="8.85546875" style="1" customWidth="1"/>
    <col min="5659" max="5659" width="9.28515625" style="1" customWidth="1"/>
    <col min="5660" max="5660" width="14" style="1" customWidth="1"/>
    <col min="5661" max="5662" width="8.85546875" style="1" customWidth="1"/>
    <col min="5663" max="5663" width="10.140625" style="1" customWidth="1"/>
    <col min="5664" max="5665" width="9.5703125" style="1" customWidth="1"/>
    <col min="5666" max="5666" width="9.85546875" style="1" customWidth="1"/>
    <col min="5667" max="5668" width="10.140625" style="1" customWidth="1"/>
    <col min="5669" max="5671" width="9.28515625" style="1" customWidth="1"/>
    <col min="5672" max="5672" width="9.85546875" style="1" customWidth="1"/>
    <col min="5673" max="5674" width="8.5703125" style="1" customWidth="1"/>
    <col min="5675" max="5677" width="8.85546875" style="1" customWidth="1"/>
    <col min="5678" max="5678" width="9.28515625" style="1" customWidth="1"/>
    <col min="5679" max="5680" width="8.85546875" style="1" customWidth="1"/>
    <col min="5681" max="5681" width="10" style="1" customWidth="1"/>
    <col min="5682" max="5683" width="8.85546875" style="1" customWidth="1"/>
    <col min="5684" max="5684" width="11" style="1" customWidth="1"/>
    <col min="5685" max="5686" width="9.5703125" style="1" customWidth="1"/>
    <col min="5687" max="5689" width="8.85546875" style="1" customWidth="1"/>
    <col min="5690" max="5690" width="10.42578125" style="1" customWidth="1"/>
    <col min="5691" max="5692" width="8.85546875" style="1" customWidth="1"/>
    <col min="5693" max="5693" width="9.7109375" style="1" customWidth="1"/>
    <col min="5694" max="5695" width="8.85546875" style="1" customWidth="1"/>
    <col min="5696" max="5696" width="9.28515625" style="1" customWidth="1"/>
    <col min="5697" max="5717" width="8.85546875" style="1" customWidth="1"/>
    <col min="5718" max="5718" width="9.85546875" style="1" customWidth="1"/>
    <col min="5719" max="5719" width="8.85546875" style="1" customWidth="1"/>
    <col min="5720" max="5720" width="10" style="1" customWidth="1"/>
    <col min="5721" max="5737" width="8.85546875" style="1" customWidth="1"/>
    <col min="5738" max="5738" width="9.42578125" style="1" customWidth="1"/>
    <col min="5739" max="5739" width="8.85546875" style="1" customWidth="1"/>
    <col min="5740" max="5740" width="12" style="1" customWidth="1"/>
    <col min="5741" max="5741" width="11.140625" style="1" customWidth="1"/>
    <col min="5742" max="5742" width="28.7109375" style="1" customWidth="1"/>
    <col min="5743" max="5743" width="5.85546875" style="1" customWidth="1"/>
    <col min="5744" max="5893" width="9.140625" style="1"/>
    <col min="5894" max="5894" width="3.42578125" style="1" customWidth="1"/>
    <col min="5895" max="5895" width="27.85546875" style="1" customWidth="1"/>
    <col min="5896" max="5896" width="11.85546875" style="1" customWidth="1"/>
    <col min="5897" max="5897" width="15.140625" style="1" customWidth="1"/>
    <col min="5898" max="5898" width="10.28515625" style="1" customWidth="1"/>
    <col min="5899" max="5900" width="9.7109375" style="1" customWidth="1"/>
    <col min="5901" max="5901" width="10.42578125" style="1" customWidth="1"/>
    <col min="5902" max="5902" width="10.42578125" style="1" bestFit="1" customWidth="1"/>
    <col min="5903" max="5903" width="16.28515625" style="1" customWidth="1"/>
    <col min="5904" max="5904" width="15.140625" style="1" customWidth="1"/>
    <col min="5905" max="5905" width="13.5703125" style="1" customWidth="1"/>
    <col min="5906" max="5906" width="10.5703125" style="1" customWidth="1"/>
    <col min="5907" max="5907" width="10.85546875" style="1" customWidth="1"/>
    <col min="5908" max="5908" width="18" style="1" customWidth="1"/>
    <col min="5909" max="5909" width="20.85546875" style="1" customWidth="1"/>
    <col min="5910" max="5910" width="13.5703125" style="1" customWidth="1"/>
    <col min="5911" max="5911" width="14.140625" style="1" customWidth="1"/>
    <col min="5912" max="5914" width="8.85546875" style="1" customWidth="1"/>
    <col min="5915" max="5915" width="9.28515625" style="1" customWidth="1"/>
    <col min="5916" max="5916" width="14" style="1" customWidth="1"/>
    <col min="5917" max="5918" width="8.85546875" style="1" customWidth="1"/>
    <col min="5919" max="5919" width="10.140625" style="1" customWidth="1"/>
    <col min="5920" max="5921" width="9.5703125" style="1" customWidth="1"/>
    <col min="5922" max="5922" width="9.85546875" style="1" customWidth="1"/>
    <col min="5923" max="5924" width="10.140625" style="1" customWidth="1"/>
    <col min="5925" max="5927" width="9.28515625" style="1" customWidth="1"/>
    <col min="5928" max="5928" width="9.85546875" style="1" customWidth="1"/>
    <col min="5929" max="5930" width="8.5703125" style="1" customWidth="1"/>
    <col min="5931" max="5933" width="8.85546875" style="1" customWidth="1"/>
    <col min="5934" max="5934" width="9.28515625" style="1" customWidth="1"/>
    <col min="5935" max="5936" width="8.85546875" style="1" customWidth="1"/>
    <col min="5937" max="5937" width="10" style="1" customWidth="1"/>
    <col min="5938" max="5939" width="8.85546875" style="1" customWidth="1"/>
    <col min="5940" max="5940" width="11" style="1" customWidth="1"/>
    <col min="5941" max="5942" width="9.5703125" style="1" customWidth="1"/>
    <col min="5943" max="5945" width="8.85546875" style="1" customWidth="1"/>
    <col min="5946" max="5946" width="10.42578125" style="1" customWidth="1"/>
    <col min="5947" max="5948" width="8.85546875" style="1" customWidth="1"/>
    <col min="5949" max="5949" width="9.7109375" style="1" customWidth="1"/>
    <col min="5950" max="5951" width="8.85546875" style="1" customWidth="1"/>
    <col min="5952" max="5952" width="9.28515625" style="1" customWidth="1"/>
    <col min="5953" max="5973" width="8.85546875" style="1" customWidth="1"/>
    <col min="5974" max="5974" width="9.85546875" style="1" customWidth="1"/>
    <col min="5975" max="5975" width="8.85546875" style="1" customWidth="1"/>
    <col min="5976" max="5976" width="10" style="1" customWidth="1"/>
    <col min="5977" max="5993" width="8.85546875" style="1" customWidth="1"/>
    <col min="5994" max="5994" width="9.42578125" style="1" customWidth="1"/>
    <col min="5995" max="5995" width="8.85546875" style="1" customWidth="1"/>
    <col min="5996" max="5996" width="12" style="1" customWidth="1"/>
    <col min="5997" max="5997" width="11.140625" style="1" customWidth="1"/>
    <col min="5998" max="5998" width="28.7109375" style="1" customWidth="1"/>
    <col min="5999" max="5999" width="5.85546875" style="1" customWidth="1"/>
    <col min="6000" max="6149" width="9.140625" style="1"/>
    <col min="6150" max="6150" width="3.42578125" style="1" customWidth="1"/>
    <col min="6151" max="6151" width="27.85546875" style="1" customWidth="1"/>
    <col min="6152" max="6152" width="11.85546875" style="1" customWidth="1"/>
    <col min="6153" max="6153" width="15.140625" style="1" customWidth="1"/>
    <col min="6154" max="6154" width="10.28515625" style="1" customWidth="1"/>
    <col min="6155" max="6156" width="9.7109375" style="1" customWidth="1"/>
    <col min="6157" max="6157" width="10.42578125" style="1" customWidth="1"/>
    <col min="6158" max="6158" width="10.42578125" style="1" bestFit="1" customWidth="1"/>
    <col min="6159" max="6159" width="16.28515625" style="1" customWidth="1"/>
    <col min="6160" max="6160" width="15.140625" style="1" customWidth="1"/>
    <col min="6161" max="6161" width="13.5703125" style="1" customWidth="1"/>
    <col min="6162" max="6162" width="10.5703125" style="1" customWidth="1"/>
    <col min="6163" max="6163" width="10.85546875" style="1" customWidth="1"/>
    <col min="6164" max="6164" width="18" style="1" customWidth="1"/>
    <col min="6165" max="6165" width="20.85546875" style="1" customWidth="1"/>
    <col min="6166" max="6166" width="13.5703125" style="1" customWidth="1"/>
    <col min="6167" max="6167" width="14.140625" style="1" customWidth="1"/>
    <col min="6168" max="6170" width="8.85546875" style="1" customWidth="1"/>
    <col min="6171" max="6171" width="9.28515625" style="1" customWidth="1"/>
    <col min="6172" max="6172" width="14" style="1" customWidth="1"/>
    <col min="6173" max="6174" width="8.85546875" style="1" customWidth="1"/>
    <col min="6175" max="6175" width="10.140625" style="1" customWidth="1"/>
    <col min="6176" max="6177" width="9.5703125" style="1" customWidth="1"/>
    <col min="6178" max="6178" width="9.85546875" style="1" customWidth="1"/>
    <col min="6179" max="6180" width="10.140625" style="1" customWidth="1"/>
    <col min="6181" max="6183" width="9.28515625" style="1" customWidth="1"/>
    <col min="6184" max="6184" width="9.85546875" style="1" customWidth="1"/>
    <col min="6185" max="6186" width="8.5703125" style="1" customWidth="1"/>
    <col min="6187" max="6189" width="8.85546875" style="1" customWidth="1"/>
    <col min="6190" max="6190" width="9.28515625" style="1" customWidth="1"/>
    <col min="6191" max="6192" width="8.85546875" style="1" customWidth="1"/>
    <col min="6193" max="6193" width="10" style="1" customWidth="1"/>
    <col min="6194" max="6195" width="8.85546875" style="1" customWidth="1"/>
    <col min="6196" max="6196" width="11" style="1" customWidth="1"/>
    <col min="6197" max="6198" width="9.5703125" style="1" customWidth="1"/>
    <col min="6199" max="6201" width="8.85546875" style="1" customWidth="1"/>
    <col min="6202" max="6202" width="10.42578125" style="1" customWidth="1"/>
    <col min="6203" max="6204" width="8.85546875" style="1" customWidth="1"/>
    <col min="6205" max="6205" width="9.7109375" style="1" customWidth="1"/>
    <col min="6206" max="6207" width="8.85546875" style="1" customWidth="1"/>
    <col min="6208" max="6208" width="9.28515625" style="1" customWidth="1"/>
    <col min="6209" max="6229" width="8.85546875" style="1" customWidth="1"/>
    <col min="6230" max="6230" width="9.85546875" style="1" customWidth="1"/>
    <col min="6231" max="6231" width="8.85546875" style="1" customWidth="1"/>
    <col min="6232" max="6232" width="10" style="1" customWidth="1"/>
    <col min="6233" max="6249" width="8.85546875" style="1" customWidth="1"/>
    <col min="6250" max="6250" width="9.42578125" style="1" customWidth="1"/>
    <col min="6251" max="6251" width="8.85546875" style="1" customWidth="1"/>
    <col min="6252" max="6252" width="12" style="1" customWidth="1"/>
    <col min="6253" max="6253" width="11.140625" style="1" customWidth="1"/>
    <col min="6254" max="6254" width="28.7109375" style="1" customWidth="1"/>
    <col min="6255" max="6255" width="5.85546875" style="1" customWidth="1"/>
    <col min="6256" max="6405" width="9.140625" style="1"/>
    <col min="6406" max="6406" width="3.42578125" style="1" customWidth="1"/>
    <col min="6407" max="6407" width="27.85546875" style="1" customWidth="1"/>
    <col min="6408" max="6408" width="11.85546875" style="1" customWidth="1"/>
    <col min="6409" max="6409" width="15.140625" style="1" customWidth="1"/>
    <col min="6410" max="6410" width="10.28515625" style="1" customWidth="1"/>
    <col min="6411" max="6412" width="9.7109375" style="1" customWidth="1"/>
    <col min="6413" max="6413" width="10.42578125" style="1" customWidth="1"/>
    <col min="6414" max="6414" width="10.42578125" style="1" bestFit="1" customWidth="1"/>
    <col min="6415" max="6415" width="16.28515625" style="1" customWidth="1"/>
    <col min="6416" max="6416" width="15.140625" style="1" customWidth="1"/>
    <col min="6417" max="6417" width="13.5703125" style="1" customWidth="1"/>
    <col min="6418" max="6418" width="10.5703125" style="1" customWidth="1"/>
    <col min="6419" max="6419" width="10.85546875" style="1" customWidth="1"/>
    <col min="6420" max="6420" width="18" style="1" customWidth="1"/>
    <col min="6421" max="6421" width="20.85546875" style="1" customWidth="1"/>
    <col min="6422" max="6422" width="13.5703125" style="1" customWidth="1"/>
    <col min="6423" max="6423" width="14.140625" style="1" customWidth="1"/>
    <col min="6424" max="6426" width="8.85546875" style="1" customWidth="1"/>
    <col min="6427" max="6427" width="9.28515625" style="1" customWidth="1"/>
    <col min="6428" max="6428" width="14" style="1" customWidth="1"/>
    <col min="6429" max="6430" width="8.85546875" style="1" customWidth="1"/>
    <col min="6431" max="6431" width="10.140625" style="1" customWidth="1"/>
    <col min="6432" max="6433" width="9.5703125" style="1" customWidth="1"/>
    <col min="6434" max="6434" width="9.85546875" style="1" customWidth="1"/>
    <col min="6435" max="6436" width="10.140625" style="1" customWidth="1"/>
    <col min="6437" max="6439" width="9.28515625" style="1" customWidth="1"/>
    <col min="6440" max="6440" width="9.85546875" style="1" customWidth="1"/>
    <col min="6441" max="6442" width="8.5703125" style="1" customWidth="1"/>
    <col min="6443" max="6445" width="8.85546875" style="1" customWidth="1"/>
    <col min="6446" max="6446" width="9.28515625" style="1" customWidth="1"/>
    <col min="6447" max="6448" width="8.85546875" style="1" customWidth="1"/>
    <col min="6449" max="6449" width="10" style="1" customWidth="1"/>
    <col min="6450" max="6451" width="8.85546875" style="1" customWidth="1"/>
    <col min="6452" max="6452" width="11" style="1" customWidth="1"/>
    <col min="6453" max="6454" width="9.5703125" style="1" customWidth="1"/>
    <col min="6455" max="6457" width="8.85546875" style="1" customWidth="1"/>
    <col min="6458" max="6458" width="10.42578125" style="1" customWidth="1"/>
    <col min="6459" max="6460" width="8.85546875" style="1" customWidth="1"/>
    <col min="6461" max="6461" width="9.7109375" style="1" customWidth="1"/>
    <col min="6462" max="6463" width="8.85546875" style="1" customWidth="1"/>
    <col min="6464" max="6464" width="9.28515625" style="1" customWidth="1"/>
    <col min="6465" max="6485" width="8.85546875" style="1" customWidth="1"/>
    <col min="6486" max="6486" width="9.85546875" style="1" customWidth="1"/>
    <col min="6487" max="6487" width="8.85546875" style="1" customWidth="1"/>
    <col min="6488" max="6488" width="10" style="1" customWidth="1"/>
    <col min="6489" max="6505" width="8.85546875" style="1" customWidth="1"/>
    <col min="6506" max="6506" width="9.42578125" style="1" customWidth="1"/>
    <col min="6507" max="6507" width="8.85546875" style="1" customWidth="1"/>
    <col min="6508" max="6508" width="12" style="1" customWidth="1"/>
    <col min="6509" max="6509" width="11.140625" style="1" customWidth="1"/>
    <col min="6510" max="6510" width="28.7109375" style="1" customWidth="1"/>
    <col min="6511" max="6511" width="5.85546875" style="1" customWidth="1"/>
    <col min="6512" max="6661" width="9.140625" style="1"/>
    <col min="6662" max="6662" width="3.42578125" style="1" customWidth="1"/>
    <col min="6663" max="6663" width="27.85546875" style="1" customWidth="1"/>
    <col min="6664" max="6664" width="11.85546875" style="1" customWidth="1"/>
    <col min="6665" max="6665" width="15.140625" style="1" customWidth="1"/>
    <col min="6666" max="6666" width="10.28515625" style="1" customWidth="1"/>
    <col min="6667" max="6668" width="9.7109375" style="1" customWidth="1"/>
    <col min="6669" max="6669" width="10.42578125" style="1" customWidth="1"/>
    <col min="6670" max="6670" width="10.42578125" style="1" bestFit="1" customWidth="1"/>
    <col min="6671" max="6671" width="16.28515625" style="1" customWidth="1"/>
    <col min="6672" max="6672" width="15.140625" style="1" customWidth="1"/>
    <col min="6673" max="6673" width="13.5703125" style="1" customWidth="1"/>
    <col min="6674" max="6674" width="10.5703125" style="1" customWidth="1"/>
    <col min="6675" max="6675" width="10.85546875" style="1" customWidth="1"/>
    <col min="6676" max="6676" width="18" style="1" customWidth="1"/>
    <col min="6677" max="6677" width="20.85546875" style="1" customWidth="1"/>
    <col min="6678" max="6678" width="13.5703125" style="1" customWidth="1"/>
    <col min="6679" max="6679" width="14.140625" style="1" customWidth="1"/>
    <col min="6680" max="6682" width="8.85546875" style="1" customWidth="1"/>
    <col min="6683" max="6683" width="9.28515625" style="1" customWidth="1"/>
    <col min="6684" max="6684" width="14" style="1" customWidth="1"/>
    <col min="6685" max="6686" width="8.85546875" style="1" customWidth="1"/>
    <col min="6687" max="6687" width="10.140625" style="1" customWidth="1"/>
    <col min="6688" max="6689" width="9.5703125" style="1" customWidth="1"/>
    <col min="6690" max="6690" width="9.85546875" style="1" customWidth="1"/>
    <col min="6691" max="6692" width="10.140625" style="1" customWidth="1"/>
    <col min="6693" max="6695" width="9.28515625" style="1" customWidth="1"/>
    <col min="6696" max="6696" width="9.85546875" style="1" customWidth="1"/>
    <col min="6697" max="6698" width="8.5703125" style="1" customWidth="1"/>
    <col min="6699" max="6701" width="8.85546875" style="1" customWidth="1"/>
    <col min="6702" max="6702" width="9.28515625" style="1" customWidth="1"/>
    <col min="6703" max="6704" width="8.85546875" style="1" customWidth="1"/>
    <col min="6705" max="6705" width="10" style="1" customWidth="1"/>
    <col min="6706" max="6707" width="8.85546875" style="1" customWidth="1"/>
    <col min="6708" max="6708" width="11" style="1" customWidth="1"/>
    <col min="6709" max="6710" width="9.5703125" style="1" customWidth="1"/>
    <col min="6711" max="6713" width="8.85546875" style="1" customWidth="1"/>
    <col min="6714" max="6714" width="10.42578125" style="1" customWidth="1"/>
    <col min="6715" max="6716" width="8.85546875" style="1" customWidth="1"/>
    <col min="6717" max="6717" width="9.7109375" style="1" customWidth="1"/>
    <col min="6718" max="6719" width="8.85546875" style="1" customWidth="1"/>
    <col min="6720" max="6720" width="9.28515625" style="1" customWidth="1"/>
    <col min="6721" max="6741" width="8.85546875" style="1" customWidth="1"/>
    <col min="6742" max="6742" width="9.85546875" style="1" customWidth="1"/>
    <col min="6743" max="6743" width="8.85546875" style="1" customWidth="1"/>
    <col min="6744" max="6744" width="10" style="1" customWidth="1"/>
    <col min="6745" max="6761" width="8.85546875" style="1" customWidth="1"/>
    <col min="6762" max="6762" width="9.42578125" style="1" customWidth="1"/>
    <col min="6763" max="6763" width="8.85546875" style="1" customWidth="1"/>
    <col min="6764" max="6764" width="12" style="1" customWidth="1"/>
    <col min="6765" max="6765" width="11.140625" style="1" customWidth="1"/>
    <col min="6766" max="6766" width="28.7109375" style="1" customWidth="1"/>
    <col min="6767" max="6767" width="5.85546875" style="1" customWidth="1"/>
    <col min="6768" max="6917" width="9.140625" style="1"/>
    <col min="6918" max="6918" width="3.42578125" style="1" customWidth="1"/>
    <col min="6919" max="6919" width="27.85546875" style="1" customWidth="1"/>
    <col min="6920" max="6920" width="11.85546875" style="1" customWidth="1"/>
    <col min="6921" max="6921" width="15.140625" style="1" customWidth="1"/>
    <col min="6922" max="6922" width="10.28515625" style="1" customWidth="1"/>
    <col min="6923" max="6924" width="9.7109375" style="1" customWidth="1"/>
    <col min="6925" max="6925" width="10.42578125" style="1" customWidth="1"/>
    <col min="6926" max="6926" width="10.42578125" style="1" bestFit="1" customWidth="1"/>
    <col min="6927" max="6927" width="16.28515625" style="1" customWidth="1"/>
    <col min="6928" max="6928" width="15.140625" style="1" customWidth="1"/>
    <col min="6929" max="6929" width="13.5703125" style="1" customWidth="1"/>
    <col min="6930" max="6930" width="10.5703125" style="1" customWidth="1"/>
    <col min="6931" max="6931" width="10.85546875" style="1" customWidth="1"/>
    <col min="6932" max="6932" width="18" style="1" customWidth="1"/>
    <col min="6933" max="6933" width="20.85546875" style="1" customWidth="1"/>
    <col min="6934" max="6934" width="13.5703125" style="1" customWidth="1"/>
    <col min="6935" max="6935" width="14.140625" style="1" customWidth="1"/>
    <col min="6936" max="6938" width="8.85546875" style="1" customWidth="1"/>
    <col min="6939" max="6939" width="9.28515625" style="1" customWidth="1"/>
    <col min="6940" max="6940" width="14" style="1" customWidth="1"/>
    <col min="6941" max="6942" width="8.85546875" style="1" customWidth="1"/>
    <col min="6943" max="6943" width="10.140625" style="1" customWidth="1"/>
    <col min="6944" max="6945" width="9.5703125" style="1" customWidth="1"/>
    <col min="6946" max="6946" width="9.85546875" style="1" customWidth="1"/>
    <col min="6947" max="6948" width="10.140625" style="1" customWidth="1"/>
    <col min="6949" max="6951" width="9.28515625" style="1" customWidth="1"/>
    <col min="6952" max="6952" width="9.85546875" style="1" customWidth="1"/>
    <col min="6953" max="6954" width="8.5703125" style="1" customWidth="1"/>
    <col min="6955" max="6957" width="8.85546875" style="1" customWidth="1"/>
    <col min="6958" max="6958" width="9.28515625" style="1" customWidth="1"/>
    <col min="6959" max="6960" width="8.85546875" style="1" customWidth="1"/>
    <col min="6961" max="6961" width="10" style="1" customWidth="1"/>
    <col min="6962" max="6963" width="8.85546875" style="1" customWidth="1"/>
    <col min="6964" max="6964" width="11" style="1" customWidth="1"/>
    <col min="6965" max="6966" width="9.5703125" style="1" customWidth="1"/>
    <col min="6967" max="6969" width="8.85546875" style="1" customWidth="1"/>
    <col min="6970" max="6970" width="10.42578125" style="1" customWidth="1"/>
    <col min="6971" max="6972" width="8.85546875" style="1" customWidth="1"/>
    <col min="6973" max="6973" width="9.7109375" style="1" customWidth="1"/>
    <col min="6974" max="6975" width="8.85546875" style="1" customWidth="1"/>
    <col min="6976" max="6976" width="9.28515625" style="1" customWidth="1"/>
    <col min="6977" max="6997" width="8.85546875" style="1" customWidth="1"/>
    <col min="6998" max="6998" width="9.85546875" style="1" customWidth="1"/>
    <col min="6999" max="6999" width="8.85546875" style="1" customWidth="1"/>
    <col min="7000" max="7000" width="10" style="1" customWidth="1"/>
    <col min="7001" max="7017" width="8.85546875" style="1" customWidth="1"/>
    <col min="7018" max="7018" width="9.42578125" style="1" customWidth="1"/>
    <col min="7019" max="7019" width="8.85546875" style="1" customWidth="1"/>
    <col min="7020" max="7020" width="12" style="1" customWidth="1"/>
    <col min="7021" max="7021" width="11.140625" style="1" customWidth="1"/>
    <col min="7022" max="7022" width="28.7109375" style="1" customWidth="1"/>
    <col min="7023" max="7023" width="5.85546875" style="1" customWidth="1"/>
    <col min="7024" max="7173" width="9.140625" style="1"/>
    <col min="7174" max="7174" width="3.42578125" style="1" customWidth="1"/>
    <col min="7175" max="7175" width="27.85546875" style="1" customWidth="1"/>
    <col min="7176" max="7176" width="11.85546875" style="1" customWidth="1"/>
    <col min="7177" max="7177" width="15.140625" style="1" customWidth="1"/>
    <col min="7178" max="7178" width="10.28515625" style="1" customWidth="1"/>
    <col min="7179" max="7180" width="9.7109375" style="1" customWidth="1"/>
    <col min="7181" max="7181" width="10.42578125" style="1" customWidth="1"/>
    <col min="7182" max="7182" width="10.42578125" style="1" bestFit="1" customWidth="1"/>
    <col min="7183" max="7183" width="16.28515625" style="1" customWidth="1"/>
    <col min="7184" max="7184" width="15.140625" style="1" customWidth="1"/>
    <col min="7185" max="7185" width="13.5703125" style="1" customWidth="1"/>
    <col min="7186" max="7186" width="10.5703125" style="1" customWidth="1"/>
    <col min="7187" max="7187" width="10.85546875" style="1" customWidth="1"/>
    <col min="7188" max="7188" width="18" style="1" customWidth="1"/>
    <col min="7189" max="7189" width="20.85546875" style="1" customWidth="1"/>
    <col min="7190" max="7190" width="13.5703125" style="1" customWidth="1"/>
    <col min="7191" max="7191" width="14.140625" style="1" customWidth="1"/>
    <col min="7192" max="7194" width="8.85546875" style="1" customWidth="1"/>
    <col min="7195" max="7195" width="9.28515625" style="1" customWidth="1"/>
    <col min="7196" max="7196" width="14" style="1" customWidth="1"/>
    <col min="7197" max="7198" width="8.85546875" style="1" customWidth="1"/>
    <col min="7199" max="7199" width="10.140625" style="1" customWidth="1"/>
    <col min="7200" max="7201" width="9.5703125" style="1" customWidth="1"/>
    <col min="7202" max="7202" width="9.85546875" style="1" customWidth="1"/>
    <col min="7203" max="7204" width="10.140625" style="1" customWidth="1"/>
    <col min="7205" max="7207" width="9.28515625" style="1" customWidth="1"/>
    <col min="7208" max="7208" width="9.85546875" style="1" customWidth="1"/>
    <col min="7209" max="7210" width="8.5703125" style="1" customWidth="1"/>
    <col min="7211" max="7213" width="8.85546875" style="1" customWidth="1"/>
    <col min="7214" max="7214" width="9.28515625" style="1" customWidth="1"/>
    <col min="7215" max="7216" width="8.85546875" style="1" customWidth="1"/>
    <col min="7217" max="7217" width="10" style="1" customWidth="1"/>
    <col min="7218" max="7219" width="8.85546875" style="1" customWidth="1"/>
    <col min="7220" max="7220" width="11" style="1" customWidth="1"/>
    <col min="7221" max="7222" width="9.5703125" style="1" customWidth="1"/>
    <col min="7223" max="7225" width="8.85546875" style="1" customWidth="1"/>
    <col min="7226" max="7226" width="10.42578125" style="1" customWidth="1"/>
    <col min="7227" max="7228" width="8.85546875" style="1" customWidth="1"/>
    <col min="7229" max="7229" width="9.7109375" style="1" customWidth="1"/>
    <col min="7230" max="7231" width="8.85546875" style="1" customWidth="1"/>
    <col min="7232" max="7232" width="9.28515625" style="1" customWidth="1"/>
    <col min="7233" max="7253" width="8.85546875" style="1" customWidth="1"/>
    <col min="7254" max="7254" width="9.85546875" style="1" customWidth="1"/>
    <col min="7255" max="7255" width="8.85546875" style="1" customWidth="1"/>
    <col min="7256" max="7256" width="10" style="1" customWidth="1"/>
    <col min="7257" max="7273" width="8.85546875" style="1" customWidth="1"/>
    <col min="7274" max="7274" width="9.42578125" style="1" customWidth="1"/>
    <col min="7275" max="7275" width="8.85546875" style="1" customWidth="1"/>
    <col min="7276" max="7276" width="12" style="1" customWidth="1"/>
    <col min="7277" max="7277" width="11.140625" style="1" customWidth="1"/>
    <col min="7278" max="7278" width="28.7109375" style="1" customWidth="1"/>
    <col min="7279" max="7279" width="5.85546875" style="1" customWidth="1"/>
    <col min="7280" max="7429" width="9.140625" style="1"/>
    <col min="7430" max="7430" width="3.42578125" style="1" customWidth="1"/>
    <col min="7431" max="7431" width="27.85546875" style="1" customWidth="1"/>
    <col min="7432" max="7432" width="11.85546875" style="1" customWidth="1"/>
    <col min="7433" max="7433" width="15.140625" style="1" customWidth="1"/>
    <col min="7434" max="7434" width="10.28515625" style="1" customWidth="1"/>
    <col min="7435" max="7436" width="9.7109375" style="1" customWidth="1"/>
    <col min="7437" max="7437" width="10.42578125" style="1" customWidth="1"/>
    <col min="7438" max="7438" width="10.42578125" style="1" bestFit="1" customWidth="1"/>
    <col min="7439" max="7439" width="16.28515625" style="1" customWidth="1"/>
    <col min="7440" max="7440" width="15.140625" style="1" customWidth="1"/>
    <col min="7441" max="7441" width="13.5703125" style="1" customWidth="1"/>
    <col min="7442" max="7442" width="10.5703125" style="1" customWidth="1"/>
    <col min="7443" max="7443" width="10.85546875" style="1" customWidth="1"/>
    <col min="7444" max="7444" width="18" style="1" customWidth="1"/>
    <col min="7445" max="7445" width="20.85546875" style="1" customWidth="1"/>
    <col min="7446" max="7446" width="13.5703125" style="1" customWidth="1"/>
    <col min="7447" max="7447" width="14.140625" style="1" customWidth="1"/>
    <col min="7448" max="7450" width="8.85546875" style="1" customWidth="1"/>
    <col min="7451" max="7451" width="9.28515625" style="1" customWidth="1"/>
    <col min="7452" max="7452" width="14" style="1" customWidth="1"/>
    <col min="7453" max="7454" width="8.85546875" style="1" customWidth="1"/>
    <col min="7455" max="7455" width="10.140625" style="1" customWidth="1"/>
    <col min="7456" max="7457" width="9.5703125" style="1" customWidth="1"/>
    <col min="7458" max="7458" width="9.85546875" style="1" customWidth="1"/>
    <col min="7459" max="7460" width="10.140625" style="1" customWidth="1"/>
    <col min="7461" max="7463" width="9.28515625" style="1" customWidth="1"/>
    <col min="7464" max="7464" width="9.85546875" style="1" customWidth="1"/>
    <col min="7465" max="7466" width="8.5703125" style="1" customWidth="1"/>
    <col min="7467" max="7469" width="8.85546875" style="1" customWidth="1"/>
    <col min="7470" max="7470" width="9.28515625" style="1" customWidth="1"/>
    <col min="7471" max="7472" width="8.85546875" style="1" customWidth="1"/>
    <col min="7473" max="7473" width="10" style="1" customWidth="1"/>
    <col min="7474" max="7475" width="8.85546875" style="1" customWidth="1"/>
    <col min="7476" max="7476" width="11" style="1" customWidth="1"/>
    <col min="7477" max="7478" width="9.5703125" style="1" customWidth="1"/>
    <col min="7479" max="7481" width="8.85546875" style="1" customWidth="1"/>
    <col min="7482" max="7482" width="10.42578125" style="1" customWidth="1"/>
    <col min="7483" max="7484" width="8.85546875" style="1" customWidth="1"/>
    <col min="7485" max="7485" width="9.7109375" style="1" customWidth="1"/>
    <col min="7486" max="7487" width="8.85546875" style="1" customWidth="1"/>
    <col min="7488" max="7488" width="9.28515625" style="1" customWidth="1"/>
    <col min="7489" max="7509" width="8.85546875" style="1" customWidth="1"/>
    <col min="7510" max="7510" width="9.85546875" style="1" customWidth="1"/>
    <col min="7511" max="7511" width="8.85546875" style="1" customWidth="1"/>
    <col min="7512" max="7512" width="10" style="1" customWidth="1"/>
    <col min="7513" max="7529" width="8.85546875" style="1" customWidth="1"/>
    <col min="7530" max="7530" width="9.42578125" style="1" customWidth="1"/>
    <col min="7531" max="7531" width="8.85546875" style="1" customWidth="1"/>
    <col min="7532" max="7532" width="12" style="1" customWidth="1"/>
    <col min="7533" max="7533" width="11.140625" style="1" customWidth="1"/>
    <col min="7534" max="7534" width="28.7109375" style="1" customWidth="1"/>
    <col min="7535" max="7535" width="5.85546875" style="1" customWidth="1"/>
    <col min="7536" max="7685" width="9.140625" style="1"/>
    <col min="7686" max="7686" width="3.42578125" style="1" customWidth="1"/>
    <col min="7687" max="7687" width="27.85546875" style="1" customWidth="1"/>
    <col min="7688" max="7688" width="11.85546875" style="1" customWidth="1"/>
    <col min="7689" max="7689" width="15.140625" style="1" customWidth="1"/>
    <col min="7690" max="7690" width="10.28515625" style="1" customWidth="1"/>
    <col min="7691" max="7692" width="9.7109375" style="1" customWidth="1"/>
    <col min="7693" max="7693" width="10.42578125" style="1" customWidth="1"/>
    <col min="7694" max="7694" width="10.42578125" style="1" bestFit="1" customWidth="1"/>
    <col min="7695" max="7695" width="16.28515625" style="1" customWidth="1"/>
    <col min="7696" max="7696" width="15.140625" style="1" customWidth="1"/>
    <col min="7697" max="7697" width="13.5703125" style="1" customWidth="1"/>
    <col min="7698" max="7698" width="10.5703125" style="1" customWidth="1"/>
    <col min="7699" max="7699" width="10.85546875" style="1" customWidth="1"/>
    <col min="7700" max="7700" width="18" style="1" customWidth="1"/>
    <col min="7701" max="7701" width="20.85546875" style="1" customWidth="1"/>
    <col min="7702" max="7702" width="13.5703125" style="1" customWidth="1"/>
    <col min="7703" max="7703" width="14.140625" style="1" customWidth="1"/>
    <col min="7704" max="7706" width="8.85546875" style="1" customWidth="1"/>
    <col min="7707" max="7707" width="9.28515625" style="1" customWidth="1"/>
    <col min="7708" max="7708" width="14" style="1" customWidth="1"/>
    <col min="7709" max="7710" width="8.85546875" style="1" customWidth="1"/>
    <col min="7711" max="7711" width="10.140625" style="1" customWidth="1"/>
    <col min="7712" max="7713" width="9.5703125" style="1" customWidth="1"/>
    <col min="7714" max="7714" width="9.85546875" style="1" customWidth="1"/>
    <col min="7715" max="7716" width="10.140625" style="1" customWidth="1"/>
    <col min="7717" max="7719" width="9.28515625" style="1" customWidth="1"/>
    <col min="7720" max="7720" width="9.85546875" style="1" customWidth="1"/>
    <col min="7721" max="7722" width="8.5703125" style="1" customWidth="1"/>
    <col min="7723" max="7725" width="8.85546875" style="1" customWidth="1"/>
    <col min="7726" max="7726" width="9.28515625" style="1" customWidth="1"/>
    <col min="7727" max="7728" width="8.85546875" style="1" customWidth="1"/>
    <col min="7729" max="7729" width="10" style="1" customWidth="1"/>
    <col min="7730" max="7731" width="8.85546875" style="1" customWidth="1"/>
    <col min="7732" max="7732" width="11" style="1" customWidth="1"/>
    <col min="7733" max="7734" width="9.5703125" style="1" customWidth="1"/>
    <col min="7735" max="7737" width="8.85546875" style="1" customWidth="1"/>
    <col min="7738" max="7738" width="10.42578125" style="1" customWidth="1"/>
    <col min="7739" max="7740" width="8.85546875" style="1" customWidth="1"/>
    <col min="7741" max="7741" width="9.7109375" style="1" customWidth="1"/>
    <col min="7742" max="7743" width="8.85546875" style="1" customWidth="1"/>
    <col min="7744" max="7744" width="9.28515625" style="1" customWidth="1"/>
    <col min="7745" max="7765" width="8.85546875" style="1" customWidth="1"/>
    <col min="7766" max="7766" width="9.85546875" style="1" customWidth="1"/>
    <col min="7767" max="7767" width="8.85546875" style="1" customWidth="1"/>
    <col min="7768" max="7768" width="10" style="1" customWidth="1"/>
    <col min="7769" max="7785" width="8.85546875" style="1" customWidth="1"/>
    <col min="7786" max="7786" width="9.42578125" style="1" customWidth="1"/>
    <col min="7787" max="7787" width="8.85546875" style="1" customWidth="1"/>
    <col min="7788" max="7788" width="12" style="1" customWidth="1"/>
    <col min="7789" max="7789" width="11.140625" style="1" customWidth="1"/>
    <col min="7790" max="7790" width="28.7109375" style="1" customWidth="1"/>
    <col min="7791" max="7791" width="5.85546875" style="1" customWidth="1"/>
    <col min="7792" max="7941" width="9.140625" style="1"/>
    <col min="7942" max="7942" width="3.42578125" style="1" customWidth="1"/>
    <col min="7943" max="7943" width="27.85546875" style="1" customWidth="1"/>
    <col min="7944" max="7944" width="11.85546875" style="1" customWidth="1"/>
    <col min="7945" max="7945" width="15.140625" style="1" customWidth="1"/>
    <col min="7946" max="7946" width="10.28515625" style="1" customWidth="1"/>
    <col min="7947" max="7948" width="9.7109375" style="1" customWidth="1"/>
    <col min="7949" max="7949" width="10.42578125" style="1" customWidth="1"/>
    <col min="7950" max="7950" width="10.42578125" style="1" bestFit="1" customWidth="1"/>
    <col min="7951" max="7951" width="16.28515625" style="1" customWidth="1"/>
    <col min="7952" max="7952" width="15.140625" style="1" customWidth="1"/>
    <col min="7953" max="7953" width="13.5703125" style="1" customWidth="1"/>
    <col min="7954" max="7954" width="10.5703125" style="1" customWidth="1"/>
    <col min="7955" max="7955" width="10.85546875" style="1" customWidth="1"/>
    <col min="7956" max="7956" width="18" style="1" customWidth="1"/>
    <col min="7957" max="7957" width="20.85546875" style="1" customWidth="1"/>
    <col min="7958" max="7958" width="13.5703125" style="1" customWidth="1"/>
    <col min="7959" max="7959" width="14.140625" style="1" customWidth="1"/>
    <col min="7960" max="7962" width="8.85546875" style="1" customWidth="1"/>
    <col min="7963" max="7963" width="9.28515625" style="1" customWidth="1"/>
    <col min="7964" max="7964" width="14" style="1" customWidth="1"/>
    <col min="7965" max="7966" width="8.85546875" style="1" customWidth="1"/>
    <col min="7967" max="7967" width="10.140625" style="1" customWidth="1"/>
    <col min="7968" max="7969" width="9.5703125" style="1" customWidth="1"/>
    <col min="7970" max="7970" width="9.85546875" style="1" customWidth="1"/>
    <col min="7971" max="7972" width="10.140625" style="1" customWidth="1"/>
    <col min="7973" max="7975" width="9.28515625" style="1" customWidth="1"/>
    <col min="7976" max="7976" width="9.85546875" style="1" customWidth="1"/>
    <col min="7977" max="7978" width="8.5703125" style="1" customWidth="1"/>
    <col min="7979" max="7981" width="8.85546875" style="1" customWidth="1"/>
    <col min="7982" max="7982" width="9.28515625" style="1" customWidth="1"/>
    <col min="7983" max="7984" width="8.85546875" style="1" customWidth="1"/>
    <col min="7985" max="7985" width="10" style="1" customWidth="1"/>
    <col min="7986" max="7987" width="8.85546875" style="1" customWidth="1"/>
    <col min="7988" max="7988" width="11" style="1" customWidth="1"/>
    <col min="7989" max="7990" width="9.5703125" style="1" customWidth="1"/>
    <col min="7991" max="7993" width="8.85546875" style="1" customWidth="1"/>
    <col min="7994" max="7994" width="10.42578125" style="1" customWidth="1"/>
    <col min="7995" max="7996" width="8.85546875" style="1" customWidth="1"/>
    <col min="7997" max="7997" width="9.7109375" style="1" customWidth="1"/>
    <col min="7998" max="7999" width="8.85546875" style="1" customWidth="1"/>
    <col min="8000" max="8000" width="9.28515625" style="1" customWidth="1"/>
    <col min="8001" max="8021" width="8.85546875" style="1" customWidth="1"/>
    <col min="8022" max="8022" width="9.85546875" style="1" customWidth="1"/>
    <col min="8023" max="8023" width="8.85546875" style="1" customWidth="1"/>
    <col min="8024" max="8024" width="10" style="1" customWidth="1"/>
    <col min="8025" max="8041" width="8.85546875" style="1" customWidth="1"/>
    <col min="8042" max="8042" width="9.42578125" style="1" customWidth="1"/>
    <col min="8043" max="8043" width="8.85546875" style="1" customWidth="1"/>
    <col min="8044" max="8044" width="12" style="1" customWidth="1"/>
    <col min="8045" max="8045" width="11.140625" style="1" customWidth="1"/>
    <col min="8046" max="8046" width="28.7109375" style="1" customWidth="1"/>
    <col min="8047" max="8047" width="5.85546875" style="1" customWidth="1"/>
    <col min="8048" max="8197" width="9.140625" style="1"/>
    <col min="8198" max="8198" width="3.42578125" style="1" customWidth="1"/>
    <col min="8199" max="8199" width="27.85546875" style="1" customWidth="1"/>
    <col min="8200" max="8200" width="11.85546875" style="1" customWidth="1"/>
    <col min="8201" max="8201" width="15.140625" style="1" customWidth="1"/>
    <col min="8202" max="8202" width="10.28515625" style="1" customWidth="1"/>
    <col min="8203" max="8204" width="9.7109375" style="1" customWidth="1"/>
    <col min="8205" max="8205" width="10.42578125" style="1" customWidth="1"/>
    <col min="8206" max="8206" width="10.42578125" style="1" bestFit="1" customWidth="1"/>
    <col min="8207" max="8207" width="16.28515625" style="1" customWidth="1"/>
    <col min="8208" max="8208" width="15.140625" style="1" customWidth="1"/>
    <col min="8209" max="8209" width="13.5703125" style="1" customWidth="1"/>
    <col min="8210" max="8210" width="10.5703125" style="1" customWidth="1"/>
    <col min="8211" max="8211" width="10.85546875" style="1" customWidth="1"/>
    <col min="8212" max="8212" width="18" style="1" customWidth="1"/>
    <col min="8213" max="8213" width="20.85546875" style="1" customWidth="1"/>
    <col min="8214" max="8214" width="13.5703125" style="1" customWidth="1"/>
    <col min="8215" max="8215" width="14.140625" style="1" customWidth="1"/>
    <col min="8216" max="8218" width="8.85546875" style="1" customWidth="1"/>
    <col min="8219" max="8219" width="9.28515625" style="1" customWidth="1"/>
    <col min="8220" max="8220" width="14" style="1" customWidth="1"/>
    <col min="8221" max="8222" width="8.85546875" style="1" customWidth="1"/>
    <col min="8223" max="8223" width="10.140625" style="1" customWidth="1"/>
    <col min="8224" max="8225" width="9.5703125" style="1" customWidth="1"/>
    <col min="8226" max="8226" width="9.85546875" style="1" customWidth="1"/>
    <col min="8227" max="8228" width="10.140625" style="1" customWidth="1"/>
    <col min="8229" max="8231" width="9.28515625" style="1" customWidth="1"/>
    <col min="8232" max="8232" width="9.85546875" style="1" customWidth="1"/>
    <col min="8233" max="8234" width="8.5703125" style="1" customWidth="1"/>
    <col min="8235" max="8237" width="8.85546875" style="1" customWidth="1"/>
    <col min="8238" max="8238" width="9.28515625" style="1" customWidth="1"/>
    <col min="8239" max="8240" width="8.85546875" style="1" customWidth="1"/>
    <col min="8241" max="8241" width="10" style="1" customWidth="1"/>
    <col min="8242" max="8243" width="8.85546875" style="1" customWidth="1"/>
    <col min="8244" max="8244" width="11" style="1" customWidth="1"/>
    <col min="8245" max="8246" width="9.5703125" style="1" customWidth="1"/>
    <col min="8247" max="8249" width="8.85546875" style="1" customWidth="1"/>
    <col min="8250" max="8250" width="10.42578125" style="1" customWidth="1"/>
    <col min="8251" max="8252" width="8.85546875" style="1" customWidth="1"/>
    <col min="8253" max="8253" width="9.7109375" style="1" customWidth="1"/>
    <col min="8254" max="8255" width="8.85546875" style="1" customWidth="1"/>
    <col min="8256" max="8256" width="9.28515625" style="1" customWidth="1"/>
    <col min="8257" max="8277" width="8.85546875" style="1" customWidth="1"/>
    <col min="8278" max="8278" width="9.85546875" style="1" customWidth="1"/>
    <col min="8279" max="8279" width="8.85546875" style="1" customWidth="1"/>
    <col min="8280" max="8280" width="10" style="1" customWidth="1"/>
    <col min="8281" max="8297" width="8.85546875" style="1" customWidth="1"/>
    <col min="8298" max="8298" width="9.42578125" style="1" customWidth="1"/>
    <col min="8299" max="8299" width="8.85546875" style="1" customWidth="1"/>
    <col min="8300" max="8300" width="12" style="1" customWidth="1"/>
    <col min="8301" max="8301" width="11.140625" style="1" customWidth="1"/>
    <col min="8302" max="8302" width="28.7109375" style="1" customWidth="1"/>
    <col min="8303" max="8303" width="5.85546875" style="1" customWidth="1"/>
    <col min="8304" max="8453" width="9.140625" style="1"/>
    <col min="8454" max="8454" width="3.42578125" style="1" customWidth="1"/>
    <col min="8455" max="8455" width="27.85546875" style="1" customWidth="1"/>
    <col min="8456" max="8456" width="11.85546875" style="1" customWidth="1"/>
    <col min="8457" max="8457" width="15.140625" style="1" customWidth="1"/>
    <col min="8458" max="8458" width="10.28515625" style="1" customWidth="1"/>
    <col min="8459" max="8460" width="9.7109375" style="1" customWidth="1"/>
    <col min="8461" max="8461" width="10.42578125" style="1" customWidth="1"/>
    <col min="8462" max="8462" width="10.42578125" style="1" bestFit="1" customWidth="1"/>
    <col min="8463" max="8463" width="16.28515625" style="1" customWidth="1"/>
    <col min="8464" max="8464" width="15.140625" style="1" customWidth="1"/>
    <col min="8465" max="8465" width="13.5703125" style="1" customWidth="1"/>
    <col min="8466" max="8466" width="10.5703125" style="1" customWidth="1"/>
    <col min="8467" max="8467" width="10.85546875" style="1" customWidth="1"/>
    <col min="8468" max="8468" width="18" style="1" customWidth="1"/>
    <col min="8469" max="8469" width="20.85546875" style="1" customWidth="1"/>
    <col min="8470" max="8470" width="13.5703125" style="1" customWidth="1"/>
    <col min="8471" max="8471" width="14.140625" style="1" customWidth="1"/>
    <col min="8472" max="8474" width="8.85546875" style="1" customWidth="1"/>
    <col min="8475" max="8475" width="9.28515625" style="1" customWidth="1"/>
    <col min="8476" max="8476" width="14" style="1" customWidth="1"/>
    <col min="8477" max="8478" width="8.85546875" style="1" customWidth="1"/>
    <col min="8479" max="8479" width="10.140625" style="1" customWidth="1"/>
    <col min="8480" max="8481" width="9.5703125" style="1" customWidth="1"/>
    <col min="8482" max="8482" width="9.85546875" style="1" customWidth="1"/>
    <col min="8483" max="8484" width="10.140625" style="1" customWidth="1"/>
    <col min="8485" max="8487" width="9.28515625" style="1" customWidth="1"/>
    <col min="8488" max="8488" width="9.85546875" style="1" customWidth="1"/>
    <col min="8489" max="8490" width="8.5703125" style="1" customWidth="1"/>
    <col min="8491" max="8493" width="8.85546875" style="1" customWidth="1"/>
    <col min="8494" max="8494" width="9.28515625" style="1" customWidth="1"/>
    <col min="8495" max="8496" width="8.85546875" style="1" customWidth="1"/>
    <col min="8497" max="8497" width="10" style="1" customWidth="1"/>
    <col min="8498" max="8499" width="8.85546875" style="1" customWidth="1"/>
    <col min="8500" max="8500" width="11" style="1" customWidth="1"/>
    <col min="8501" max="8502" width="9.5703125" style="1" customWidth="1"/>
    <col min="8503" max="8505" width="8.85546875" style="1" customWidth="1"/>
    <col min="8506" max="8506" width="10.42578125" style="1" customWidth="1"/>
    <col min="8507" max="8508" width="8.85546875" style="1" customWidth="1"/>
    <col min="8509" max="8509" width="9.7109375" style="1" customWidth="1"/>
    <col min="8510" max="8511" width="8.85546875" style="1" customWidth="1"/>
    <col min="8512" max="8512" width="9.28515625" style="1" customWidth="1"/>
    <col min="8513" max="8533" width="8.85546875" style="1" customWidth="1"/>
    <col min="8534" max="8534" width="9.85546875" style="1" customWidth="1"/>
    <col min="8535" max="8535" width="8.85546875" style="1" customWidth="1"/>
    <col min="8536" max="8536" width="10" style="1" customWidth="1"/>
    <col min="8537" max="8553" width="8.85546875" style="1" customWidth="1"/>
    <col min="8554" max="8554" width="9.42578125" style="1" customWidth="1"/>
    <col min="8555" max="8555" width="8.85546875" style="1" customWidth="1"/>
    <col min="8556" max="8556" width="12" style="1" customWidth="1"/>
    <col min="8557" max="8557" width="11.140625" style="1" customWidth="1"/>
    <col min="8558" max="8558" width="28.7109375" style="1" customWidth="1"/>
    <col min="8559" max="8559" width="5.85546875" style="1" customWidth="1"/>
    <col min="8560" max="8709" width="9.140625" style="1"/>
    <col min="8710" max="8710" width="3.42578125" style="1" customWidth="1"/>
    <col min="8711" max="8711" width="27.85546875" style="1" customWidth="1"/>
    <col min="8712" max="8712" width="11.85546875" style="1" customWidth="1"/>
    <col min="8713" max="8713" width="15.140625" style="1" customWidth="1"/>
    <col min="8714" max="8714" width="10.28515625" style="1" customWidth="1"/>
    <col min="8715" max="8716" width="9.7109375" style="1" customWidth="1"/>
    <col min="8717" max="8717" width="10.42578125" style="1" customWidth="1"/>
    <col min="8718" max="8718" width="10.42578125" style="1" bestFit="1" customWidth="1"/>
    <col min="8719" max="8719" width="16.28515625" style="1" customWidth="1"/>
    <col min="8720" max="8720" width="15.140625" style="1" customWidth="1"/>
    <col min="8721" max="8721" width="13.5703125" style="1" customWidth="1"/>
    <col min="8722" max="8722" width="10.5703125" style="1" customWidth="1"/>
    <col min="8723" max="8723" width="10.85546875" style="1" customWidth="1"/>
    <col min="8724" max="8724" width="18" style="1" customWidth="1"/>
    <col min="8725" max="8725" width="20.85546875" style="1" customWidth="1"/>
    <col min="8726" max="8726" width="13.5703125" style="1" customWidth="1"/>
    <col min="8727" max="8727" width="14.140625" style="1" customWidth="1"/>
    <col min="8728" max="8730" width="8.85546875" style="1" customWidth="1"/>
    <col min="8731" max="8731" width="9.28515625" style="1" customWidth="1"/>
    <col min="8732" max="8732" width="14" style="1" customWidth="1"/>
    <col min="8733" max="8734" width="8.85546875" style="1" customWidth="1"/>
    <col min="8735" max="8735" width="10.140625" style="1" customWidth="1"/>
    <col min="8736" max="8737" width="9.5703125" style="1" customWidth="1"/>
    <col min="8738" max="8738" width="9.85546875" style="1" customWidth="1"/>
    <col min="8739" max="8740" width="10.140625" style="1" customWidth="1"/>
    <col min="8741" max="8743" width="9.28515625" style="1" customWidth="1"/>
    <col min="8744" max="8744" width="9.85546875" style="1" customWidth="1"/>
    <col min="8745" max="8746" width="8.5703125" style="1" customWidth="1"/>
    <col min="8747" max="8749" width="8.85546875" style="1" customWidth="1"/>
    <col min="8750" max="8750" width="9.28515625" style="1" customWidth="1"/>
    <col min="8751" max="8752" width="8.85546875" style="1" customWidth="1"/>
    <col min="8753" max="8753" width="10" style="1" customWidth="1"/>
    <col min="8754" max="8755" width="8.85546875" style="1" customWidth="1"/>
    <col min="8756" max="8756" width="11" style="1" customWidth="1"/>
    <col min="8757" max="8758" width="9.5703125" style="1" customWidth="1"/>
    <col min="8759" max="8761" width="8.85546875" style="1" customWidth="1"/>
    <col min="8762" max="8762" width="10.42578125" style="1" customWidth="1"/>
    <col min="8763" max="8764" width="8.85546875" style="1" customWidth="1"/>
    <col min="8765" max="8765" width="9.7109375" style="1" customWidth="1"/>
    <col min="8766" max="8767" width="8.85546875" style="1" customWidth="1"/>
    <col min="8768" max="8768" width="9.28515625" style="1" customWidth="1"/>
    <col min="8769" max="8789" width="8.85546875" style="1" customWidth="1"/>
    <col min="8790" max="8790" width="9.85546875" style="1" customWidth="1"/>
    <col min="8791" max="8791" width="8.85546875" style="1" customWidth="1"/>
    <col min="8792" max="8792" width="10" style="1" customWidth="1"/>
    <col min="8793" max="8809" width="8.85546875" style="1" customWidth="1"/>
    <col min="8810" max="8810" width="9.42578125" style="1" customWidth="1"/>
    <col min="8811" max="8811" width="8.85546875" style="1" customWidth="1"/>
    <col min="8812" max="8812" width="12" style="1" customWidth="1"/>
    <col min="8813" max="8813" width="11.140625" style="1" customWidth="1"/>
    <col min="8814" max="8814" width="28.7109375" style="1" customWidth="1"/>
    <col min="8815" max="8815" width="5.85546875" style="1" customWidth="1"/>
    <col min="8816" max="8965" width="9.140625" style="1"/>
    <col min="8966" max="8966" width="3.42578125" style="1" customWidth="1"/>
    <col min="8967" max="8967" width="27.85546875" style="1" customWidth="1"/>
    <col min="8968" max="8968" width="11.85546875" style="1" customWidth="1"/>
    <col min="8969" max="8969" width="15.140625" style="1" customWidth="1"/>
    <col min="8970" max="8970" width="10.28515625" style="1" customWidth="1"/>
    <col min="8971" max="8972" width="9.7109375" style="1" customWidth="1"/>
    <col min="8973" max="8973" width="10.42578125" style="1" customWidth="1"/>
    <col min="8974" max="8974" width="10.42578125" style="1" bestFit="1" customWidth="1"/>
    <col min="8975" max="8975" width="16.28515625" style="1" customWidth="1"/>
    <col min="8976" max="8976" width="15.140625" style="1" customWidth="1"/>
    <col min="8977" max="8977" width="13.5703125" style="1" customWidth="1"/>
    <col min="8978" max="8978" width="10.5703125" style="1" customWidth="1"/>
    <col min="8979" max="8979" width="10.85546875" style="1" customWidth="1"/>
    <col min="8980" max="8980" width="18" style="1" customWidth="1"/>
    <col min="8981" max="8981" width="20.85546875" style="1" customWidth="1"/>
    <col min="8982" max="8982" width="13.5703125" style="1" customWidth="1"/>
    <col min="8983" max="8983" width="14.140625" style="1" customWidth="1"/>
    <col min="8984" max="8986" width="8.85546875" style="1" customWidth="1"/>
    <col min="8987" max="8987" width="9.28515625" style="1" customWidth="1"/>
    <col min="8988" max="8988" width="14" style="1" customWidth="1"/>
    <col min="8989" max="8990" width="8.85546875" style="1" customWidth="1"/>
    <col min="8991" max="8991" width="10.140625" style="1" customWidth="1"/>
    <col min="8992" max="8993" width="9.5703125" style="1" customWidth="1"/>
    <col min="8994" max="8994" width="9.85546875" style="1" customWidth="1"/>
    <col min="8995" max="8996" width="10.140625" style="1" customWidth="1"/>
    <col min="8997" max="8999" width="9.28515625" style="1" customWidth="1"/>
    <col min="9000" max="9000" width="9.85546875" style="1" customWidth="1"/>
    <col min="9001" max="9002" width="8.5703125" style="1" customWidth="1"/>
    <col min="9003" max="9005" width="8.85546875" style="1" customWidth="1"/>
    <col min="9006" max="9006" width="9.28515625" style="1" customWidth="1"/>
    <col min="9007" max="9008" width="8.85546875" style="1" customWidth="1"/>
    <col min="9009" max="9009" width="10" style="1" customWidth="1"/>
    <col min="9010" max="9011" width="8.85546875" style="1" customWidth="1"/>
    <col min="9012" max="9012" width="11" style="1" customWidth="1"/>
    <col min="9013" max="9014" width="9.5703125" style="1" customWidth="1"/>
    <col min="9015" max="9017" width="8.85546875" style="1" customWidth="1"/>
    <col min="9018" max="9018" width="10.42578125" style="1" customWidth="1"/>
    <col min="9019" max="9020" width="8.85546875" style="1" customWidth="1"/>
    <col min="9021" max="9021" width="9.7109375" style="1" customWidth="1"/>
    <col min="9022" max="9023" width="8.85546875" style="1" customWidth="1"/>
    <col min="9024" max="9024" width="9.28515625" style="1" customWidth="1"/>
    <col min="9025" max="9045" width="8.85546875" style="1" customWidth="1"/>
    <col min="9046" max="9046" width="9.85546875" style="1" customWidth="1"/>
    <col min="9047" max="9047" width="8.85546875" style="1" customWidth="1"/>
    <col min="9048" max="9048" width="10" style="1" customWidth="1"/>
    <col min="9049" max="9065" width="8.85546875" style="1" customWidth="1"/>
    <col min="9066" max="9066" width="9.42578125" style="1" customWidth="1"/>
    <col min="9067" max="9067" width="8.85546875" style="1" customWidth="1"/>
    <col min="9068" max="9068" width="12" style="1" customWidth="1"/>
    <col min="9069" max="9069" width="11.140625" style="1" customWidth="1"/>
    <col min="9070" max="9070" width="28.7109375" style="1" customWidth="1"/>
    <col min="9071" max="9071" width="5.85546875" style="1" customWidth="1"/>
    <col min="9072" max="9221" width="9.140625" style="1"/>
    <col min="9222" max="9222" width="3.42578125" style="1" customWidth="1"/>
    <col min="9223" max="9223" width="27.85546875" style="1" customWidth="1"/>
    <col min="9224" max="9224" width="11.85546875" style="1" customWidth="1"/>
    <col min="9225" max="9225" width="15.140625" style="1" customWidth="1"/>
    <col min="9226" max="9226" width="10.28515625" style="1" customWidth="1"/>
    <col min="9227" max="9228" width="9.7109375" style="1" customWidth="1"/>
    <col min="9229" max="9229" width="10.42578125" style="1" customWidth="1"/>
    <col min="9230" max="9230" width="10.42578125" style="1" bestFit="1" customWidth="1"/>
    <col min="9231" max="9231" width="16.28515625" style="1" customWidth="1"/>
    <col min="9232" max="9232" width="15.140625" style="1" customWidth="1"/>
    <col min="9233" max="9233" width="13.5703125" style="1" customWidth="1"/>
    <col min="9234" max="9234" width="10.5703125" style="1" customWidth="1"/>
    <col min="9235" max="9235" width="10.85546875" style="1" customWidth="1"/>
    <col min="9236" max="9236" width="18" style="1" customWidth="1"/>
    <col min="9237" max="9237" width="20.85546875" style="1" customWidth="1"/>
    <col min="9238" max="9238" width="13.5703125" style="1" customWidth="1"/>
    <col min="9239" max="9239" width="14.140625" style="1" customWidth="1"/>
    <col min="9240" max="9242" width="8.85546875" style="1" customWidth="1"/>
    <col min="9243" max="9243" width="9.28515625" style="1" customWidth="1"/>
    <col min="9244" max="9244" width="14" style="1" customWidth="1"/>
    <col min="9245" max="9246" width="8.85546875" style="1" customWidth="1"/>
    <col min="9247" max="9247" width="10.140625" style="1" customWidth="1"/>
    <col min="9248" max="9249" width="9.5703125" style="1" customWidth="1"/>
    <col min="9250" max="9250" width="9.85546875" style="1" customWidth="1"/>
    <col min="9251" max="9252" width="10.140625" style="1" customWidth="1"/>
    <col min="9253" max="9255" width="9.28515625" style="1" customWidth="1"/>
    <col min="9256" max="9256" width="9.85546875" style="1" customWidth="1"/>
    <col min="9257" max="9258" width="8.5703125" style="1" customWidth="1"/>
    <col min="9259" max="9261" width="8.85546875" style="1" customWidth="1"/>
    <col min="9262" max="9262" width="9.28515625" style="1" customWidth="1"/>
    <col min="9263" max="9264" width="8.85546875" style="1" customWidth="1"/>
    <col min="9265" max="9265" width="10" style="1" customWidth="1"/>
    <col min="9266" max="9267" width="8.85546875" style="1" customWidth="1"/>
    <col min="9268" max="9268" width="11" style="1" customWidth="1"/>
    <col min="9269" max="9270" width="9.5703125" style="1" customWidth="1"/>
    <col min="9271" max="9273" width="8.85546875" style="1" customWidth="1"/>
    <col min="9274" max="9274" width="10.42578125" style="1" customWidth="1"/>
    <col min="9275" max="9276" width="8.85546875" style="1" customWidth="1"/>
    <col min="9277" max="9277" width="9.7109375" style="1" customWidth="1"/>
    <col min="9278" max="9279" width="8.85546875" style="1" customWidth="1"/>
    <col min="9280" max="9280" width="9.28515625" style="1" customWidth="1"/>
    <col min="9281" max="9301" width="8.85546875" style="1" customWidth="1"/>
    <col min="9302" max="9302" width="9.85546875" style="1" customWidth="1"/>
    <col min="9303" max="9303" width="8.85546875" style="1" customWidth="1"/>
    <col min="9304" max="9304" width="10" style="1" customWidth="1"/>
    <col min="9305" max="9321" width="8.85546875" style="1" customWidth="1"/>
    <col min="9322" max="9322" width="9.42578125" style="1" customWidth="1"/>
    <col min="9323" max="9323" width="8.85546875" style="1" customWidth="1"/>
    <col min="9324" max="9324" width="12" style="1" customWidth="1"/>
    <col min="9325" max="9325" width="11.140625" style="1" customWidth="1"/>
    <col min="9326" max="9326" width="28.7109375" style="1" customWidth="1"/>
    <col min="9327" max="9327" width="5.85546875" style="1" customWidth="1"/>
    <col min="9328" max="9477" width="9.140625" style="1"/>
    <col min="9478" max="9478" width="3.42578125" style="1" customWidth="1"/>
    <col min="9479" max="9479" width="27.85546875" style="1" customWidth="1"/>
    <col min="9480" max="9480" width="11.85546875" style="1" customWidth="1"/>
    <col min="9481" max="9481" width="15.140625" style="1" customWidth="1"/>
    <col min="9482" max="9482" width="10.28515625" style="1" customWidth="1"/>
    <col min="9483" max="9484" width="9.7109375" style="1" customWidth="1"/>
    <col min="9485" max="9485" width="10.42578125" style="1" customWidth="1"/>
    <col min="9486" max="9486" width="10.42578125" style="1" bestFit="1" customWidth="1"/>
    <col min="9487" max="9487" width="16.28515625" style="1" customWidth="1"/>
    <col min="9488" max="9488" width="15.140625" style="1" customWidth="1"/>
    <col min="9489" max="9489" width="13.5703125" style="1" customWidth="1"/>
    <col min="9490" max="9490" width="10.5703125" style="1" customWidth="1"/>
    <col min="9491" max="9491" width="10.85546875" style="1" customWidth="1"/>
    <col min="9492" max="9492" width="18" style="1" customWidth="1"/>
    <col min="9493" max="9493" width="20.85546875" style="1" customWidth="1"/>
    <col min="9494" max="9494" width="13.5703125" style="1" customWidth="1"/>
    <col min="9495" max="9495" width="14.140625" style="1" customWidth="1"/>
    <col min="9496" max="9498" width="8.85546875" style="1" customWidth="1"/>
    <col min="9499" max="9499" width="9.28515625" style="1" customWidth="1"/>
    <col min="9500" max="9500" width="14" style="1" customWidth="1"/>
    <col min="9501" max="9502" width="8.85546875" style="1" customWidth="1"/>
    <col min="9503" max="9503" width="10.140625" style="1" customWidth="1"/>
    <col min="9504" max="9505" width="9.5703125" style="1" customWidth="1"/>
    <col min="9506" max="9506" width="9.85546875" style="1" customWidth="1"/>
    <col min="9507" max="9508" width="10.140625" style="1" customWidth="1"/>
    <col min="9509" max="9511" width="9.28515625" style="1" customWidth="1"/>
    <col min="9512" max="9512" width="9.85546875" style="1" customWidth="1"/>
    <col min="9513" max="9514" width="8.5703125" style="1" customWidth="1"/>
    <col min="9515" max="9517" width="8.85546875" style="1" customWidth="1"/>
    <col min="9518" max="9518" width="9.28515625" style="1" customWidth="1"/>
    <col min="9519" max="9520" width="8.85546875" style="1" customWidth="1"/>
    <col min="9521" max="9521" width="10" style="1" customWidth="1"/>
    <col min="9522" max="9523" width="8.85546875" style="1" customWidth="1"/>
    <col min="9524" max="9524" width="11" style="1" customWidth="1"/>
    <col min="9525" max="9526" width="9.5703125" style="1" customWidth="1"/>
    <col min="9527" max="9529" width="8.85546875" style="1" customWidth="1"/>
    <col min="9530" max="9530" width="10.42578125" style="1" customWidth="1"/>
    <col min="9531" max="9532" width="8.85546875" style="1" customWidth="1"/>
    <col min="9533" max="9533" width="9.7109375" style="1" customWidth="1"/>
    <col min="9534" max="9535" width="8.85546875" style="1" customWidth="1"/>
    <col min="9536" max="9536" width="9.28515625" style="1" customWidth="1"/>
    <col min="9537" max="9557" width="8.85546875" style="1" customWidth="1"/>
    <col min="9558" max="9558" width="9.85546875" style="1" customWidth="1"/>
    <col min="9559" max="9559" width="8.85546875" style="1" customWidth="1"/>
    <col min="9560" max="9560" width="10" style="1" customWidth="1"/>
    <col min="9561" max="9577" width="8.85546875" style="1" customWidth="1"/>
    <col min="9578" max="9578" width="9.42578125" style="1" customWidth="1"/>
    <col min="9579" max="9579" width="8.85546875" style="1" customWidth="1"/>
    <col min="9580" max="9580" width="12" style="1" customWidth="1"/>
    <col min="9581" max="9581" width="11.140625" style="1" customWidth="1"/>
    <col min="9582" max="9582" width="28.7109375" style="1" customWidth="1"/>
    <col min="9583" max="9583" width="5.85546875" style="1" customWidth="1"/>
    <col min="9584" max="9733" width="9.140625" style="1"/>
    <col min="9734" max="9734" width="3.42578125" style="1" customWidth="1"/>
    <col min="9735" max="9735" width="27.85546875" style="1" customWidth="1"/>
    <col min="9736" max="9736" width="11.85546875" style="1" customWidth="1"/>
    <col min="9737" max="9737" width="15.140625" style="1" customWidth="1"/>
    <col min="9738" max="9738" width="10.28515625" style="1" customWidth="1"/>
    <col min="9739" max="9740" width="9.7109375" style="1" customWidth="1"/>
    <col min="9741" max="9741" width="10.42578125" style="1" customWidth="1"/>
    <col min="9742" max="9742" width="10.42578125" style="1" bestFit="1" customWidth="1"/>
    <col min="9743" max="9743" width="16.28515625" style="1" customWidth="1"/>
    <col min="9744" max="9744" width="15.140625" style="1" customWidth="1"/>
    <col min="9745" max="9745" width="13.5703125" style="1" customWidth="1"/>
    <col min="9746" max="9746" width="10.5703125" style="1" customWidth="1"/>
    <col min="9747" max="9747" width="10.85546875" style="1" customWidth="1"/>
    <col min="9748" max="9748" width="18" style="1" customWidth="1"/>
    <col min="9749" max="9749" width="20.85546875" style="1" customWidth="1"/>
    <col min="9750" max="9750" width="13.5703125" style="1" customWidth="1"/>
    <col min="9751" max="9751" width="14.140625" style="1" customWidth="1"/>
    <col min="9752" max="9754" width="8.85546875" style="1" customWidth="1"/>
    <col min="9755" max="9755" width="9.28515625" style="1" customWidth="1"/>
    <col min="9756" max="9756" width="14" style="1" customWidth="1"/>
    <col min="9757" max="9758" width="8.85546875" style="1" customWidth="1"/>
    <col min="9759" max="9759" width="10.140625" style="1" customWidth="1"/>
    <col min="9760" max="9761" width="9.5703125" style="1" customWidth="1"/>
    <col min="9762" max="9762" width="9.85546875" style="1" customWidth="1"/>
    <col min="9763" max="9764" width="10.140625" style="1" customWidth="1"/>
    <col min="9765" max="9767" width="9.28515625" style="1" customWidth="1"/>
    <col min="9768" max="9768" width="9.85546875" style="1" customWidth="1"/>
    <col min="9769" max="9770" width="8.5703125" style="1" customWidth="1"/>
    <col min="9771" max="9773" width="8.85546875" style="1" customWidth="1"/>
    <col min="9774" max="9774" width="9.28515625" style="1" customWidth="1"/>
    <col min="9775" max="9776" width="8.85546875" style="1" customWidth="1"/>
    <col min="9777" max="9777" width="10" style="1" customWidth="1"/>
    <col min="9778" max="9779" width="8.85546875" style="1" customWidth="1"/>
    <col min="9780" max="9780" width="11" style="1" customWidth="1"/>
    <col min="9781" max="9782" width="9.5703125" style="1" customWidth="1"/>
    <col min="9783" max="9785" width="8.85546875" style="1" customWidth="1"/>
    <col min="9786" max="9786" width="10.42578125" style="1" customWidth="1"/>
    <col min="9787" max="9788" width="8.85546875" style="1" customWidth="1"/>
    <col min="9789" max="9789" width="9.7109375" style="1" customWidth="1"/>
    <col min="9790" max="9791" width="8.85546875" style="1" customWidth="1"/>
    <col min="9792" max="9792" width="9.28515625" style="1" customWidth="1"/>
    <col min="9793" max="9813" width="8.85546875" style="1" customWidth="1"/>
    <col min="9814" max="9814" width="9.85546875" style="1" customWidth="1"/>
    <col min="9815" max="9815" width="8.85546875" style="1" customWidth="1"/>
    <col min="9816" max="9816" width="10" style="1" customWidth="1"/>
    <col min="9817" max="9833" width="8.85546875" style="1" customWidth="1"/>
    <col min="9834" max="9834" width="9.42578125" style="1" customWidth="1"/>
    <col min="9835" max="9835" width="8.85546875" style="1" customWidth="1"/>
    <col min="9836" max="9836" width="12" style="1" customWidth="1"/>
    <col min="9837" max="9837" width="11.140625" style="1" customWidth="1"/>
    <col min="9838" max="9838" width="28.7109375" style="1" customWidth="1"/>
    <col min="9839" max="9839" width="5.85546875" style="1" customWidth="1"/>
    <col min="9840" max="9989" width="9.140625" style="1"/>
    <col min="9990" max="9990" width="3.42578125" style="1" customWidth="1"/>
    <col min="9991" max="9991" width="27.85546875" style="1" customWidth="1"/>
    <col min="9992" max="9992" width="11.85546875" style="1" customWidth="1"/>
    <col min="9993" max="9993" width="15.140625" style="1" customWidth="1"/>
    <col min="9994" max="9994" width="10.28515625" style="1" customWidth="1"/>
    <col min="9995" max="9996" width="9.7109375" style="1" customWidth="1"/>
    <col min="9997" max="9997" width="10.42578125" style="1" customWidth="1"/>
    <col min="9998" max="9998" width="10.42578125" style="1" bestFit="1" customWidth="1"/>
    <col min="9999" max="9999" width="16.28515625" style="1" customWidth="1"/>
    <col min="10000" max="10000" width="15.140625" style="1" customWidth="1"/>
    <col min="10001" max="10001" width="13.5703125" style="1" customWidth="1"/>
    <col min="10002" max="10002" width="10.5703125" style="1" customWidth="1"/>
    <col min="10003" max="10003" width="10.85546875" style="1" customWidth="1"/>
    <col min="10004" max="10004" width="18" style="1" customWidth="1"/>
    <col min="10005" max="10005" width="20.85546875" style="1" customWidth="1"/>
    <col min="10006" max="10006" width="13.5703125" style="1" customWidth="1"/>
    <col min="10007" max="10007" width="14.140625" style="1" customWidth="1"/>
    <col min="10008" max="10010" width="8.85546875" style="1" customWidth="1"/>
    <col min="10011" max="10011" width="9.28515625" style="1" customWidth="1"/>
    <col min="10012" max="10012" width="14" style="1" customWidth="1"/>
    <col min="10013" max="10014" width="8.85546875" style="1" customWidth="1"/>
    <col min="10015" max="10015" width="10.140625" style="1" customWidth="1"/>
    <col min="10016" max="10017" width="9.5703125" style="1" customWidth="1"/>
    <col min="10018" max="10018" width="9.85546875" style="1" customWidth="1"/>
    <col min="10019" max="10020" width="10.140625" style="1" customWidth="1"/>
    <col min="10021" max="10023" width="9.28515625" style="1" customWidth="1"/>
    <col min="10024" max="10024" width="9.85546875" style="1" customWidth="1"/>
    <col min="10025" max="10026" width="8.5703125" style="1" customWidth="1"/>
    <col min="10027" max="10029" width="8.85546875" style="1" customWidth="1"/>
    <col min="10030" max="10030" width="9.28515625" style="1" customWidth="1"/>
    <col min="10031" max="10032" width="8.85546875" style="1" customWidth="1"/>
    <col min="10033" max="10033" width="10" style="1" customWidth="1"/>
    <col min="10034" max="10035" width="8.85546875" style="1" customWidth="1"/>
    <col min="10036" max="10036" width="11" style="1" customWidth="1"/>
    <col min="10037" max="10038" width="9.5703125" style="1" customWidth="1"/>
    <col min="10039" max="10041" width="8.85546875" style="1" customWidth="1"/>
    <col min="10042" max="10042" width="10.42578125" style="1" customWidth="1"/>
    <col min="10043" max="10044" width="8.85546875" style="1" customWidth="1"/>
    <col min="10045" max="10045" width="9.7109375" style="1" customWidth="1"/>
    <col min="10046" max="10047" width="8.85546875" style="1" customWidth="1"/>
    <col min="10048" max="10048" width="9.28515625" style="1" customWidth="1"/>
    <col min="10049" max="10069" width="8.85546875" style="1" customWidth="1"/>
    <col min="10070" max="10070" width="9.85546875" style="1" customWidth="1"/>
    <col min="10071" max="10071" width="8.85546875" style="1" customWidth="1"/>
    <col min="10072" max="10072" width="10" style="1" customWidth="1"/>
    <col min="10073" max="10089" width="8.85546875" style="1" customWidth="1"/>
    <col min="10090" max="10090" width="9.42578125" style="1" customWidth="1"/>
    <col min="10091" max="10091" width="8.85546875" style="1" customWidth="1"/>
    <col min="10092" max="10092" width="12" style="1" customWidth="1"/>
    <col min="10093" max="10093" width="11.140625" style="1" customWidth="1"/>
    <col min="10094" max="10094" width="28.7109375" style="1" customWidth="1"/>
    <col min="10095" max="10095" width="5.85546875" style="1" customWidth="1"/>
    <col min="10096" max="10245" width="9.140625" style="1"/>
    <col min="10246" max="10246" width="3.42578125" style="1" customWidth="1"/>
    <col min="10247" max="10247" width="27.85546875" style="1" customWidth="1"/>
    <col min="10248" max="10248" width="11.85546875" style="1" customWidth="1"/>
    <col min="10249" max="10249" width="15.140625" style="1" customWidth="1"/>
    <col min="10250" max="10250" width="10.28515625" style="1" customWidth="1"/>
    <col min="10251" max="10252" width="9.7109375" style="1" customWidth="1"/>
    <col min="10253" max="10253" width="10.42578125" style="1" customWidth="1"/>
    <col min="10254" max="10254" width="10.42578125" style="1" bestFit="1" customWidth="1"/>
    <col min="10255" max="10255" width="16.28515625" style="1" customWidth="1"/>
    <col min="10256" max="10256" width="15.140625" style="1" customWidth="1"/>
    <col min="10257" max="10257" width="13.5703125" style="1" customWidth="1"/>
    <col min="10258" max="10258" width="10.5703125" style="1" customWidth="1"/>
    <col min="10259" max="10259" width="10.85546875" style="1" customWidth="1"/>
    <col min="10260" max="10260" width="18" style="1" customWidth="1"/>
    <col min="10261" max="10261" width="20.85546875" style="1" customWidth="1"/>
    <col min="10262" max="10262" width="13.5703125" style="1" customWidth="1"/>
    <col min="10263" max="10263" width="14.140625" style="1" customWidth="1"/>
    <col min="10264" max="10266" width="8.85546875" style="1" customWidth="1"/>
    <col min="10267" max="10267" width="9.28515625" style="1" customWidth="1"/>
    <col min="10268" max="10268" width="14" style="1" customWidth="1"/>
    <col min="10269" max="10270" width="8.85546875" style="1" customWidth="1"/>
    <col min="10271" max="10271" width="10.140625" style="1" customWidth="1"/>
    <col min="10272" max="10273" width="9.5703125" style="1" customWidth="1"/>
    <col min="10274" max="10274" width="9.85546875" style="1" customWidth="1"/>
    <col min="10275" max="10276" width="10.140625" style="1" customWidth="1"/>
    <col min="10277" max="10279" width="9.28515625" style="1" customWidth="1"/>
    <col min="10280" max="10280" width="9.85546875" style="1" customWidth="1"/>
    <col min="10281" max="10282" width="8.5703125" style="1" customWidth="1"/>
    <col min="10283" max="10285" width="8.85546875" style="1" customWidth="1"/>
    <col min="10286" max="10286" width="9.28515625" style="1" customWidth="1"/>
    <col min="10287" max="10288" width="8.85546875" style="1" customWidth="1"/>
    <col min="10289" max="10289" width="10" style="1" customWidth="1"/>
    <col min="10290" max="10291" width="8.85546875" style="1" customWidth="1"/>
    <col min="10292" max="10292" width="11" style="1" customWidth="1"/>
    <col min="10293" max="10294" width="9.5703125" style="1" customWidth="1"/>
    <col min="10295" max="10297" width="8.85546875" style="1" customWidth="1"/>
    <col min="10298" max="10298" width="10.42578125" style="1" customWidth="1"/>
    <col min="10299" max="10300" width="8.85546875" style="1" customWidth="1"/>
    <col min="10301" max="10301" width="9.7109375" style="1" customWidth="1"/>
    <col min="10302" max="10303" width="8.85546875" style="1" customWidth="1"/>
    <col min="10304" max="10304" width="9.28515625" style="1" customWidth="1"/>
    <col min="10305" max="10325" width="8.85546875" style="1" customWidth="1"/>
    <col min="10326" max="10326" width="9.85546875" style="1" customWidth="1"/>
    <col min="10327" max="10327" width="8.85546875" style="1" customWidth="1"/>
    <col min="10328" max="10328" width="10" style="1" customWidth="1"/>
    <col min="10329" max="10345" width="8.85546875" style="1" customWidth="1"/>
    <col min="10346" max="10346" width="9.42578125" style="1" customWidth="1"/>
    <col min="10347" max="10347" width="8.85546875" style="1" customWidth="1"/>
    <col min="10348" max="10348" width="12" style="1" customWidth="1"/>
    <col min="10349" max="10349" width="11.140625" style="1" customWidth="1"/>
    <col min="10350" max="10350" width="28.7109375" style="1" customWidth="1"/>
    <col min="10351" max="10351" width="5.85546875" style="1" customWidth="1"/>
    <col min="10352" max="10501" width="9.140625" style="1"/>
    <col min="10502" max="10502" width="3.42578125" style="1" customWidth="1"/>
    <col min="10503" max="10503" width="27.85546875" style="1" customWidth="1"/>
    <col min="10504" max="10504" width="11.85546875" style="1" customWidth="1"/>
    <col min="10505" max="10505" width="15.140625" style="1" customWidth="1"/>
    <col min="10506" max="10506" width="10.28515625" style="1" customWidth="1"/>
    <col min="10507" max="10508" width="9.7109375" style="1" customWidth="1"/>
    <col min="10509" max="10509" width="10.42578125" style="1" customWidth="1"/>
    <col min="10510" max="10510" width="10.42578125" style="1" bestFit="1" customWidth="1"/>
    <col min="10511" max="10511" width="16.28515625" style="1" customWidth="1"/>
    <col min="10512" max="10512" width="15.140625" style="1" customWidth="1"/>
    <col min="10513" max="10513" width="13.5703125" style="1" customWidth="1"/>
    <col min="10514" max="10514" width="10.5703125" style="1" customWidth="1"/>
    <col min="10515" max="10515" width="10.85546875" style="1" customWidth="1"/>
    <col min="10516" max="10516" width="18" style="1" customWidth="1"/>
    <col min="10517" max="10517" width="20.85546875" style="1" customWidth="1"/>
    <col min="10518" max="10518" width="13.5703125" style="1" customWidth="1"/>
    <col min="10519" max="10519" width="14.140625" style="1" customWidth="1"/>
    <col min="10520" max="10522" width="8.85546875" style="1" customWidth="1"/>
    <col min="10523" max="10523" width="9.28515625" style="1" customWidth="1"/>
    <col min="10524" max="10524" width="14" style="1" customWidth="1"/>
    <col min="10525" max="10526" width="8.85546875" style="1" customWidth="1"/>
    <col min="10527" max="10527" width="10.140625" style="1" customWidth="1"/>
    <col min="10528" max="10529" width="9.5703125" style="1" customWidth="1"/>
    <col min="10530" max="10530" width="9.85546875" style="1" customWidth="1"/>
    <col min="10531" max="10532" width="10.140625" style="1" customWidth="1"/>
    <col min="10533" max="10535" width="9.28515625" style="1" customWidth="1"/>
    <col min="10536" max="10536" width="9.85546875" style="1" customWidth="1"/>
    <col min="10537" max="10538" width="8.5703125" style="1" customWidth="1"/>
    <col min="10539" max="10541" width="8.85546875" style="1" customWidth="1"/>
    <col min="10542" max="10542" width="9.28515625" style="1" customWidth="1"/>
    <col min="10543" max="10544" width="8.85546875" style="1" customWidth="1"/>
    <col min="10545" max="10545" width="10" style="1" customWidth="1"/>
    <col min="10546" max="10547" width="8.85546875" style="1" customWidth="1"/>
    <col min="10548" max="10548" width="11" style="1" customWidth="1"/>
    <col min="10549" max="10550" width="9.5703125" style="1" customWidth="1"/>
    <col min="10551" max="10553" width="8.85546875" style="1" customWidth="1"/>
    <col min="10554" max="10554" width="10.42578125" style="1" customWidth="1"/>
    <col min="10555" max="10556" width="8.85546875" style="1" customWidth="1"/>
    <col min="10557" max="10557" width="9.7109375" style="1" customWidth="1"/>
    <col min="10558" max="10559" width="8.85546875" style="1" customWidth="1"/>
    <col min="10560" max="10560" width="9.28515625" style="1" customWidth="1"/>
    <col min="10561" max="10581" width="8.85546875" style="1" customWidth="1"/>
    <col min="10582" max="10582" width="9.85546875" style="1" customWidth="1"/>
    <col min="10583" max="10583" width="8.85546875" style="1" customWidth="1"/>
    <col min="10584" max="10584" width="10" style="1" customWidth="1"/>
    <col min="10585" max="10601" width="8.85546875" style="1" customWidth="1"/>
    <col min="10602" max="10602" width="9.42578125" style="1" customWidth="1"/>
    <col min="10603" max="10603" width="8.85546875" style="1" customWidth="1"/>
    <col min="10604" max="10604" width="12" style="1" customWidth="1"/>
    <col min="10605" max="10605" width="11.140625" style="1" customWidth="1"/>
    <col min="10606" max="10606" width="28.7109375" style="1" customWidth="1"/>
    <col min="10607" max="10607" width="5.85546875" style="1" customWidth="1"/>
    <col min="10608" max="10757" width="9.140625" style="1"/>
    <col min="10758" max="10758" width="3.42578125" style="1" customWidth="1"/>
    <col min="10759" max="10759" width="27.85546875" style="1" customWidth="1"/>
    <col min="10760" max="10760" width="11.85546875" style="1" customWidth="1"/>
    <col min="10761" max="10761" width="15.140625" style="1" customWidth="1"/>
    <col min="10762" max="10762" width="10.28515625" style="1" customWidth="1"/>
    <col min="10763" max="10764" width="9.7109375" style="1" customWidth="1"/>
    <col min="10765" max="10765" width="10.42578125" style="1" customWidth="1"/>
    <col min="10766" max="10766" width="10.42578125" style="1" bestFit="1" customWidth="1"/>
    <col min="10767" max="10767" width="16.28515625" style="1" customWidth="1"/>
    <col min="10768" max="10768" width="15.140625" style="1" customWidth="1"/>
    <col min="10769" max="10769" width="13.5703125" style="1" customWidth="1"/>
    <col min="10770" max="10770" width="10.5703125" style="1" customWidth="1"/>
    <col min="10771" max="10771" width="10.85546875" style="1" customWidth="1"/>
    <col min="10772" max="10772" width="18" style="1" customWidth="1"/>
    <col min="10773" max="10773" width="20.85546875" style="1" customWidth="1"/>
    <col min="10774" max="10774" width="13.5703125" style="1" customWidth="1"/>
    <col min="10775" max="10775" width="14.140625" style="1" customWidth="1"/>
    <col min="10776" max="10778" width="8.85546875" style="1" customWidth="1"/>
    <col min="10779" max="10779" width="9.28515625" style="1" customWidth="1"/>
    <col min="10780" max="10780" width="14" style="1" customWidth="1"/>
    <col min="10781" max="10782" width="8.85546875" style="1" customWidth="1"/>
    <col min="10783" max="10783" width="10.140625" style="1" customWidth="1"/>
    <col min="10784" max="10785" width="9.5703125" style="1" customWidth="1"/>
    <col min="10786" max="10786" width="9.85546875" style="1" customWidth="1"/>
    <col min="10787" max="10788" width="10.140625" style="1" customWidth="1"/>
    <col min="10789" max="10791" width="9.28515625" style="1" customWidth="1"/>
    <col min="10792" max="10792" width="9.85546875" style="1" customWidth="1"/>
    <col min="10793" max="10794" width="8.5703125" style="1" customWidth="1"/>
    <col min="10795" max="10797" width="8.85546875" style="1" customWidth="1"/>
    <col min="10798" max="10798" width="9.28515625" style="1" customWidth="1"/>
    <col min="10799" max="10800" width="8.85546875" style="1" customWidth="1"/>
    <col min="10801" max="10801" width="10" style="1" customWidth="1"/>
    <col min="10802" max="10803" width="8.85546875" style="1" customWidth="1"/>
    <col min="10804" max="10804" width="11" style="1" customWidth="1"/>
    <col min="10805" max="10806" width="9.5703125" style="1" customWidth="1"/>
    <col min="10807" max="10809" width="8.85546875" style="1" customWidth="1"/>
    <col min="10810" max="10810" width="10.42578125" style="1" customWidth="1"/>
    <col min="10811" max="10812" width="8.85546875" style="1" customWidth="1"/>
    <col min="10813" max="10813" width="9.7109375" style="1" customWidth="1"/>
    <col min="10814" max="10815" width="8.85546875" style="1" customWidth="1"/>
    <col min="10816" max="10816" width="9.28515625" style="1" customWidth="1"/>
    <col min="10817" max="10837" width="8.85546875" style="1" customWidth="1"/>
    <col min="10838" max="10838" width="9.85546875" style="1" customWidth="1"/>
    <col min="10839" max="10839" width="8.85546875" style="1" customWidth="1"/>
    <col min="10840" max="10840" width="10" style="1" customWidth="1"/>
    <col min="10841" max="10857" width="8.85546875" style="1" customWidth="1"/>
    <col min="10858" max="10858" width="9.42578125" style="1" customWidth="1"/>
    <col min="10859" max="10859" width="8.85546875" style="1" customWidth="1"/>
    <col min="10860" max="10860" width="12" style="1" customWidth="1"/>
    <col min="10861" max="10861" width="11.140625" style="1" customWidth="1"/>
    <col min="10862" max="10862" width="28.7109375" style="1" customWidth="1"/>
    <col min="10863" max="10863" width="5.85546875" style="1" customWidth="1"/>
    <col min="10864" max="11013" width="9.140625" style="1"/>
    <col min="11014" max="11014" width="3.42578125" style="1" customWidth="1"/>
    <col min="11015" max="11015" width="27.85546875" style="1" customWidth="1"/>
    <col min="11016" max="11016" width="11.85546875" style="1" customWidth="1"/>
    <col min="11017" max="11017" width="15.140625" style="1" customWidth="1"/>
    <col min="11018" max="11018" width="10.28515625" style="1" customWidth="1"/>
    <col min="11019" max="11020" width="9.7109375" style="1" customWidth="1"/>
    <col min="11021" max="11021" width="10.42578125" style="1" customWidth="1"/>
    <col min="11022" max="11022" width="10.42578125" style="1" bestFit="1" customWidth="1"/>
    <col min="11023" max="11023" width="16.28515625" style="1" customWidth="1"/>
    <col min="11024" max="11024" width="15.140625" style="1" customWidth="1"/>
    <col min="11025" max="11025" width="13.5703125" style="1" customWidth="1"/>
    <col min="11026" max="11026" width="10.5703125" style="1" customWidth="1"/>
    <col min="11027" max="11027" width="10.85546875" style="1" customWidth="1"/>
    <col min="11028" max="11028" width="18" style="1" customWidth="1"/>
    <col min="11029" max="11029" width="20.85546875" style="1" customWidth="1"/>
    <col min="11030" max="11030" width="13.5703125" style="1" customWidth="1"/>
    <col min="11031" max="11031" width="14.140625" style="1" customWidth="1"/>
    <col min="11032" max="11034" width="8.85546875" style="1" customWidth="1"/>
    <col min="11035" max="11035" width="9.28515625" style="1" customWidth="1"/>
    <col min="11036" max="11036" width="14" style="1" customWidth="1"/>
    <col min="11037" max="11038" width="8.85546875" style="1" customWidth="1"/>
    <col min="11039" max="11039" width="10.140625" style="1" customWidth="1"/>
    <col min="11040" max="11041" width="9.5703125" style="1" customWidth="1"/>
    <col min="11042" max="11042" width="9.85546875" style="1" customWidth="1"/>
    <col min="11043" max="11044" width="10.140625" style="1" customWidth="1"/>
    <col min="11045" max="11047" width="9.28515625" style="1" customWidth="1"/>
    <col min="11048" max="11048" width="9.85546875" style="1" customWidth="1"/>
    <col min="11049" max="11050" width="8.5703125" style="1" customWidth="1"/>
    <col min="11051" max="11053" width="8.85546875" style="1" customWidth="1"/>
    <col min="11054" max="11054" width="9.28515625" style="1" customWidth="1"/>
    <col min="11055" max="11056" width="8.85546875" style="1" customWidth="1"/>
    <col min="11057" max="11057" width="10" style="1" customWidth="1"/>
    <col min="11058" max="11059" width="8.85546875" style="1" customWidth="1"/>
    <col min="11060" max="11060" width="11" style="1" customWidth="1"/>
    <col min="11061" max="11062" width="9.5703125" style="1" customWidth="1"/>
    <col min="11063" max="11065" width="8.85546875" style="1" customWidth="1"/>
    <col min="11066" max="11066" width="10.42578125" style="1" customWidth="1"/>
    <col min="11067" max="11068" width="8.85546875" style="1" customWidth="1"/>
    <col min="11069" max="11069" width="9.7109375" style="1" customWidth="1"/>
    <col min="11070" max="11071" width="8.85546875" style="1" customWidth="1"/>
    <col min="11072" max="11072" width="9.28515625" style="1" customWidth="1"/>
    <col min="11073" max="11093" width="8.85546875" style="1" customWidth="1"/>
    <col min="11094" max="11094" width="9.85546875" style="1" customWidth="1"/>
    <col min="11095" max="11095" width="8.85546875" style="1" customWidth="1"/>
    <col min="11096" max="11096" width="10" style="1" customWidth="1"/>
    <col min="11097" max="11113" width="8.85546875" style="1" customWidth="1"/>
    <col min="11114" max="11114" width="9.42578125" style="1" customWidth="1"/>
    <col min="11115" max="11115" width="8.85546875" style="1" customWidth="1"/>
    <col min="11116" max="11116" width="12" style="1" customWidth="1"/>
    <col min="11117" max="11117" width="11.140625" style="1" customWidth="1"/>
    <col min="11118" max="11118" width="28.7109375" style="1" customWidth="1"/>
    <col min="11119" max="11119" width="5.85546875" style="1" customWidth="1"/>
    <col min="11120" max="11269" width="9.140625" style="1"/>
    <col min="11270" max="11270" width="3.42578125" style="1" customWidth="1"/>
    <col min="11271" max="11271" width="27.85546875" style="1" customWidth="1"/>
    <col min="11272" max="11272" width="11.85546875" style="1" customWidth="1"/>
    <col min="11273" max="11273" width="15.140625" style="1" customWidth="1"/>
    <col min="11274" max="11274" width="10.28515625" style="1" customWidth="1"/>
    <col min="11275" max="11276" width="9.7109375" style="1" customWidth="1"/>
    <col min="11277" max="11277" width="10.42578125" style="1" customWidth="1"/>
    <col min="11278" max="11278" width="10.42578125" style="1" bestFit="1" customWidth="1"/>
    <col min="11279" max="11279" width="16.28515625" style="1" customWidth="1"/>
    <col min="11280" max="11280" width="15.140625" style="1" customWidth="1"/>
    <col min="11281" max="11281" width="13.5703125" style="1" customWidth="1"/>
    <col min="11282" max="11282" width="10.5703125" style="1" customWidth="1"/>
    <col min="11283" max="11283" width="10.85546875" style="1" customWidth="1"/>
    <col min="11284" max="11284" width="18" style="1" customWidth="1"/>
    <col min="11285" max="11285" width="20.85546875" style="1" customWidth="1"/>
    <col min="11286" max="11286" width="13.5703125" style="1" customWidth="1"/>
    <col min="11287" max="11287" width="14.140625" style="1" customWidth="1"/>
    <col min="11288" max="11290" width="8.85546875" style="1" customWidth="1"/>
    <col min="11291" max="11291" width="9.28515625" style="1" customWidth="1"/>
    <col min="11292" max="11292" width="14" style="1" customWidth="1"/>
    <col min="11293" max="11294" width="8.85546875" style="1" customWidth="1"/>
    <col min="11295" max="11295" width="10.140625" style="1" customWidth="1"/>
    <col min="11296" max="11297" width="9.5703125" style="1" customWidth="1"/>
    <col min="11298" max="11298" width="9.85546875" style="1" customWidth="1"/>
    <col min="11299" max="11300" width="10.140625" style="1" customWidth="1"/>
    <col min="11301" max="11303" width="9.28515625" style="1" customWidth="1"/>
    <col min="11304" max="11304" width="9.85546875" style="1" customWidth="1"/>
    <col min="11305" max="11306" width="8.5703125" style="1" customWidth="1"/>
    <col min="11307" max="11309" width="8.85546875" style="1" customWidth="1"/>
    <col min="11310" max="11310" width="9.28515625" style="1" customWidth="1"/>
    <col min="11311" max="11312" width="8.85546875" style="1" customWidth="1"/>
    <col min="11313" max="11313" width="10" style="1" customWidth="1"/>
    <col min="11314" max="11315" width="8.85546875" style="1" customWidth="1"/>
    <col min="11316" max="11316" width="11" style="1" customWidth="1"/>
    <col min="11317" max="11318" width="9.5703125" style="1" customWidth="1"/>
    <col min="11319" max="11321" width="8.85546875" style="1" customWidth="1"/>
    <col min="11322" max="11322" width="10.42578125" style="1" customWidth="1"/>
    <col min="11323" max="11324" width="8.85546875" style="1" customWidth="1"/>
    <col min="11325" max="11325" width="9.7109375" style="1" customWidth="1"/>
    <col min="11326" max="11327" width="8.85546875" style="1" customWidth="1"/>
    <col min="11328" max="11328" width="9.28515625" style="1" customWidth="1"/>
    <col min="11329" max="11349" width="8.85546875" style="1" customWidth="1"/>
    <col min="11350" max="11350" width="9.85546875" style="1" customWidth="1"/>
    <col min="11351" max="11351" width="8.85546875" style="1" customWidth="1"/>
    <col min="11352" max="11352" width="10" style="1" customWidth="1"/>
    <col min="11353" max="11369" width="8.85546875" style="1" customWidth="1"/>
    <col min="11370" max="11370" width="9.42578125" style="1" customWidth="1"/>
    <col min="11371" max="11371" width="8.85546875" style="1" customWidth="1"/>
    <col min="11372" max="11372" width="12" style="1" customWidth="1"/>
    <col min="11373" max="11373" width="11.140625" style="1" customWidth="1"/>
    <col min="11374" max="11374" width="28.7109375" style="1" customWidth="1"/>
    <col min="11375" max="11375" width="5.85546875" style="1" customWidth="1"/>
    <col min="11376" max="11525" width="9.140625" style="1"/>
    <col min="11526" max="11526" width="3.42578125" style="1" customWidth="1"/>
    <col min="11527" max="11527" width="27.85546875" style="1" customWidth="1"/>
    <col min="11528" max="11528" width="11.85546875" style="1" customWidth="1"/>
    <col min="11529" max="11529" width="15.140625" style="1" customWidth="1"/>
    <col min="11530" max="11530" width="10.28515625" style="1" customWidth="1"/>
    <col min="11531" max="11532" width="9.7109375" style="1" customWidth="1"/>
    <col min="11533" max="11533" width="10.42578125" style="1" customWidth="1"/>
    <col min="11534" max="11534" width="10.42578125" style="1" bestFit="1" customWidth="1"/>
    <col min="11535" max="11535" width="16.28515625" style="1" customWidth="1"/>
    <col min="11536" max="11536" width="15.140625" style="1" customWidth="1"/>
    <col min="11537" max="11537" width="13.5703125" style="1" customWidth="1"/>
    <col min="11538" max="11538" width="10.5703125" style="1" customWidth="1"/>
    <col min="11539" max="11539" width="10.85546875" style="1" customWidth="1"/>
    <col min="11540" max="11540" width="18" style="1" customWidth="1"/>
    <col min="11541" max="11541" width="20.85546875" style="1" customWidth="1"/>
    <col min="11542" max="11542" width="13.5703125" style="1" customWidth="1"/>
    <col min="11543" max="11543" width="14.140625" style="1" customWidth="1"/>
    <col min="11544" max="11546" width="8.85546875" style="1" customWidth="1"/>
    <col min="11547" max="11547" width="9.28515625" style="1" customWidth="1"/>
    <col min="11548" max="11548" width="14" style="1" customWidth="1"/>
    <col min="11549" max="11550" width="8.85546875" style="1" customWidth="1"/>
    <col min="11551" max="11551" width="10.140625" style="1" customWidth="1"/>
    <col min="11552" max="11553" width="9.5703125" style="1" customWidth="1"/>
    <col min="11554" max="11554" width="9.85546875" style="1" customWidth="1"/>
    <col min="11555" max="11556" width="10.140625" style="1" customWidth="1"/>
    <col min="11557" max="11559" width="9.28515625" style="1" customWidth="1"/>
    <col min="11560" max="11560" width="9.85546875" style="1" customWidth="1"/>
    <col min="11561" max="11562" width="8.5703125" style="1" customWidth="1"/>
    <col min="11563" max="11565" width="8.85546875" style="1" customWidth="1"/>
    <col min="11566" max="11566" width="9.28515625" style="1" customWidth="1"/>
    <col min="11567" max="11568" width="8.85546875" style="1" customWidth="1"/>
    <col min="11569" max="11569" width="10" style="1" customWidth="1"/>
    <col min="11570" max="11571" width="8.85546875" style="1" customWidth="1"/>
    <col min="11572" max="11572" width="11" style="1" customWidth="1"/>
    <col min="11573" max="11574" width="9.5703125" style="1" customWidth="1"/>
    <col min="11575" max="11577" width="8.85546875" style="1" customWidth="1"/>
    <col min="11578" max="11578" width="10.42578125" style="1" customWidth="1"/>
    <col min="11579" max="11580" width="8.85546875" style="1" customWidth="1"/>
    <col min="11581" max="11581" width="9.7109375" style="1" customWidth="1"/>
    <col min="11582" max="11583" width="8.85546875" style="1" customWidth="1"/>
    <col min="11584" max="11584" width="9.28515625" style="1" customWidth="1"/>
    <col min="11585" max="11605" width="8.85546875" style="1" customWidth="1"/>
    <col min="11606" max="11606" width="9.85546875" style="1" customWidth="1"/>
    <col min="11607" max="11607" width="8.85546875" style="1" customWidth="1"/>
    <col min="11608" max="11608" width="10" style="1" customWidth="1"/>
    <col min="11609" max="11625" width="8.85546875" style="1" customWidth="1"/>
    <col min="11626" max="11626" width="9.42578125" style="1" customWidth="1"/>
    <col min="11627" max="11627" width="8.85546875" style="1" customWidth="1"/>
    <col min="11628" max="11628" width="12" style="1" customWidth="1"/>
    <col min="11629" max="11629" width="11.140625" style="1" customWidth="1"/>
    <col min="11630" max="11630" width="28.7109375" style="1" customWidth="1"/>
    <col min="11631" max="11631" width="5.85546875" style="1" customWidth="1"/>
    <col min="11632" max="11781" width="9.140625" style="1"/>
    <col min="11782" max="11782" width="3.42578125" style="1" customWidth="1"/>
    <col min="11783" max="11783" width="27.85546875" style="1" customWidth="1"/>
    <col min="11784" max="11784" width="11.85546875" style="1" customWidth="1"/>
    <col min="11785" max="11785" width="15.140625" style="1" customWidth="1"/>
    <col min="11786" max="11786" width="10.28515625" style="1" customWidth="1"/>
    <col min="11787" max="11788" width="9.7109375" style="1" customWidth="1"/>
    <col min="11789" max="11789" width="10.42578125" style="1" customWidth="1"/>
    <col min="11790" max="11790" width="10.42578125" style="1" bestFit="1" customWidth="1"/>
    <col min="11791" max="11791" width="16.28515625" style="1" customWidth="1"/>
    <col min="11792" max="11792" width="15.140625" style="1" customWidth="1"/>
    <col min="11793" max="11793" width="13.5703125" style="1" customWidth="1"/>
    <col min="11794" max="11794" width="10.5703125" style="1" customWidth="1"/>
    <col min="11795" max="11795" width="10.85546875" style="1" customWidth="1"/>
    <col min="11796" max="11796" width="18" style="1" customWidth="1"/>
    <col min="11797" max="11797" width="20.85546875" style="1" customWidth="1"/>
    <col min="11798" max="11798" width="13.5703125" style="1" customWidth="1"/>
    <col min="11799" max="11799" width="14.140625" style="1" customWidth="1"/>
    <col min="11800" max="11802" width="8.85546875" style="1" customWidth="1"/>
    <col min="11803" max="11803" width="9.28515625" style="1" customWidth="1"/>
    <col min="11804" max="11804" width="14" style="1" customWidth="1"/>
    <col min="11805" max="11806" width="8.85546875" style="1" customWidth="1"/>
    <col min="11807" max="11807" width="10.140625" style="1" customWidth="1"/>
    <col min="11808" max="11809" width="9.5703125" style="1" customWidth="1"/>
    <col min="11810" max="11810" width="9.85546875" style="1" customWidth="1"/>
    <col min="11811" max="11812" width="10.140625" style="1" customWidth="1"/>
    <col min="11813" max="11815" width="9.28515625" style="1" customWidth="1"/>
    <col min="11816" max="11816" width="9.85546875" style="1" customWidth="1"/>
    <col min="11817" max="11818" width="8.5703125" style="1" customWidth="1"/>
    <col min="11819" max="11821" width="8.85546875" style="1" customWidth="1"/>
    <col min="11822" max="11822" width="9.28515625" style="1" customWidth="1"/>
    <col min="11823" max="11824" width="8.85546875" style="1" customWidth="1"/>
    <col min="11825" max="11825" width="10" style="1" customWidth="1"/>
    <col min="11826" max="11827" width="8.85546875" style="1" customWidth="1"/>
    <col min="11828" max="11828" width="11" style="1" customWidth="1"/>
    <col min="11829" max="11830" width="9.5703125" style="1" customWidth="1"/>
    <col min="11831" max="11833" width="8.85546875" style="1" customWidth="1"/>
    <col min="11834" max="11834" width="10.42578125" style="1" customWidth="1"/>
    <col min="11835" max="11836" width="8.85546875" style="1" customWidth="1"/>
    <col min="11837" max="11837" width="9.7109375" style="1" customWidth="1"/>
    <col min="11838" max="11839" width="8.85546875" style="1" customWidth="1"/>
    <col min="11840" max="11840" width="9.28515625" style="1" customWidth="1"/>
    <col min="11841" max="11861" width="8.85546875" style="1" customWidth="1"/>
    <col min="11862" max="11862" width="9.85546875" style="1" customWidth="1"/>
    <col min="11863" max="11863" width="8.85546875" style="1" customWidth="1"/>
    <col min="11864" max="11864" width="10" style="1" customWidth="1"/>
    <col min="11865" max="11881" width="8.85546875" style="1" customWidth="1"/>
    <col min="11882" max="11882" width="9.42578125" style="1" customWidth="1"/>
    <col min="11883" max="11883" width="8.85546875" style="1" customWidth="1"/>
    <col min="11884" max="11884" width="12" style="1" customWidth="1"/>
    <col min="11885" max="11885" width="11.140625" style="1" customWidth="1"/>
    <col min="11886" max="11886" width="28.7109375" style="1" customWidth="1"/>
    <col min="11887" max="11887" width="5.85546875" style="1" customWidth="1"/>
    <col min="11888" max="12037" width="9.140625" style="1"/>
    <col min="12038" max="12038" width="3.42578125" style="1" customWidth="1"/>
    <col min="12039" max="12039" width="27.85546875" style="1" customWidth="1"/>
    <col min="12040" max="12040" width="11.85546875" style="1" customWidth="1"/>
    <col min="12041" max="12041" width="15.140625" style="1" customWidth="1"/>
    <col min="12042" max="12042" width="10.28515625" style="1" customWidth="1"/>
    <col min="12043" max="12044" width="9.7109375" style="1" customWidth="1"/>
    <col min="12045" max="12045" width="10.42578125" style="1" customWidth="1"/>
    <col min="12046" max="12046" width="10.42578125" style="1" bestFit="1" customWidth="1"/>
    <col min="12047" max="12047" width="16.28515625" style="1" customWidth="1"/>
    <col min="12048" max="12048" width="15.140625" style="1" customWidth="1"/>
    <col min="12049" max="12049" width="13.5703125" style="1" customWidth="1"/>
    <col min="12050" max="12050" width="10.5703125" style="1" customWidth="1"/>
    <col min="12051" max="12051" width="10.85546875" style="1" customWidth="1"/>
    <col min="12052" max="12052" width="18" style="1" customWidth="1"/>
    <col min="12053" max="12053" width="20.85546875" style="1" customWidth="1"/>
    <col min="12054" max="12054" width="13.5703125" style="1" customWidth="1"/>
    <col min="12055" max="12055" width="14.140625" style="1" customWidth="1"/>
    <col min="12056" max="12058" width="8.85546875" style="1" customWidth="1"/>
    <col min="12059" max="12059" width="9.28515625" style="1" customWidth="1"/>
    <col min="12060" max="12060" width="14" style="1" customWidth="1"/>
    <col min="12061" max="12062" width="8.85546875" style="1" customWidth="1"/>
    <col min="12063" max="12063" width="10.140625" style="1" customWidth="1"/>
    <col min="12064" max="12065" width="9.5703125" style="1" customWidth="1"/>
    <col min="12066" max="12066" width="9.85546875" style="1" customWidth="1"/>
    <col min="12067" max="12068" width="10.140625" style="1" customWidth="1"/>
    <col min="12069" max="12071" width="9.28515625" style="1" customWidth="1"/>
    <col min="12072" max="12072" width="9.85546875" style="1" customWidth="1"/>
    <col min="12073" max="12074" width="8.5703125" style="1" customWidth="1"/>
    <col min="12075" max="12077" width="8.85546875" style="1" customWidth="1"/>
    <col min="12078" max="12078" width="9.28515625" style="1" customWidth="1"/>
    <col min="12079" max="12080" width="8.85546875" style="1" customWidth="1"/>
    <col min="12081" max="12081" width="10" style="1" customWidth="1"/>
    <col min="12082" max="12083" width="8.85546875" style="1" customWidth="1"/>
    <col min="12084" max="12084" width="11" style="1" customWidth="1"/>
    <col min="12085" max="12086" width="9.5703125" style="1" customWidth="1"/>
    <col min="12087" max="12089" width="8.85546875" style="1" customWidth="1"/>
    <col min="12090" max="12090" width="10.42578125" style="1" customWidth="1"/>
    <col min="12091" max="12092" width="8.85546875" style="1" customWidth="1"/>
    <col min="12093" max="12093" width="9.7109375" style="1" customWidth="1"/>
    <col min="12094" max="12095" width="8.85546875" style="1" customWidth="1"/>
    <col min="12096" max="12096" width="9.28515625" style="1" customWidth="1"/>
    <col min="12097" max="12117" width="8.85546875" style="1" customWidth="1"/>
    <col min="12118" max="12118" width="9.85546875" style="1" customWidth="1"/>
    <col min="12119" max="12119" width="8.85546875" style="1" customWidth="1"/>
    <col min="12120" max="12120" width="10" style="1" customWidth="1"/>
    <col min="12121" max="12137" width="8.85546875" style="1" customWidth="1"/>
    <col min="12138" max="12138" width="9.42578125" style="1" customWidth="1"/>
    <col min="12139" max="12139" width="8.85546875" style="1" customWidth="1"/>
    <col min="12140" max="12140" width="12" style="1" customWidth="1"/>
    <col min="12141" max="12141" width="11.140625" style="1" customWidth="1"/>
    <col min="12142" max="12142" width="28.7109375" style="1" customWidth="1"/>
    <col min="12143" max="12143" width="5.85546875" style="1" customWidth="1"/>
    <col min="12144" max="12293" width="9.140625" style="1"/>
    <col min="12294" max="12294" width="3.42578125" style="1" customWidth="1"/>
    <col min="12295" max="12295" width="27.85546875" style="1" customWidth="1"/>
    <col min="12296" max="12296" width="11.85546875" style="1" customWidth="1"/>
    <col min="12297" max="12297" width="15.140625" style="1" customWidth="1"/>
    <col min="12298" max="12298" width="10.28515625" style="1" customWidth="1"/>
    <col min="12299" max="12300" width="9.7109375" style="1" customWidth="1"/>
    <col min="12301" max="12301" width="10.42578125" style="1" customWidth="1"/>
    <col min="12302" max="12302" width="10.42578125" style="1" bestFit="1" customWidth="1"/>
    <col min="12303" max="12303" width="16.28515625" style="1" customWidth="1"/>
    <col min="12304" max="12304" width="15.140625" style="1" customWidth="1"/>
    <col min="12305" max="12305" width="13.5703125" style="1" customWidth="1"/>
    <col min="12306" max="12306" width="10.5703125" style="1" customWidth="1"/>
    <col min="12307" max="12307" width="10.85546875" style="1" customWidth="1"/>
    <col min="12308" max="12308" width="18" style="1" customWidth="1"/>
    <col min="12309" max="12309" width="20.85546875" style="1" customWidth="1"/>
    <col min="12310" max="12310" width="13.5703125" style="1" customWidth="1"/>
    <col min="12311" max="12311" width="14.140625" style="1" customWidth="1"/>
    <col min="12312" max="12314" width="8.85546875" style="1" customWidth="1"/>
    <col min="12315" max="12315" width="9.28515625" style="1" customWidth="1"/>
    <col min="12316" max="12316" width="14" style="1" customWidth="1"/>
    <col min="12317" max="12318" width="8.85546875" style="1" customWidth="1"/>
    <col min="12319" max="12319" width="10.140625" style="1" customWidth="1"/>
    <col min="12320" max="12321" width="9.5703125" style="1" customWidth="1"/>
    <col min="12322" max="12322" width="9.85546875" style="1" customWidth="1"/>
    <col min="12323" max="12324" width="10.140625" style="1" customWidth="1"/>
    <col min="12325" max="12327" width="9.28515625" style="1" customWidth="1"/>
    <col min="12328" max="12328" width="9.85546875" style="1" customWidth="1"/>
    <col min="12329" max="12330" width="8.5703125" style="1" customWidth="1"/>
    <col min="12331" max="12333" width="8.85546875" style="1" customWidth="1"/>
    <col min="12334" max="12334" width="9.28515625" style="1" customWidth="1"/>
    <col min="12335" max="12336" width="8.85546875" style="1" customWidth="1"/>
    <col min="12337" max="12337" width="10" style="1" customWidth="1"/>
    <col min="12338" max="12339" width="8.85546875" style="1" customWidth="1"/>
    <col min="12340" max="12340" width="11" style="1" customWidth="1"/>
    <col min="12341" max="12342" width="9.5703125" style="1" customWidth="1"/>
    <col min="12343" max="12345" width="8.85546875" style="1" customWidth="1"/>
    <col min="12346" max="12346" width="10.42578125" style="1" customWidth="1"/>
    <col min="12347" max="12348" width="8.85546875" style="1" customWidth="1"/>
    <col min="12349" max="12349" width="9.7109375" style="1" customWidth="1"/>
    <col min="12350" max="12351" width="8.85546875" style="1" customWidth="1"/>
    <col min="12352" max="12352" width="9.28515625" style="1" customWidth="1"/>
    <col min="12353" max="12373" width="8.85546875" style="1" customWidth="1"/>
    <col min="12374" max="12374" width="9.85546875" style="1" customWidth="1"/>
    <col min="12375" max="12375" width="8.85546875" style="1" customWidth="1"/>
    <col min="12376" max="12376" width="10" style="1" customWidth="1"/>
    <col min="12377" max="12393" width="8.85546875" style="1" customWidth="1"/>
    <col min="12394" max="12394" width="9.42578125" style="1" customWidth="1"/>
    <col min="12395" max="12395" width="8.85546875" style="1" customWidth="1"/>
    <col min="12396" max="12396" width="12" style="1" customWidth="1"/>
    <col min="12397" max="12397" width="11.140625" style="1" customWidth="1"/>
    <col min="12398" max="12398" width="28.7109375" style="1" customWidth="1"/>
    <col min="12399" max="12399" width="5.85546875" style="1" customWidth="1"/>
    <col min="12400" max="12549" width="9.140625" style="1"/>
    <col min="12550" max="12550" width="3.42578125" style="1" customWidth="1"/>
    <col min="12551" max="12551" width="27.85546875" style="1" customWidth="1"/>
    <col min="12552" max="12552" width="11.85546875" style="1" customWidth="1"/>
    <col min="12553" max="12553" width="15.140625" style="1" customWidth="1"/>
    <col min="12554" max="12554" width="10.28515625" style="1" customWidth="1"/>
    <col min="12555" max="12556" width="9.7109375" style="1" customWidth="1"/>
    <col min="12557" max="12557" width="10.42578125" style="1" customWidth="1"/>
    <col min="12558" max="12558" width="10.42578125" style="1" bestFit="1" customWidth="1"/>
    <col min="12559" max="12559" width="16.28515625" style="1" customWidth="1"/>
    <col min="12560" max="12560" width="15.140625" style="1" customWidth="1"/>
    <col min="12561" max="12561" width="13.5703125" style="1" customWidth="1"/>
    <col min="12562" max="12562" width="10.5703125" style="1" customWidth="1"/>
    <col min="12563" max="12563" width="10.85546875" style="1" customWidth="1"/>
    <col min="12564" max="12564" width="18" style="1" customWidth="1"/>
    <col min="12565" max="12565" width="20.85546875" style="1" customWidth="1"/>
    <col min="12566" max="12566" width="13.5703125" style="1" customWidth="1"/>
    <col min="12567" max="12567" width="14.140625" style="1" customWidth="1"/>
    <col min="12568" max="12570" width="8.85546875" style="1" customWidth="1"/>
    <col min="12571" max="12571" width="9.28515625" style="1" customWidth="1"/>
    <col min="12572" max="12572" width="14" style="1" customWidth="1"/>
    <col min="12573" max="12574" width="8.85546875" style="1" customWidth="1"/>
    <col min="12575" max="12575" width="10.140625" style="1" customWidth="1"/>
    <col min="12576" max="12577" width="9.5703125" style="1" customWidth="1"/>
    <col min="12578" max="12578" width="9.85546875" style="1" customWidth="1"/>
    <col min="12579" max="12580" width="10.140625" style="1" customWidth="1"/>
    <col min="12581" max="12583" width="9.28515625" style="1" customWidth="1"/>
    <col min="12584" max="12584" width="9.85546875" style="1" customWidth="1"/>
    <col min="12585" max="12586" width="8.5703125" style="1" customWidth="1"/>
    <col min="12587" max="12589" width="8.85546875" style="1" customWidth="1"/>
    <col min="12590" max="12590" width="9.28515625" style="1" customWidth="1"/>
    <col min="12591" max="12592" width="8.85546875" style="1" customWidth="1"/>
    <col min="12593" max="12593" width="10" style="1" customWidth="1"/>
    <col min="12594" max="12595" width="8.85546875" style="1" customWidth="1"/>
    <col min="12596" max="12596" width="11" style="1" customWidth="1"/>
    <col min="12597" max="12598" width="9.5703125" style="1" customWidth="1"/>
    <col min="12599" max="12601" width="8.85546875" style="1" customWidth="1"/>
    <col min="12602" max="12602" width="10.42578125" style="1" customWidth="1"/>
    <col min="12603" max="12604" width="8.85546875" style="1" customWidth="1"/>
    <col min="12605" max="12605" width="9.7109375" style="1" customWidth="1"/>
    <col min="12606" max="12607" width="8.85546875" style="1" customWidth="1"/>
    <col min="12608" max="12608" width="9.28515625" style="1" customWidth="1"/>
    <col min="12609" max="12629" width="8.85546875" style="1" customWidth="1"/>
    <col min="12630" max="12630" width="9.85546875" style="1" customWidth="1"/>
    <col min="12631" max="12631" width="8.85546875" style="1" customWidth="1"/>
    <col min="12632" max="12632" width="10" style="1" customWidth="1"/>
    <col min="12633" max="12649" width="8.85546875" style="1" customWidth="1"/>
    <col min="12650" max="12650" width="9.42578125" style="1" customWidth="1"/>
    <col min="12651" max="12651" width="8.85546875" style="1" customWidth="1"/>
    <col min="12652" max="12652" width="12" style="1" customWidth="1"/>
    <col min="12653" max="12653" width="11.140625" style="1" customWidth="1"/>
    <col min="12654" max="12654" width="28.7109375" style="1" customWidth="1"/>
    <col min="12655" max="12655" width="5.85546875" style="1" customWidth="1"/>
    <col min="12656" max="12805" width="9.140625" style="1"/>
    <col min="12806" max="12806" width="3.42578125" style="1" customWidth="1"/>
    <col min="12807" max="12807" width="27.85546875" style="1" customWidth="1"/>
    <col min="12808" max="12808" width="11.85546875" style="1" customWidth="1"/>
    <col min="12809" max="12809" width="15.140625" style="1" customWidth="1"/>
    <col min="12810" max="12810" width="10.28515625" style="1" customWidth="1"/>
    <col min="12811" max="12812" width="9.7109375" style="1" customWidth="1"/>
    <col min="12813" max="12813" width="10.42578125" style="1" customWidth="1"/>
    <col min="12814" max="12814" width="10.42578125" style="1" bestFit="1" customWidth="1"/>
    <col min="12815" max="12815" width="16.28515625" style="1" customWidth="1"/>
    <col min="12816" max="12816" width="15.140625" style="1" customWidth="1"/>
    <col min="12817" max="12817" width="13.5703125" style="1" customWidth="1"/>
    <col min="12818" max="12818" width="10.5703125" style="1" customWidth="1"/>
    <col min="12819" max="12819" width="10.85546875" style="1" customWidth="1"/>
    <col min="12820" max="12820" width="18" style="1" customWidth="1"/>
    <col min="12821" max="12821" width="20.85546875" style="1" customWidth="1"/>
    <col min="12822" max="12822" width="13.5703125" style="1" customWidth="1"/>
    <col min="12823" max="12823" width="14.140625" style="1" customWidth="1"/>
    <col min="12824" max="12826" width="8.85546875" style="1" customWidth="1"/>
    <col min="12827" max="12827" width="9.28515625" style="1" customWidth="1"/>
    <col min="12828" max="12828" width="14" style="1" customWidth="1"/>
    <col min="12829" max="12830" width="8.85546875" style="1" customWidth="1"/>
    <col min="12831" max="12831" width="10.140625" style="1" customWidth="1"/>
    <col min="12832" max="12833" width="9.5703125" style="1" customWidth="1"/>
    <col min="12834" max="12834" width="9.85546875" style="1" customWidth="1"/>
    <col min="12835" max="12836" width="10.140625" style="1" customWidth="1"/>
    <col min="12837" max="12839" width="9.28515625" style="1" customWidth="1"/>
    <col min="12840" max="12840" width="9.85546875" style="1" customWidth="1"/>
    <col min="12841" max="12842" width="8.5703125" style="1" customWidth="1"/>
    <col min="12843" max="12845" width="8.85546875" style="1" customWidth="1"/>
    <col min="12846" max="12846" width="9.28515625" style="1" customWidth="1"/>
    <col min="12847" max="12848" width="8.85546875" style="1" customWidth="1"/>
    <col min="12849" max="12849" width="10" style="1" customWidth="1"/>
    <col min="12850" max="12851" width="8.85546875" style="1" customWidth="1"/>
    <col min="12852" max="12852" width="11" style="1" customWidth="1"/>
    <col min="12853" max="12854" width="9.5703125" style="1" customWidth="1"/>
    <col min="12855" max="12857" width="8.85546875" style="1" customWidth="1"/>
    <col min="12858" max="12858" width="10.42578125" style="1" customWidth="1"/>
    <col min="12859" max="12860" width="8.85546875" style="1" customWidth="1"/>
    <col min="12861" max="12861" width="9.7109375" style="1" customWidth="1"/>
    <col min="12862" max="12863" width="8.85546875" style="1" customWidth="1"/>
    <col min="12864" max="12864" width="9.28515625" style="1" customWidth="1"/>
    <col min="12865" max="12885" width="8.85546875" style="1" customWidth="1"/>
    <col min="12886" max="12886" width="9.85546875" style="1" customWidth="1"/>
    <col min="12887" max="12887" width="8.85546875" style="1" customWidth="1"/>
    <col min="12888" max="12888" width="10" style="1" customWidth="1"/>
    <col min="12889" max="12905" width="8.85546875" style="1" customWidth="1"/>
    <col min="12906" max="12906" width="9.42578125" style="1" customWidth="1"/>
    <col min="12907" max="12907" width="8.85546875" style="1" customWidth="1"/>
    <col min="12908" max="12908" width="12" style="1" customWidth="1"/>
    <col min="12909" max="12909" width="11.140625" style="1" customWidth="1"/>
    <col min="12910" max="12910" width="28.7109375" style="1" customWidth="1"/>
    <col min="12911" max="12911" width="5.85546875" style="1" customWidth="1"/>
    <col min="12912" max="13061" width="9.140625" style="1"/>
    <col min="13062" max="13062" width="3.42578125" style="1" customWidth="1"/>
    <col min="13063" max="13063" width="27.85546875" style="1" customWidth="1"/>
    <col min="13064" max="13064" width="11.85546875" style="1" customWidth="1"/>
    <col min="13065" max="13065" width="15.140625" style="1" customWidth="1"/>
    <col min="13066" max="13066" width="10.28515625" style="1" customWidth="1"/>
    <col min="13067" max="13068" width="9.7109375" style="1" customWidth="1"/>
    <col min="13069" max="13069" width="10.42578125" style="1" customWidth="1"/>
    <col min="13070" max="13070" width="10.42578125" style="1" bestFit="1" customWidth="1"/>
    <col min="13071" max="13071" width="16.28515625" style="1" customWidth="1"/>
    <col min="13072" max="13072" width="15.140625" style="1" customWidth="1"/>
    <col min="13073" max="13073" width="13.5703125" style="1" customWidth="1"/>
    <col min="13074" max="13074" width="10.5703125" style="1" customWidth="1"/>
    <col min="13075" max="13075" width="10.85546875" style="1" customWidth="1"/>
    <col min="13076" max="13076" width="18" style="1" customWidth="1"/>
    <col min="13077" max="13077" width="20.85546875" style="1" customWidth="1"/>
    <col min="13078" max="13078" width="13.5703125" style="1" customWidth="1"/>
    <col min="13079" max="13079" width="14.140625" style="1" customWidth="1"/>
    <col min="13080" max="13082" width="8.85546875" style="1" customWidth="1"/>
    <col min="13083" max="13083" width="9.28515625" style="1" customWidth="1"/>
    <col min="13084" max="13084" width="14" style="1" customWidth="1"/>
    <col min="13085" max="13086" width="8.85546875" style="1" customWidth="1"/>
    <col min="13087" max="13087" width="10.140625" style="1" customWidth="1"/>
    <col min="13088" max="13089" width="9.5703125" style="1" customWidth="1"/>
    <col min="13090" max="13090" width="9.85546875" style="1" customWidth="1"/>
    <col min="13091" max="13092" width="10.140625" style="1" customWidth="1"/>
    <col min="13093" max="13095" width="9.28515625" style="1" customWidth="1"/>
    <col min="13096" max="13096" width="9.85546875" style="1" customWidth="1"/>
    <col min="13097" max="13098" width="8.5703125" style="1" customWidth="1"/>
    <col min="13099" max="13101" width="8.85546875" style="1" customWidth="1"/>
    <col min="13102" max="13102" width="9.28515625" style="1" customWidth="1"/>
    <col min="13103" max="13104" width="8.85546875" style="1" customWidth="1"/>
    <col min="13105" max="13105" width="10" style="1" customWidth="1"/>
    <col min="13106" max="13107" width="8.85546875" style="1" customWidth="1"/>
    <col min="13108" max="13108" width="11" style="1" customWidth="1"/>
    <col min="13109" max="13110" width="9.5703125" style="1" customWidth="1"/>
    <col min="13111" max="13113" width="8.85546875" style="1" customWidth="1"/>
    <col min="13114" max="13114" width="10.42578125" style="1" customWidth="1"/>
    <col min="13115" max="13116" width="8.85546875" style="1" customWidth="1"/>
    <col min="13117" max="13117" width="9.7109375" style="1" customWidth="1"/>
    <col min="13118" max="13119" width="8.85546875" style="1" customWidth="1"/>
    <col min="13120" max="13120" width="9.28515625" style="1" customWidth="1"/>
    <col min="13121" max="13141" width="8.85546875" style="1" customWidth="1"/>
    <col min="13142" max="13142" width="9.85546875" style="1" customWidth="1"/>
    <col min="13143" max="13143" width="8.85546875" style="1" customWidth="1"/>
    <col min="13144" max="13144" width="10" style="1" customWidth="1"/>
    <col min="13145" max="13161" width="8.85546875" style="1" customWidth="1"/>
    <col min="13162" max="13162" width="9.42578125" style="1" customWidth="1"/>
    <col min="13163" max="13163" width="8.85546875" style="1" customWidth="1"/>
    <col min="13164" max="13164" width="12" style="1" customWidth="1"/>
    <col min="13165" max="13165" width="11.140625" style="1" customWidth="1"/>
    <col min="13166" max="13166" width="28.7109375" style="1" customWidth="1"/>
    <col min="13167" max="13167" width="5.85546875" style="1" customWidth="1"/>
    <col min="13168" max="13317" width="9.140625" style="1"/>
    <col min="13318" max="13318" width="3.42578125" style="1" customWidth="1"/>
    <col min="13319" max="13319" width="27.85546875" style="1" customWidth="1"/>
    <col min="13320" max="13320" width="11.85546875" style="1" customWidth="1"/>
    <col min="13321" max="13321" width="15.140625" style="1" customWidth="1"/>
    <col min="13322" max="13322" width="10.28515625" style="1" customWidth="1"/>
    <col min="13323" max="13324" width="9.7109375" style="1" customWidth="1"/>
    <col min="13325" max="13325" width="10.42578125" style="1" customWidth="1"/>
    <col min="13326" max="13326" width="10.42578125" style="1" bestFit="1" customWidth="1"/>
    <col min="13327" max="13327" width="16.28515625" style="1" customWidth="1"/>
    <col min="13328" max="13328" width="15.140625" style="1" customWidth="1"/>
    <col min="13329" max="13329" width="13.5703125" style="1" customWidth="1"/>
    <col min="13330" max="13330" width="10.5703125" style="1" customWidth="1"/>
    <col min="13331" max="13331" width="10.85546875" style="1" customWidth="1"/>
    <col min="13332" max="13332" width="18" style="1" customWidth="1"/>
    <col min="13333" max="13333" width="20.85546875" style="1" customWidth="1"/>
    <col min="13334" max="13334" width="13.5703125" style="1" customWidth="1"/>
    <col min="13335" max="13335" width="14.140625" style="1" customWidth="1"/>
    <col min="13336" max="13338" width="8.85546875" style="1" customWidth="1"/>
    <col min="13339" max="13339" width="9.28515625" style="1" customWidth="1"/>
    <col min="13340" max="13340" width="14" style="1" customWidth="1"/>
    <col min="13341" max="13342" width="8.85546875" style="1" customWidth="1"/>
    <col min="13343" max="13343" width="10.140625" style="1" customWidth="1"/>
    <col min="13344" max="13345" width="9.5703125" style="1" customWidth="1"/>
    <col min="13346" max="13346" width="9.85546875" style="1" customWidth="1"/>
    <col min="13347" max="13348" width="10.140625" style="1" customWidth="1"/>
    <col min="13349" max="13351" width="9.28515625" style="1" customWidth="1"/>
    <col min="13352" max="13352" width="9.85546875" style="1" customWidth="1"/>
    <col min="13353" max="13354" width="8.5703125" style="1" customWidth="1"/>
    <col min="13355" max="13357" width="8.85546875" style="1" customWidth="1"/>
    <col min="13358" max="13358" width="9.28515625" style="1" customWidth="1"/>
    <col min="13359" max="13360" width="8.85546875" style="1" customWidth="1"/>
    <col min="13361" max="13361" width="10" style="1" customWidth="1"/>
    <col min="13362" max="13363" width="8.85546875" style="1" customWidth="1"/>
    <col min="13364" max="13364" width="11" style="1" customWidth="1"/>
    <col min="13365" max="13366" width="9.5703125" style="1" customWidth="1"/>
    <col min="13367" max="13369" width="8.85546875" style="1" customWidth="1"/>
    <col min="13370" max="13370" width="10.42578125" style="1" customWidth="1"/>
    <col min="13371" max="13372" width="8.85546875" style="1" customWidth="1"/>
    <col min="13373" max="13373" width="9.7109375" style="1" customWidth="1"/>
    <col min="13374" max="13375" width="8.85546875" style="1" customWidth="1"/>
    <col min="13376" max="13376" width="9.28515625" style="1" customWidth="1"/>
    <col min="13377" max="13397" width="8.85546875" style="1" customWidth="1"/>
    <col min="13398" max="13398" width="9.85546875" style="1" customWidth="1"/>
    <col min="13399" max="13399" width="8.85546875" style="1" customWidth="1"/>
    <col min="13400" max="13400" width="10" style="1" customWidth="1"/>
    <col min="13401" max="13417" width="8.85546875" style="1" customWidth="1"/>
    <col min="13418" max="13418" width="9.42578125" style="1" customWidth="1"/>
    <col min="13419" max="13419" width="8.85546875" style="1" customWidth="1"/>
    <col min="13420" max="13420" width="12" style="1" customWidth="1"/>
    <col min="13421" max="13421" width="11.140625" style="1" customWidth="1"/>
    <col min="13422" max="13422" width="28.7109375" style="1" customWidth="1"/>
    <col min="13423" max="13423" width="5.85546875" style="1" customWidth="1"/>
    <col min="13424" max="13573" width="9.140625" style="1"/>
    <col min="13574" max="13574" width="3.42578125" style="1" customWidth="1"/>
    <col min="13575" max="13575" width="27.85546875" style="1" customWidth="1"/>
    <col min="13576" max="13576" width="11.85546875" style="1" customWidth="1"/>
    <col min="13577" max="13577" width="15.140625" style="1" customWidth="1"/>
    <col min="13578" max="13578" width="10.28515625" style="1" customWidth="1"/>
    <col min="13579" max="13580" width="9.7109375" style="1" customWidth="1"/>
    <col min="13581" max="13581" width="10.42578125" style="1" customWidth="1"/>
    <col min="13582" max="13582" width="10.42578125" style="1" bestFit="1" customWidth="1"/>
    <col min="13583" max="13583" width="16.28515625" style="1" customWidth="1"/>
    <col min="13584" max="13584" width="15.140625" style="1" customWidth="1"/>
    <col min="13585" max="13585" width="13.5703125" style="1" customWidth="1"/>
    <col min="13586" max="13586" width="10.5703125" style="1" customWidth="1"/>
    <col min="13587" max="13587" width="10.85546875" style="1" customWidth="1"/>
    <col min="13588" max="13588" width="18" style="1" customWidth="1"/>
    <col min="13589" max="13589" width="20.85546875" style="1" customWidth="1"/>
    <col min="13590" max="13590" width="13.5703125" style="1" customWidth="1"/>
    <col min="13591" max="13591" width="14.140625" style="1" customWidth="1"/>
    <col min="13592" max="13594" width="8.85546875" style="1" customWidth="1"/>
    <col min="13595" max="13595" width="9.28515625" style="1" customWidth="1"/>
    <col min="13596" max="13596" width="14" style="1" customWidth="1"/>
    <col min="13597" max="13598" width="8.85546875" style="1" customWidth="1"/>
    <col min="13599" max="13599" width="10.140625" style="1" customWidth="1"/>
    <col min="13600" max="13601" width="9.5703125" style="1" customWidth="1"/>
    <col min="13602" max="13602" width="9.85546875" style="1" customWidth="1"/>
    <col min="13603" max="13604" width="10.140625" style="1" customWidth="1"/>
    <col min="13605" max="13607" width="9.28515625" style="1" customWidth="1"/>
    <col min="13608" max="13608" width="9.85546875" style="1" customWidth="1"/>
    <col min="13609" max="13610" width="8.5703125" style="1" customWidth="1"/>
    <col min="13611" max="13613" width="8.85546875" style="1" customWidth="1"/>
    <col min="13614" max="13614" width="9.28515625" style="1" customWidth="1"/>
    <col min="13615" max="13616" width="8.85546875" style="1" customWidth="1"/>
    <col min="13617" max="13617" width="10" style="1" customWidth="1"/>
    <col min="13618" max="13619" width="8.85546875" style="1" customWidth="1"/>
    <col min="13620" max="13620" width="11" style="1" customWidth="1"/>
    <col min="13621" max="13622" width="9.5703125" style="1" customWidth="1"/>
    <col min="13623" max="13625" width="8.85546875" style="1" customWidth="1"/>
    <col min="13626" max="13626" width="10.42578125" style="1" customWidth="1"/>
    <col min="13627" max="13628" width="8.85546875" style="1" customWidth="1"/>
    <col min="13629" max="13629" width="9.7109375" style="1" customWidth="1"/>
    <col min="13630" max="13631" width="8.85546875" style="1" customWidth="1"/>
    <col min="13632" max="13632" width="9.28515625" style="1" customWidth="1"/>
    <col min="13633" max="13653" width="8.85546875" style="1" customWidth="1"/>
    <col min="13654" max="13654" width="9.85546875" style="1" customWidth="1"/>
    <col min="13655" max="13655" width="8.85546875" style="1" customWidth="1"/>
    <col min="13656" max="13656" width="10" style="1" customWidth="1"/>
    <col min="13657" max="13673" width="8.85546875" style="1" customWidth="1"/>
    <col min="13674" max="13674" width="9.42578125" style="1" customWidth="1"/>
    <col min="13675" max="13675" width="8.85546875" style="1" customWidth="1"/>
    <col min="13676" max="13676" width="12" style="1" customWidth="1"/>
    <col min="13677" max="13677" width="11.140625" style="1" customWidth="1"/>
    <col min="13678" max="13678" width="28.7109375" style="1" customWidth="1"/>
    <col min="13679" max="13679" width="5.85546875" style="1" customWidth="1"/>
    <col min="13680" max="13829" width="9.140625" style="1"/>
    <col min="13830" max="13830" width="3.42578125" style="1" customWidth="1"/>
    <col min="13831" max="13831" width="27.85546875" style="1" customWidth="1"/>
    <col min="13832" max="13832" width="11.85546875" style="1" customWidth="1"/>
    <col min="13833" max="13833" width="15.140625" style="1" customWidth="1"/>
    <col min="13834" max="13834" width="10.28515625" style="1" customWidth="1"/>
    <col min="13835" max="13836" width="9.7109375" style="1" customWidth="1"/>
    <col min="13837" max="13837" width="10.42578125" style="1" customWidth="1"/>
    <col min="13838" max="13838" width="10.42578125" style="1" bestFit="1" customWidth="1"/>
    <col min="13839" max="13839" width="16.28515625" style="1" customWidth="1"/>
    <col min="13840" max="13840" width="15.140625" style="1" customWidth="1"/>
    <col min="13841" max="13841" width="13.5703125" style="1" customWidth="1"/>
    <col min="13842" max="13842" width="10.5703125" style="1" customWidth="1"/>
    <col min="13843" max="13843" width="10.85546875" style="1" customWidth="1"/>
    <col min="13844" max="13844" width="18" style="1" customWidth="1"/>
    <col min="13845" max="13845" width="20.85546875" style="1" customWidth="1"/>
    <col min="13846" max="13846" width="13.5703125" style="1" customWidth="1"/>
    <col min="13847" max="13847" width="14.140625" style="1" customWidth="1"/>
    <col min="13848" max="13850" width="8.85546875" style="1" customWidth="1"/>
    <col min="13851" max="13851" width="9.28515625" style="1" customWidth="1"/>
    <col min="13852" max="13852" width="14" style="1" customWidth="1"/>
    <col min="13853" max="13854" width="8.85546875" style="1" customWidth="1"/>
    <col min="13855" max="13855" width="10.140625" style="1" customWidth="1"/>
    <col min="13856" max="13857" width="9.5703125" style="1" customWidth="1"/>
    <col min="13858" max="13858" width="9.85546875" style="1" customWidth="1"/>
    <col min="13859" max="13860" width="10.140625" style="1" customWidth="1"/>
    <col min="13861" max="13863" width="9.28515625" style="1" customWidth="1"/>
    <col min="13864" max="13864" width="9.85546875" style="1" customWidth="1"/>
    <col min="13865" max="13866" width="8.5703125" style="1" customWidth="1"/>
    <col min="13867" max="13869" width="8.85546875" style="1" customWidth="1"/>
    <col min="13870" max="13870" width="9.28515625" style="1" customWidth="1"/>
    <col min="13871" max="13872" width="8.85546875" style="1" customWidth="1"/>
    <col min="13873" max="13873" width="10" style="1" customWidth="1"/>
    <col min="13874" max="13875" width="8.85546875" style="1" customWidth="1"/>
    <col min="13876" max="13876" width="11" style="1" customWidth="1"/>
    <col min="13877" max="13878" width="9.5703125" style="1" customWidth="1"/>
    <col min="13879" max="13881" width="8.85546875" style="1" customWidth="1"/>
    <col min="13882" max="13882" width="10.42578125" style="1" customWidth="1"/>
    <col min="13883" max="13884" width="8.85546875" style="1" customWidth="1"/>
    <col min="13885" max="13885" width="9.7109375" style="1" customWidth="1"/>
    <col min="13886" max="13887" width="8.85546875" style="1" customWidth="1"/>
    <col min="13888" max="13888" width="9.28515625" style="1" customWidth="1"/>
    <col min="13889" max="13909" width="8.85546875" style="1" customWidth="1"/>
    <col min="13910" max="13910" width="9.85546875" style="1" customWidth="1"/>
    <col min="13911" max="13911" width="8.85546875" style="1" customWidth="1"/>
    <col min="13912" max="13912" width="10" style="1" customWidth="1"/>
    <col min="13913" max="13929" width="8.85546875" style="1" customWidth="1"/>
    <col min="13930" max="13930" width="9.42578125" style="1" customWidth="1"/>
    <col min="13931" max="13931" width="8.85546875" style="1" customWidth="1"/>
    <col min="13932" max="13932" width="12" style="1" customWidth="1"/>
    <col min="13933" max="13933" width="11.140625" style="1" customWidth="1"/>
    <col min="13934" max="13934" width="28.7109375" style="1" customWidth="1"/>
    <col min="13935" max="13935" width="5.85546875" style="1" customWidth="1"/>
    <col min="13936" max="14085" width="9.140625" style="1"/>
    <col min="14086" max="14086" width="3.42578125" style="1" customWidth="1"/>
    <col min="14087" max="14087" width="27.85546875" style="1" customWidth="1"/>
    <col min="14088" max="14088" width="11.85546875" style="1" customWidth="1"/>
    <col min="14089" max="14089" width="15.140625" style="1" customWidth="1"/>
    <col min="14090" max="14090" width="10.28515625" style="1" customWidth="1"/>
    <col min="14091" max="14092" width="9.7109375" style="1" customWidth="1"/>
    <col min="14093" max="14093" width="10.42578125" style="1" customWidth="1"/>
    <col min="14094" max="14094" width="10.42578125" style="1" bestFit="1" customWidth="1"/>
    <col min="14095" max="14095" width="16.28515625" style="1" customWidth="1"/>
    <col min="14096" max="14096" width="15.140625" style="1" customWidth="1"/>
    <col min="14097" max="14097" width="13.5703125" style="1" customWidth="1"/>
    <col min="14098" max="14098" width="10.5703125" style="1" customWidth="1"/>
    <col min="14099" max="14099" width="10.85546875" style="1" customWidth="1"/>
    <col min="14100" max="14100" width="18" style="1" customWidth="1"/>
    <col min="14101" max="14101" width="20.85546875" style="1" customWidth="1"/>
    <col min="14102" max="14102" width="13.5703125" style="1" customWidth="1"/>
    <col min="14103" max="14103" width="14.140625" style="1" customWidth="1"/>
    <col min="14104" max="14106" width="8.85546875" style="1" customWidth="1"/>
    <col min="14107" max="14107" width="9.28515625" style="1" customWidth="1"/>
    <col min="14108" max="14108" width="14" style="1" customWidth="1"/>
    <col min="14109" max="14110" width="8.85546875" style="1" customWidth="1"/>
    <col min="14111" max="14111" width="10.140625" style="1" customWidth="1"/>
    <col min="14112" max="14113" width="9.5703125" style="1" customWidth="1"/>
    <col min="14114" max="14114" width="9.85546875" style="1" customWidth="1"/>
    <col min="14115" max="14116" width="10.140625" style="1" customWidth="1"/>
    <col min="14117" max="14119" width="9.28515625" style="1" customWidth="1"/>
    <col min="14120" max="14120" width="9.85546875" style="1" customWidth="1"/>
    <col min="14121" max="14122" width="8.5703125" style="1" customWidth="1"/>
    <col min="14123" max="14125" width="8.85546875" style="1" customWidth="1"/>
    <col min="14126" max="14126" width="9.28515625" style="1" customWidth="1"/>
    <col min="14127" max="14128" width="8.85546875" style="1" customWidth="1"/>
    <col min="14129" max="14129" width="10" style="1" customWidth="1"/>
    <col min="14130" max="14131" width="8.85546875" style="1" customWidth="1"/>
    <col min="14132" max="14132" width="11" style="1" customWidth="1"/>
    <col min="14133" max="14134" width="9.5703125" style="1" customWidth="1"/>
    <col min="14135" max="14137" width="8.85546875" style="1" customWidth="1"/>
    <col min="14138" max="14138" width="10.42578125" style="1" customWidth="1"/>
    <col min="14139" max="14140" width="8.85546875" style="1" customWidth="1"/>
    <col min="14141" max="14141" width="9.7109375" style="1" customWidth="1"/>
    <col min="14142" max="14143" width="8.85546875" style="1" customWidth="1"/>
    <col min="14144" max="14144" width="9.28515625" style="1" customWidth="1"/>
    <col min="14145" max="14165" width="8.85546875" style="1" customWidth="1"/>
    <col min="14166" max="14166" width="9.85546875" style="1" customWidth="1"/>
    <col min="14167" max="14167" width="8.85546875" style="1" customWidth="1"/>
    <col min="14168" max="14168" width="10" style="1" customWidth="1"/>
    <col min="14169" max="14185" width="8.85546875" style="1" customWidth="1"/>
    <col min="14186" max="14186" width="9.42578125" style="1" customWidth="1"/>
    <col min="14187" max="14187" width="8.85546875" style="1" customWidth="1"/>
    <col min="14188" max="14188" width="12" style="1" customWidth="1"/>
    <col min="14189" max="14189" width="11.140625" style="1" customWidth="1"/>
    <col min="14190" max="14190" width="28.7109375" style="1" customWidth="1"/>
    <col min="14191" max="14191" width="5.85546875" style="1" customWidth="1"/>
    <col min="14192" max="14341" width="9.140625" style="1"/>
    <col min="14342" max="14342" width="3.42578125" style="1" customWidth="1"/>
    <col min="14343" max="14343" width="27.85546875" style="1" customWidth="1"/>
    <col min="14344" max="14344" width="11.85546875" style="1" customWidth="1"/>
    <col min="14345" max="14345" width="15.140625" style="1" customWidth="1"/>
    <col min="14346" max="14346" width="10.28515625" style="1" customWidth="1"/>
    <col min="14347" max="14348" width="9.7109375" style="1" customWidth="1"/>
    <col min="14349" max="14349" width="10.42578125" style="1" customWidth="1"/>
    <col min="14350" max="14350" width="10.42578125" style="1" bestFit="1" customWidth="1"/>
    <col min="14351" max="14351" width="16.28515625" style="1" customWidth="1"/>
    <col min="14352" max="14352" width="15.140625" style="1" customWidth="1"/>
    <col min="14353" max="14353" width="13.5703125" style="1" customWidth="1"/>
    <col min="14354" max="14354" width="10.5703125" style="1" customWidth="1"/>
    <col min="14355" max="14355" width="10.85546875" style="1" customWidth="1"/>
    <col min="14356" max="14356" width="18" style="1" customWidth="1"/>
    <col min="14357" max="14357" width="20.85546875" style="1" customWidth="1"/>
    <col min="14358" max="14358" width="13.5703125" style="1" customWidth="1"/>
    <col min="14359" max="14359" width="14.140625" style="1" customWidth="1"/>
    <col min="14360" max="14362" width="8.85546875" style="1" customWidth="1"/>
    <col min="14363" max="14363" width="9.28515625" style="1" customWidth="1"/>
    <col min="14364" max="14364" width="14" style="1" customWidth="1"/>
    <col min="14365" max="14366" width="8.85546875" style="1" customWidth="1"/>
    <col min="14367" max="14367" width="10.140625" style="1" customWidth="1"/>
    <col min="14368" max="14369" width="9.5703125" style="1" customWidth="1"/>
    <col min="14370" max="14370" width="9.85546875" style="1" customWidth="1"/>
    <col min="14371" max="14372" width="10.140625" style="1" customWidth="1"/>
    <col min="14373" max="14375" width="9.28515625" style="1" customWidth="1"/>
    <col min="14376" max="14376" width="9.85546875" style="1" customWidth="1"/>
    <col min="14377" max="14378" width="8.5703125" style="1" customWidth="1"/>
    <col min="14379" max="14381" width="8.85546875" style="1" customWidth="1"/>
    <col min="14382" max="14382" width="9.28515625" style="1" customWidth="1"/>
    <col min="14383" max="14384" width="8.85546875" style="1" customWidth="1"/>
    <col min="14385" max="14385" width="10" style="1" customWidth="1"/>
    <col min="14386" max="14387" width="8.85546875" style="1" customWidth="1"/>
    <col min="14388" max="14388" width="11" style="1" customWidth="1"/>
    <col min="14389" max="14390" width="9.5703125" style="1" customWidth="1"/>
    <col min="14391" max="14393" width="8.85546875" style="1" customWidth="1"/>
    <col min="14394" max="14394" width="10.42578125" style="1" customWidth="1"/>
    <col min="14395" max="14396" width="8.85546875" style="1" customWidth="1"/>
    <col min="14397" max="14397" width="9.7109375" style="1" customWidth="1"/>
    <col min="14398" max="14399" width="8.85546875" style="1" customWidth="1"/>
    <col min="14400" max="14400" width="9.28515625" style="1" customWidth="1"/>
    <col min="14401" max="14421" width="8.85546875" style="1" customWidth="1"/>
    <col min="14422" max="14422" width="9.85546875" style="1" customWidth="1"/>
    <col min="14423" max="14423" width="8.85546875" style="1" customWidth="1"/>
    <col min="14424" max="14424" width="10" style="1" customWidth="1"/>
    <col min="14425" max="14441" width="8.85546875" style="1" customWidth="1"/>
    <col min="14442" max="14442" width="9.42578125" style="1" customWidth="1"/>
    <col min="14443" max="14443" width="8.85546875" style="1" customWidth="1"/>
    <col min="14444" max="14444" width="12" style="1" customWidth="1"/>
    <col min="14445" max="14445" width="11.140625" style="1" customWidth="1"/>
    <col min="14446" max="14446" width="28.7109375" style="1" customWidth="1"/>
    <col min="14447" max="14447" width="5.85546875" style="1" customWidth="1"/>
    <col min="14448" max="14597" width="9.140625" style="1"/>
    <col min="14598" max="14598" width="3.42578125" style="1" customWidth="1"/>
    <col min="14599" max="14599" width="27.85546875" style="1" customWidth="1"/>
    <col min="14600" max="14600" width="11.85546875" style="1" customWidth="1"/>
    <col min="14601" max="14601" width="15.140625" style="1" customWidth="1"/>
    <col min="14602" max="14602" width="10.28515625" style="1" customWidth="1"/>
    <col min="14603" max="14604" width="9.7109375" style="1" customWidth="1"/>
    <col min="14605" max="14605" width="10.42578125" style="1" customWidth="1"/>
    <col min="14606" max="14606" width="10.42578125" style="1" bestFit="1" customWidth="1"/>
    <col min="14607" max="14607" width="16.28515625" style="1" customWidth="1"/>
    <col min="14608" max="14608" width="15.140625" style="1" customWidth="1"/>
    <col min="14609" max="14609" width="13.5703125" style="1" customWidth="1"/>
    <col min="14610" max="14610" width="10.5703125" style="1" customWidth="1"/>
    <col min="14611" max="14611" width="10.85546875" style="1" customWidth="1"/>
    <col min="14612" max="14612" width="18" style="1" customWidth="1"/>
    <col min="14613" max="14613" width="20.85546875" style="1" customWidth="1"/>
    <col min="14614" max="14614" width="13.5703125" style="1" customWidth="1"/>
    <col min="14615" max="14615" width="14.140625" style="1" customWidth="1"/>
    <col min="14616" max="14618" width="8.85546875" style="1" customWidth="1"/>
    <col min="14619" max="14619" width="9.28515625" style="1" customWidth="1"/>
    <col min="14620" max="14620" width="14" style="1" customWidth="1"/>
    <col min="14621" max="14622" width="8.85546875" style="1" customWidth="1"/>
    <col min="14623" max="14623" width="10.140625" style="1" customWidth="1"/>
    <col min="14624" max="14625" width="9.5703125" style="1" customWidth="1"/>
    <col min="14626" max="14626" width="9.85546875" style="1" customWidth="1"/>
    <col min="14627" max="14628" width="10.140625" style="1" customWidth="1"/>
    <col min="14629" max="14631" width="9.28515625" style="1" customWidth="1"/>
    <col min="14632" max="14632" width="9.85546875" style="1" customWidth="1"/>
    <col min="14633" max="14634" width="8.5703125" style="1" customWidth="1"/>
    <col min="14635" max="14637" width="8.85546875" style="1" customWidth="1"/>
    <col min="14638" max="14638" width="9.28515625" style="1" customWidth="1"/>
    <col min="14639" max="14640" width="8.85546875" style="1" customWidth="1"/>
    <col min="14641" max="14641" width="10" style="1" customWidth="1"/>
    <col min="14642" max="14643" width="8.85546875" style="1" customWidth="1"/>
    <col min="14644" max="14644" width="11" style="1" customWidth="1"/>
    <col min="14645" max="14646" width="9.5703125" style="1" customWidth="1"/>
    <col min="14647" max="14649" width="8.85546875" style="1" customWidth="1"/>
    <col min="14650" max="14650" width="10.42578125" style="1" customWidth="1"/>
    <col min="14651" max="14652" width="8.85546875" style="1" customWidth="1"/>
    <col min="14653" max="14653" width="9.7109375" style="1" customWidth="1"/>
    <col min="14654" max="14655" width="8.85546875" style="1" customWidth="1"/>
    <col min="14656" max="14656" width="9.28515625" style="1" customWidth="1"/>
    <col min="14657" max="14677" width="8.85546875" style="1" customWidth="1"/>
    <col min="14678" max="14678" width="9.85546875" style="1" customWidth="1"/>
    <col min="14679" max="14679" width="8.85546875" style="1" customWidth="1"/>
    <col min="14680" max="14680" width="10" style="1" customWidth="1"/>
    <col min="14681" max="14697" width="8.85546875" style="1" customWidth="1"/>
    <col min="14698" max="14698" width="9.42578125" style="1" customWidth="1"/>
    <col min="14699" max="14699" width="8.85546875" style="1" customWidth="1"/>
    <col min="14700" max="14700" width="12" style="1" customWidth="1"/>
    <col min="14701" max="14701" width="11.140625" style="1" customWidth="1"/>
    <col min="14702" max="14702" width="28.7109375" style="1" customWidth="1"/>
    <col min="14703" max="14703" width="5.85546875" style="1" customWidth="1"/>
    <col min="14704" max="14853" width="9.140625" style="1"/>
    <col min="14854" max="14854" width="3.42578125" style="1" customWidth="1"/>
    <col min="14855" max="14855" width="27.85546875" style="1" customWidth="1"/>
    <col min="14856" max="14856" width="11.85546875" style="1" customWidth="1"/>
    <col min="14857" max="14857" width="15.140625" style="1" customWidth="1"/>
    <col min="14858" max="14858" width="10.28515625" style="1" customWidth="1"/>
    <col min="14859" max="14860" width="9.7109375" style="1" customWidth="1"/>
    <col min="14861" max="14861" width="10.42578125" style="1" customWidth="1"/>
    <col min="14862" max="14862" width="10.42578125" style="1" bestFit="1" customWidth="1"/>
    <col min="14863" max="14863" width="16.28515625" style="1" customWidth="1"/>
    <col min="14864" max="14864" width="15.140625" style="1" customWidth="1"/>
    <col min="14865" max="14865" width="13.5703125" style="1" customWidth="1"/>
    <col min="14866" max="14866" width="10.5703125" style="1" customWidth="1"/>
    <col min="14867" max="14867" width="10.85546875" style="1" customWidth="1"/>
    <col min="14868" max="14868" width="18" style="1" customWidth="1"/>
    <col min="14869" max="14869" width="20.85546875" style="1" customWidth="1"/>
    <col min="14870" max="14870" width="13.5703125" style="1" customWidth="1"/>
    <col min="14871" max="14871" width="14.140625" style="1" customWidth="1"/>
    <col min="14872" max="14874" width="8.85546875" style="1" customWidth="1"/>
    <col min="14875" max="14875" width="9.28515625" style="1" customWidth="1"/>
    <col min="14876" max="14876" width="14" style="1" customWidth="1"/>
    <col min="14877" max="14878" width="8.85546875" style="1" customWidth="1"/>
    <col min="14879" max="14879" width="10.140625" style="1" customWidth="1"/>
    <col min="14880" max="14881" width="9.5703125" style="1" customWidth="1"/>
    <col min="14882" max="14882" width="9.85546875" style="1" customWidth="1"/>
    <col min="14883" max="14884" width="10.140625" style="1" customWidth="1"/>
    <col min="14885" max="14887" width="9.28515625" style="1" customWidth="1"/>
    <col min="14888" max="14888" width="9.85546875" style="1" customWidth="1"/>
    <col min="14889" max="14890" width="8.5703125" style="1" customWidth="1"/>
    <col min="14891" max="14893" width="8.85546875" style="1" customWidth="1"/>
    <col min="14894" max="14894" width="9.28515625" style="1" customWidth="1"/>
    <col min="14895" max="14896" width="8.85546875" style="1" customWidth="1"/>
    <col min="14897" max="14897" width="10" style="1" customWidth="1"/>
    <col min="14898" max="14899" width="8.85546875" style="1" customWidth="1"/>
    <col min="14900" max="14900" width="11" style="1" customWidth="1"/>
    <col min="14901" max="14902" width="9.5703125" style="1" customWidth="1"/>
    <col min="14903" max="14905" width="8.85546875" style="1" customWidth="1"/>
    <col min="14906" max="14906" width="10.42578125" style="1" customWidth="1"/>
    <col min="14907" max="14908" width="8.85546875" style="1" customWidth="1"/>
    <col min="14909" max="14909" width="9.7109375" style="1" customWidth="1"/>
    <col min="14910" max="14911" width="8.85546875" style="1" customWidth="1"/>
    <col min="14912" max="14912" width="9.28515625" style="1" customWidth="1"/>
    <col min="14913" max="14933" width="8.85546875" style="1" customWidth="1"/>
    <col min="14934" max="14934" width="9.85546875" style="1" customWidth="1"/>
    <col min="14935" max="14935" width="8.85546875" style="1" customWidth="1"/>
    <col min="14936" max="14936" width="10" style="1" customWidth="1"/>
    <col min="14937" max="14953" width="8.85546875" style="1" customWidth="1"/>
    <col min="14954" max="14954" width="9.42578125" style="1" customWidth="1"/>
    <col min="14955" max="14955" width="8.85546875" style="1" customWidth="1"/>
    <col min="14956" max="14956" width="12" style="1" customWidth="1"/>
    <col min="14957" max="14957" width="11.140625" style="1" customWidth="1"/>
    <col min="14958" max="14958" width="28.7109375" style="1" customWidth="1"/>
    <col min="14959" max="14959" width="5.85546875" style="1" customWidth="1"/>
    <col min="14960" max="15109" width="9.140625" style="1"/>
    <col min="15110" max="15110" width="3.42578125" style="1" customWidth="1"/>
    <col min="15111" max="15111" width="27.85546875" style="1" customWidth="1"/>
    <col min="15112" max="15112" width="11.85546875" style="1" customWidth="1"/>
    <col min="15113" max="15113" width="15.140625" style="1" customWidth="1"/>
    <col min="15114" max="15114" width="10.28515625" style="1" customWidth="1"/>
    <col min="15115" max="15116" width="9.7109375" style="1" customWidth="1"/>
    <col min="15117" max="15117" width="10.42578125" style="1" customWidth="1"/>
    <col min="15118" max="15118" width="10.42578125" style="1" bestFit="1" customWidth="1"/>
    <col min="15119" max="15119" width="16.28515625" style="1" customWidth="1"/>
    <col min="15120" max="15120" width="15.140625" style="1" customWidth="1"/>
    <col min="15121" max="15121" width="13.5703125" style="1" customWidth="1"/>
    <col min="15122" max="15122" width="10.5703125" style="1" customWidth="1"/>
    <col min="15123" max="15123" width="10.85546875" style="1" customWidth="1"/>
    <col min="15124" max="15124" width="18" style="1" customWidth="1"/>
    <col min="15125" max="15125" width="20.85546875" style="1" customWidth="1"/>
    <col min="15126" max="15126" width="13.5703125" style="1" customWidth="1"/>
    <col min="15127" max="15127" width="14.140625" style="1" customWidth="1"/>
    <col min="15128" max="15130" width="8.85546875" style="1" customWidth="1"/>
    <col min="15131" max="15131" width="9.28515625" style="1" customWidth="1"/>
    <col min="15132" max="15132" width="14" style="1" customWidth="1"/>
    <col min="15133" max="15134" width="8.85546875" style="1" customWidth="1"/>
    <col min="15135" max="15135" width="10.140625" style="1" customWidth="1"/>
    <col min="15136" max="15137" width="9.5703125" style="1" customWidth="1"/>
    <col min="15138" max="15138" width="9.85546875" style="1" customWidth="1"/>
    <col min="15139" max="15140" width="10.140625" style="1" customWidth="1"/>
    <col min="15141" max="15143" width="9.28515625" style="1" customWidth="1"/>
    <col min="15144" max="15144" width="9.85546875" style="1" customWidth="1"/>
    <col min="15145" max="15146" width="8.5703125" style="1" customWidth="1"/>
    <col min="15147" max="15149" width="8.85546875" style="1" customWidth="1"/>
    <col min="15150" max="15150" width="9.28515625" style="1" customWidth="1"/>
    <col min="15151" max="15152" width="8.85546875" style="1" customWidth="1"/>
    <col min="15153" max="15153" width="10" style="1" customWidth="1"/>
    <col min="15154" max="15155" width="8.85546875" style="1" customWidth="1"/>
    <col min="15156" max="15156" width="11" style="1" customWidth="1"/>
    <col min="15157" max="15158" width="9.5703125" style="1" customWidth="1"/>
    <col min="15159" max="15161" width="8.85546875" style="1" customWidth="1"/>
    <col min="15162" max="15162" width="10.42578125" style="1" customWidth="1"/>
    <col min="15163" max="15164" width="8.85546875" style="1" customWidth="1"/>
    <col min="15165" max="15165" width="9.7109375" style="1" customWidth="1"/>
    <col min="15166" max="15167" width="8.85546875" style="1" customWidth="1"/>
    <col min="15168" max="15168" width="9.28515625" style="1" customWidth="1"/>
    <col min="15169" max="15189" width="8.85546875" style="1" customWidth="1"/>
    <col min="15190" max="15190" width="9.85546875" style="1" customWidth="1"/>
    <col min="15191" max="15191" width="8.85546875" style="1" customWidth="1"/>
    <col min="15192" max="15192" width="10" style="1" customWidth="1"/>
    <col min="15193" max="15209" width="8.85546875" style="1" customWidth="1"/>
    <col min="15210" max="15210" width="9.42578125" style="1" customWidth="1"/>
    <col min="15211" max="15211" width="8.85546875" style="1" customWidth="1"/>
    <col min="15212" max="15212" width="12" style="1" customWidth="1"/>
    <col min="15213" max="15213" width="11.140625" style="1" customWidth="1"/>
    <col min="15214" max="15214" width="28.7109375" style="1" customWidth="1"/>
    <col min="15215" max="15215" width="5.85546875" style="1" customWidth="1"/>
    <col min="15216" max="15365" width="9.140625" style="1"/>
    <col min="15366" max="15366" width="3.42578125" style="1" customWidth="1"/>
    <col min="15367" max="15367" width="27.85546875" style="1" customWidth="1"/>
    <col min="15368" max="15368" width="11.85546875" style="1" customWidth="1"/>
    <col min="15369" max="15369" width="15.140625" style="1" customWidth="1"/>
    <col min="15370" max="15370" width="10.28515625" style="1" customWidth="1"/>
    <col min="15371" max="15372" width="9.7109375" style="1" customWidth="1"/>
    <col min="15373" max="15373" width="10.42578125" style="1" customWidth="1"/>
    <col min="15374" max="15374" width="10.42578125" style="1" bestFit="1" customWidth="1"/>
    <col min="15375" max="15375" width="16.28515625" style="1" customWidth="1"/>
    <col min="15376" max="15376" width="15.140625" style="1" customWidth="1"/>
    <col min="15377" max="15377" width="13.5703125" style="1" customWidth="1"/>
    <col min="15378" max="15378" width="10.5703125" style="1" customWidth="1"/>
    <col min="15379" max="15379" width="10.85546875" style="1" customWidth="1"/>
    <col min="15380" max="15380" width="18" style="1" customWidth="1"/>
    <col min="15381" max="15381" width="20.85546875" style="1" customWidth="1"/>
    <col min="15382" max="15382" width="13.5703125" style="1" customWidth="1"/>
    <col min="15383" max="15383" width="14.140625" style="1" customWidth="1"/>
    <col min="15384" max="15386" width="8.85546875" style="1" customWidth="1"/>
    <col min="15387" max="15387" width="9.28515625" style="1" customWidth="1"/>
    <col min="15388" max="15388" width="14" style="1" customWidth="1"/>
    <col min="15389" max="15390" width="8.85546875" style="1" customWidth="1"/>
    <col min="15391" max="15391" width="10.140625" style="1" customWidth="1"/>
    <col min="15392" max="15393" width="9.5703125" style="1" customWidth="1"/>
    <col min="15394" max="15394" width="9.85546875" style="1" customWidth="1"/>
    <col min="15395" max="15396" width="10.140625" style="1" customWidth="1"/>
    <col min="15397" max="15399" width="9.28515625" style="1" customWidth="1"/>
    <col min="15400" max="15400" width="9.85546875" style="1" customWidth="1"/>
    <col min="15401" max="15402" width="8.5703125" style="1" customWidth="1"/>
    <col min="15403" max="15405" width="8.85546875" style="1" customWidth="1"/>
    <col min="15406" max="15406" width="9.28515625" style="1" customWidth="1"/>
    <col min="15407" max="15408" width="8.85546875" style="1" customWidth="1"/>
    <col min="15409" max="15409" width="10" style="1" customWidth="1"/>
    <col min="15410" max="15411" width="8.85546875" style="1" customWidth="1"/>
    <col min="15412" max="15412" width="11" style="1" customWidth="1"/>
    <col min="15413" max="15414" width="9.5703125" style="1" customWidth="1"/>
    <col min="15415" max="15417" width="8.85546875" style="1" customWidth="1"/>
    <col min="15418" max="15418" width="10.42578125" style="1" customWidth="1"/>
    <col min="15419" max="15420" width="8.85546875" style="1" customWidth="1"/>
    <col min="15421" max="15421" width="9.7109375" style="1" customWidth="1"/>
    <col min="15422" max="15423" width="8.85546875" style="1" customWidth="1"/>
    <col min="15424" max="15424" width="9.28515625" style="1" customWidth="1"/>
    <col min="15425" max="15445" width="8.85546875" style="1" customWidth="1"/>
    <col min="15446" max="15446" width="9.85546875" style="1" customWidth="1"/>
    <col min="15447" max="15447" width="8.85546875" style="1" customWidth="1"/>
    <col min="15448" max="15448" width="10" style="1" customWidth="1"/>
    <col min="15449" max="15465" width="8.85546875" style="1" customWidth="1"/>
    <col min="15466" max="15466" width="9.42578125" style="1" customWidth="1"/>
    <col min="15467" max="15467" width="8.85546875" style="1" customWidth="1"/>
    <col min="15468" max="15468" width="12" style="1" customWidth="1"/>
    <col min="15469" max="15469" width="11.140625" style="1" customWidth="1"/>
    <col min="15470" max="15470" width="28.7109375" style="1" customWidth="1"/>
    <col min="15471" max="15471" width="5.85546875" style="1" customWidth="1"/>
    <col min="15472" max="15621" width="9.140625" style="1"/>
    <col min="15622" max="15622" width="3.42578125" style="1" customWidth="1"/>
    <col min="15623" max="15623" width="27.85546875" style="1" customWidth="1"/>
    <col min="15624" max="15624" width="11.85546875" style="1" customWidth="1"/>
    <col min="15625" max="15625" width="15.140625" style="1" customWidth="1"/>
    <col min="15626" max="15626" width="10.28515625" style="1" customWidth="1"/>
    <col min="15627" max="15628" width="9.7109375" style="1" customWidth="1"/>
    <col min="15629" max="15629" width="10.42578125" style="1" customWidth="1"/>
    <col min="15630" max="15630" width="10.42578125" style="1" bestFit="1" customWidth="1"/>
    <col min="15631" max="15631" width="16.28515625" style="1" customWidth="1"/>
    <col min="15632" max="15632" width="15.140625" style="1" customWidth="1"/>
    <col min="15633" max="15633" width="13.5703125" style="1" customWidth="1"/>
    <col min="15634" max="15634" width="10.5703125" style="1" customWidth="1"/>
    <col min="15635" max="15635" width="10.85546875" style="1" customWidth="1"/>
    <col min="15636" max="15636" width="18" style="1" customWidth="1"/>
    <col min="15637" max="15637" width="20.85546875" style="1" customWidth="1"/>
    <col min="15638" max="15638" width="13.5703125" style="1" customWidth="1"/>
    <col min="15639" max="15639" width="14.140625" style="1" customWidth="1"/>
    <col min="15640" max="15642" width="8.85546875" style="1" customWidth="1"/>
    <col min="15643" max="15643" width="9.28515625" style="1" customWidth="1"/>
    <col min="15644" max="15644" width="14" style="1" customWidth="1"/>
    <col min="15645" max="15646" width="8.85546875" style="1" customWidth="1"/>
    <col min="15647" max="15647" width="10.140625" style="1" customWidth="1"/>
    <col min="15648" max="15649" width="9.5703125" style="1" customWidth="1"/>
    <col min="15650" max="15650" width="9.85546875" style="1" customWidth="1"/>
    <col min="15651" max="15652" width="10.140625" style="1" customWidth="1"/>
    <col min="15653" max="15655" width="9.28515625" style="1" customWidth="1"/>
    <col min="15656" max="15656" width="9.85546875" style="1" customWidth="1"/>
    <col min="15657" max="15658" width="8.5703125" style="1" customWidth="1"/>
    <col min="15659" max="15661" width="8.85546875" style="1" customWidth="1"/>
    <col min="15662" max="15662" width="9.28515625" style="1" customWidth="1"/>
    <col min="15663" max="15664" width="8.85546875" style="1" customWidth="1"/>
    <col min="15665" max="15665" width="10" style="1" customWidth="1"/>
    <col min="15666" max="15667" width="8.85546875" style="1" customWidth="1"/>
    <col min="15668" max="15668" width="11" style="1" customWidth="1"/>
    <col min="15669" max="15670" width="9.5703125" style="1" customWidth="1"/>
    <col min="15671" max="15673" width="8.85546875" style="1" customWidth="1"/>
    <col min="15674" max="15674" width="10.42578125" style="1" customWidth="1"/>
    <col min="15675" max="15676" width="8.85546875" style="1" customWidth="1"/>
    <col min="15677" max="15677" width="9.7109375" style="1" customWidth="1"/>
    <col min="15678" max="15679" width="8.85546875" style="1" customWidth="1"/>
    <col min="15680" max="15680" width="9.28515625" style="1" customWidth="1"/>
    <col min="15681" max="15701" width="8.85546875" style="1" customWidth="1"/>
    <col min="15702" max="15702" width="9.85546875" style="1" customWidth="1"/>
    <col min="15703" max="15703" width="8.85546875" style="1" customWidth="1"/>
    <col min="15704" max="15704" width="10" style="1" customWidth="1"/>
    <col min="15705" max="15721" width="8.85546875" style="1" customWidth="1"/>
    <col min="15722" max="15722" width="9.42578125" style="1" customWidth="1"/>
    <col min="15723" max="15723" width="8.85546875" style="1" customWidth="1"/>
    <col min="15724" max="15724" width="12" style="1" customWidth="1"/>
    <col min="15725" max="15725" width="11.140625" style="1" customWidth="1"/>
    <col min="15726" max="15726" width="28.7109375" style="1" customWidth="1"/>
    <col min="15727" max="15727" width="5.85546875" style="1" customWidth="1"/>
    <col min="15728" max="15877" width="9.140625" style="1"/>
    <col min="15878" max="15878" width="3.42578125" style="1" customWidth="1"/>
    <col min="15879" max="15879" width="27.85546875" style="1" customWidth="1"/>
    <col min="15880" max="15880" width="11.85546875" style="1" customWidth="1"/>
    <col min="15881" max="15881" width="15.140625" style="1" customWidth="1"/>
    <col min="15882" max="15882" width="10.28515625" style="1" customWidth="1"/>
    <col min="15883" max="15884" width="9.7109375" style="1" customWidth="1"/>
    <col min="15885" max="15885" width="10.42578125" style="1" customWidth="1"/>
    <col min="15886" max="15886" width="10.42578125" style="1" bestFit="1" customWidth="1"/>
    <col min="15887" max="15887" width="16.28515625" style="1" customWidth="1"/>
    <col min="15888" max="15888" width="15.140625" style="1" customWidth="1"/>
    <col min="15889" max="15889" width="13.5703125" style="1" customWidth="1"/>
    <col min="15890" max="15890" width="10.5703125" style="1" customWidth="1"/>
    <col min="15891" max="15891" width="10.85546875" style="1" customWidth="1"/>
    <col min="15892" max="15892" width="18" style="1" customWidth="1"/>
    <col min="15893" max="15893" width="20.85546875" style="1" customWidth="1"/>
    <col min="15894" max="15894" width="13.5703125" style="1" customWidth="1"/>
    <col min="15895" max="15895" width="14.140625" style="1" customWidth="1"/>
    <col min="15896" max="15898" width="8.85546875" style="1" customWidth="1"/>
    <col min="15899" max="15899" width="9.28515625" style="1" customWidth="1"/>
    <col min="15900" max="15900" width="14" style="1" customWidth="1"/>
    <col min="15901" max="15902" width="8.85546875" style="1" customWidth="1"/>
    <col min="15903" max="15903" width="10.140625" style="1" customWidth="1"/>
    <col min="15904" max="15905" width="9.5703125" style="1" customWidth="1"/>
    <col min="15906" max="15906" width="9.85546875" style="1" customWidth="1"/>
    <col min="15907" max="15908" width="10.140625" style="1" customWidth="1"/>
    <col min="15909" max="15911" width="9.28515625" style="1" customWidth="1"/>
    <col min="15912" max="15912" width="9.85546875" style="1" customWidth="1"/>
    <col min="15913" max="15914" width="8.5703125" style="1" customWidth="1"/>
    <col min="15915" max="15917" width="8.85546875" style="1" customWidth="1"/>
    <col min="15918" max="15918" width="9.28515625" style="1" customWidth="1"/>
    <col min="15919" max="15920" width="8.85546875" style="1" customWidth="1"/>
    <col min="15921" max="15921" width="10" style="1" customWidth="1"/>
    <col min="15922" max="15923" width="8.85546875" style="1" customWidth="1"/>
    <col min="15924" max="15924" width="11" style="1" customWidth="1"/>
    <col min="15925" max="15926" width="9.5703125" style="1" customWidth="1"/>
    <col min="15927" max="15929" width="8.85546875" style="1" customWidth="1"/>
    <col min="15930" max="15930" width="10.42578125" style="1" customWidth="1"/>
    <col min="15931" max="15932" width="8.85546875" style="1" customWidth="1"/>
    <col min="15933" max="15933" width="9.7109375" style="1" customWidth="1"/>
    <col min="15934" max="15935" width="8.85546875" style="1" customWidth="1"/>
    <col min="15936" max="15936" width="9.28515625" style="1" customWidth="1"/>
    <col min="15937" max="15957" width="8.85546875" style="1" customWidth="1"/>
    <col min="15958" max="15958" width="9.85546875" style="1" customWidth="1"/>
    <col min="15959" max="15959" width="8.85546875" style="1" customWidth="1"/>
    <col min="15960" max="15960" width="10" style="1" customWidth="1"/>
    <col min="15961" max="15977" width="8.85546875" style="1" customWidth="1"/>
    <col min="15978" max="15978" width="9.42578125" style="1" customWidth="1"/>
    <col min="15979" max="15979" width="8.85546875" style="1" customWidth="1"/>
    <col min="15980" max="15980" width="12" style="1" customWidth="1"/>
    <col min="15981" max="15981" width="11.140625" style="1" customWidth="1"/>
    <col min="15982" max="15982" width="28.7109375" style="1" customWidth="1"/>
    <col min="15983" max="15983" width="5.85546875" style="1" customWidth="1"/>
    <col min="15984" max="16133" width="9.140625" style="1"/>
    <col min="16134" max="16134" width="3.42578125" style="1" customWidth="1"/>
    <col min="16135" max="16135" width="27.85546875" style="1" customWidth="1"/>
    <col min="16136" max="16136" width="11.85546875" style="1" customWidth="1"/>
    <col min="16137" max="16137" width="15.140625" style="1" customWidth="1"/>
    <col min="16138" max="16138" width="10.28515625" style="1" customWidth="1"/>
    <col min="16139" max="16140" width="9.7109375" style="1" customWidth="1"/>
    <col min="16141" max="16141" width="10.42578125" style="1" customWidth="1"/>
    <col min="16142" max="16142" width="10.42578125" style="1" bestFit="1" customWidth="1"/>
    <col min="16143" max="16143" width="16.28515625" style="1" customWidth="1"/>
    <col min="16144" max="16144" width="15.140625" style="1" customWidth="1"/>
    <col min="16145" max="16145" width="13.5703125" style="1" customWidth="1"/>
    <col min="16146" max="16146" width="10.5703125" style="1" customWidth="1"/>
    <col min="16147" max="16147" width="10.85546875" style="1" customWidth="1"/>
    <col min="16148" max="16148" width="18" style="1" customWidth="1"/>
    <col min="16149" max="16149" width="20.85546875" style="1" customWidth="1"/>
    <col min="16150" max="16150" width="13.5703125" style="1" customWidth="1"/>
    <col min="16151" max="16151" width="14.140625" style="1" customWidth="1"/>
    <col min="16152" max="16154" width="8.85546875" style="1" customWidth="1"/>
    <col min="16155" max="16155" width="9.28515625" style="1" customWidth="1"/>
    <col min="16156" max="16156" width="14" style="1" customWidth="1"/>
    <col min="16157" max="16158" width="8.85546875" style="1" customWidth="1"/>
    <col min="16159" max="16159" width="10.140625" style="1" customWidth="1"/>
    <col min="16160" max="16161" width="9.5703125" style="1" customWidth="1"/>
    <col min="16162" max="16162" width="9.85546875" style="1" customWidth="1"/>
    <col min="16163" max="16164" width="10.140625" style="1" customWidth="1"/>
    <col min="16165" max="16167" width="9.28515625" style="1" customWidth="1"/>
    <col min="16168" max="16168" width="9.85546875" style="1" customWidth="1"/>
    <col min="16169" max="16170" width="8.5703125" style="1" customWidth="1"/>
    <col min="16171" max="16173" width="8.85546875" style="1" customWidth="1"/>
    <col min="16174" max="16174" width="9.28515625" style="1" customWidth="1"/>
    <col min="16175" max="16176" width="8.85546875" style="1" customWidth="1"/>
    <col min="16177" max="16177" width="10" style="1" customWidth="1"/>
    <col min="16178" max="16179" width="8.85546875" style="1" customWidth="1"/>
    <col min="16180" max="16180" width="11" style="1" customWidth="1"/>
    <col min="16181" max="16182" width="9.5703125" style="1" customWidth="1"/>
    <col min="16183" max="16185" width="8.85546875" style="1" customWidth="1"/>
    <col min="16186" max="16186" width="10.42578125" style="1" customWidth="1"/>
    <col min="16187" max="16188" width="8.85546875" style="1" customWidth="1"/>
    <col min="16189" max="16189" width="9.7109375" style="1" customWidth="1"/>
    <col min="16190" max="16191" width="8.85546875" style="1" customWidth="1"/>
    <col min="16192" max="16192" width="9.28515625" style="1" customWidth="1"/>
    <col min="16193" max="16213" width="8.85546875" style="1" customWidth="1"/>
    <col min="16214" max="16214" width="9.85546875" style="1" customWidth="1"/>
    <col min="16215" max="16215" width="8.85546875" style="1" customWidth="1"/>
    <col min="16216" max="16216" width="10" style="1" customWidth="1"/>
    <col min="16217" max="16233" width="8.85546875" style="1" customWidth="1"/>
    <col min="16234" max="16234" width="9.42578125" style="1" customWidth="1"/>
    <col min="16235" max="16235" width="8.85546875" style="1" customWidth="1"/>
    <col min="16236" max="16236" width="12" style="1" customWidth="1"/>
    <col min="16237" max="16237" width="11.140625" style="1" customWidth="1"/>
    <col min="16238" max="16238" width="28.7109375" style="1" customWidth="1"/>
    <col min="16239" max="16239" width="5.85546875" style="1" customWidth="1"/>
    <col min="16240" max="16384" width="9.140625" style="1"/>
  </cols>
  <sheetData>
    <row r="1" spans="1:111">
      <c r="A1" s="897" t="s">
        <v>75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7"/>
      <c r="Z1" s="897"/>
      <c r="AA1" s="897"/>
      <c r="AB1" s="897"/>
      <c r="AC1" s="897"/>
      <c r="AD1" s="897"/>
      <c r="AE1" s="897"/>
      <c r="AF1" s="897"/>
      <c r="AG1" s="897"/>
      <c r="AH1" s="846"/>
      <c r="AI1" s="847"/>
      <c r="AJ1" s="847"/>
      <c r="AK1" s="847"/>
      <c r="AL1" s="847"/>
      <c r="AM1" s="847"/>
      <c r="AN1" s="847"/>
      <c r="AO1" s="847"/>
      <c r="AP1" s="847"/>
      <c r="AQ1" s="847"/>
      <c r="AR1" s="847"/>
      <c r="AS1" s="847"/>
      <c r="AT1" s="847"/>
      <c r="AU1" s="847"/>
      <c r="AV1" s="847"/>
      <c r="AW1" s="847"/>
      <c r="AX1" s="847"/>
      <c r="AY1" s="847"/>
      <c r="AZ1" s="847"/>
      <c r="BA1" s="847"/>
      <c r="BB1" s="847"/>
      <c r="BC1" s="847"/>
      <c r="BD1" s="847"/>
      <c r="BE1" s="847"/>
      <c r="BF1" s="847"/>
      <c r="BG1" s="847"/>
      <c r="BH1" s="847"/>
      <c r="BI1" s="847"/>
      <c r="BJ1" s="847"/>
      <c r="BK1" s="847"/>
      <c r="BL1" s="847"/>
      <c r="BM1" s="847"/>
      <c r="BN1" s="847"/>
      <c r="BO1" s="847"/>
      <c r="BP1" s="847"/>
      <c r="BQ1" s="847"/>
      <c r="BR1" s="847"/>
      <c r="BS1" s="847"/>
      <c r="BT1" s="847"/>
      <c r="BU1" s="847"/>
      <c r="BV1" s="847"/>
      <c r="BW1" s="847"/>
      <c r="BX1" s="847"/>
      <c r="BY1" s="847"/>
      <c r="BZ1" s="847"/>
      <c r="CA1" s="847"/>
      <c r="CB1" s="847"/>
      <c r="CC1" s="847"/>
      <c r="CD1" s="847"/>
      <c r="CE1" s="847"/>
      <c r="CF1" s="847"/>
      <c r="CG1" s="847"/>
      <c r="CH1" s="847"/>
      <c r="CI1" s="847"/>
      <c r="CJ1" s="847"/>
      <c r="CK1" s="847"/>
      <c r="CL1" s="847"/>
      <c r="CM1" s="847"/>
      <c r="CN1" s="847"/>
      <c r="CO1" s="847"/>
      <c r="CP1" s="847"/>
      <c r="CQ1" s="847"/>
      <c r="CR1" s="847"/>
      <c r="CS1" s="847"/>
      <c r="CT1" s="847"/>
      <c r="CU1" s="847"/>
      <c r="CV1" s="847"/>
      <c r="CW1" s="847"/>
      <c r="CX1" s="847"/>
      <c r="CY1" s="847"/>
      <c r="CZ1" s="847"/>
      <c r="DA1" s="847"/>
      <c r="DB1" s="847"/>
      <c r="DC1" s="847"/>
      <c r="DD1" s="847"/>
      <c r="DE1" s="847"/>
      <c r="DF1" s="847"/>
      <c r="DG1" s="847"/>
    </row>
    <row r="2" spans="1:111">
      <c r="A2" s="897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  <c r="X2" s="897"/>
      <c r="Y2" s="897"/>
      <c r="Z2" s="897"/>
      <c r="AA2" s="897"/>
      <c r="AB2" s="897"/>
      <c r="AC2" s="897"/>
      <c r="AD2" s="897"/>
      <c r="AE2" s="897"/>
      <c r="AF2" s="897"/>
      <c r="AG2" s="897"/>
      <c r="AH2" s="847"/>
      <c r="AI2" s="847"/>
      <c r="AJ2" s="847"/>
      <c r="AK2" s="847"/>
      <c r="AL2" s="847"/>
      <c r="AM2" s="847"/>
      <c r="AN2" s="847"/>
      <c r="AO2" s="847"/>
      <c r="AP2" s="847"/>
      <c r="AQ2" s="847"/>
      <c r="AR2" s="847"/>
      <c r="AS2" s="847"/>
      <c r="AT2" s="847"/>
      <c r="AU2" s="847"/>
      <c r="AV2" s="847"/>
      <c r="AW2" s="847"/>
      <c r="AX2" s="847"/>
      <c r="AY2" s="847"/>
      <c r="AZ2" s="847"/>
      <c r="BA2" s="847"/>
      <c r="BB2" s="847"/>
      <c r="BC2" s="847"/>
      <c r="BD2" s="847"/>
      <c r="BE2" s="847"/>
      <c r="BF2" s="847"/>
      <c r="BG2" s="847"/>
      <c r="BH2" s="847"/>
      <c r="BI2" s="847"/>
      <c r="BJ2" s="847"/>
      <c r="BK2" s="847"/>
      <c r="BL2" s="847"/>
      <c r="BM2" s="847"/>
      <c r="BN2" s="847"/>
      <c r="BO2" s="847"/>
      <c r="BP2" s="847"/>
      <c r="BQ2" s="847"/>
      <c r="BR2" s="847"/>
      <c r="BS2" s="847"/>
      <c r="BT2" s="847"/>
      <c r="BU2" s="847"/>
      <c r="BV2" s="847"/>
      <c r="BW2" s="847"/>
      <c r="BX2" s="847"/>
      <c r="BY2" s="847"/>
      <c r="BZ2" s="847"/>
      <c r="CA2" s="847"/>
      <c r="CB2" s="847"/>
      <c r="CC2" s="847"/>
      <c r="CD2" s="847"/>
      <c r="CE2" s="847"/>
      <c r="CF2" s="847"/>
      <c r="CG2" s="847"/>
      <c r="CH2" s="847"/>
      <c r="CI2" s="847"/>
      <c r="CJ2" s="847"/>
      <c r="CK2" s="847"/>
      <c r="CL2" s="847"/>
      <c r="CM2" s="847"/>
      <c r="CN2" s="847"/>
      <c r="CO2" s="847"/>
      <c r="CP2" s="847"/>
      <c r="CQ2" s="847"/>
      <c r="CR2" s="847"/>
      <c r="CS2" s="847"/>
      <c r="CT2" s="847"/>
      <c r="CU2" s="847"/>
      <c r="CV2" s="847"/>
      <c r="CW2" s="847"/>
      <c r="CX2" s="847"/>
      <c r="CY2" s="847"/>
      <c r="CZ2" s="847"/>
      <c r="DA2" s="847"/>
      <c r="DB2" s="847"/>
      <c r="DC2" s="847"/>
      <c r="DD2" s="847"/>
      <c r="DE2" s="847"/>
      <c r="DF2" s="847"/>
      <c r="DG2" s="847"/>
    </row>
    <row r="3" spans="1:111">
      <c r="A3" s="895"/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5"/>
      <c r="O3" s="895"/>
      <c r="P3" s="895"/>
      <c r="Q3" s="895"/>
      <c r="R3" s="895"/>
      <c r="S3" s="895"/>
      <c r="T3" s="895"/>
      <c r="U3" s="895"/>
      <c r="V3" s="895"/>
      <c r="W3" s="895"/>
      <c r="X3" s="895"/>
      <c r="Y3" s="895"/>
      <c r="Z3" s="125"/>
      <c r="AA3" s="125"/>
      <c r="AB3" s="125"/>
      <c r="AC3" s="126"/>
      <c r="AD3" s="126"/>
      <c r="AE3" s="126"/>
      <c r="AF3" s="126"/>
      <c r="AG3" s="126"/>
      <c r="AH3" s="847"/>
      <c r="AI3" s="847"/>
      <c r="AJ3" s="847"/>
      <c r="AK3" s="847"/>
      <c r="AL3" s="847"/>
      <c r="AM3" s="847"/>
      <c r="AN3" s="847"/>
      <c r="AO3" s="847"/>
      <c r="AP3" s="847"/>
      <c r="AQ3" s="847"/>
      <c r="AR3" s="847"/>
      <c r="AS3" s="847"/>
      <c r="AT3" s="847"/>
      <c r="AU3" s="847"/>
      <c r="AV3" s="847"/>
      <c r="AW3" s="847"/>
      <c r="AX3" s="847"/>
      <c r="AY3" s="847"/>
      <c r="AZ3" s="847"/>
      <c r="BA3" s="847"/>
      <c r="BB3" s="847"/>
      <c r="BC3" s="847"/>
      <c r="BD3" s="847"/>
      <c r="BE3" s="847"/>
      <c r="BF3" s="847"/>
      <c r="BG3" s="847"/>
      <c r="BH3" s="847"/>
      <c r="BI3" s="847"/>
      <c r="BJ3" s="847"/>
      <c r="BK3" s="847"/>
      <c r="BL3" s="847"/>
      <c r="BM3" s="847"/>
      <c r="BN3" s="847"/>
      <c r="BO3" s="847"/>
      <c r="BP3" s="847"/>
      <c r="BQ3" s="847"/>
      <c r="BR3" s="847"/>
      <c r="BS3" s="847"/>
      <c r="BT3" s="847"/>
      <c r="BU3" s="847"/>
      <c r="BV3" s="847"/>
      <c r="BW3" s="847"/>
      <c r="BX3" s="847"/>
      <c r="BY3" s="847"/>
      <c r="BZ3" s="847"/>
      <c r="CA3" s="847"/>
      <c r="CB3" s="847"/>
      <c r="CC3" s="847"/>
      <c r="CD3" s="847"/>
      <c r="CE3" s="847"/>
      <c r="CF3" s="847"/>
      <c r="CG3" s="847"/>
      <c r="CH3" s="847"/>
      <c r="CI3" s="847"/>
      <c r="CJ3" s="847"/>
      <c r="CK3" s="847"/>
      <c r="CL3" s="847"/>
      <c r="CM3" s="847"/>
      <c r="CN3" s="847"/>
      <c r="CO3" s="847"/>
      <c r="CP3" s="847"/>
      <c r="CQ3" s="847"/>
      <c r="CR3" s="847"/>
      <c r="CS3" s="847"/>
      <c r="CT3" s="847"/>
      <c r="CU3" s="847"/>
      <c r="CV3" s="847"/>
      <c r="CW3" s="847"/>
      <c r="CX3" s="847"/>
      <c r="CY3" s="847"/>
      <c r="CZ3" s="847"/>
      <c r="DA3" s="847"/>
      <c r="DB3" s="847"/>
      <c r="DC3" s="847"/>
      <c r="DD3" s="847"/>
      <c r="DE3" s="847"/>
      <c r="DF3" s="847"/>
      <c r="DG3" s="847"/>
    </row>
    <row r="4" spans="1:111" ht="28.5" customHeight="1">
      <c r="A4" s="896" t="s">
        <v>23</v>
      </c>
      <c r="B4" s="886" t="s">
        <v>0</v>
      </c>
      <c r="C4" s="886" t="s">
        <v>29</v>
      </c>
      <c r="D4" s="886" t="s">
        <v>30</v>
      </c>
      <c r="E4" s="889" t="s">
        <v>24</v>
      </c>
      <c r="F4" s="889"/>
      <c r="G4" s="889"/>
      <c r="H4" s="889"/>
      <c r="I4" s="889" t="s">
        <v>25</v>
      </c>
      <c r="J4" s="889"/>
      <c r="K4" s="889"/>
      <c r="L4" s="889"/>
      <c r="M4" s="889"/>
      <c r="N4" s="889"/>
      <c r="O4" s="889"/>
      <c r="P4" s="889"/>
      <c r="Q4" s="889"/>
      <c r="R4" s="889"/>
      <c r="S4" s="889"/>
      <c r="T4" s="889" t="s">
        <v>26</v>
      </c>
      <c r="U4" s="890"/>
      <c r="V4" s="889" t="s">
        <v>27</v>
      </c>
      <c r="W4" s="890"/>
      <c r="X4" s="891"/>
      <c r="Y4" s="887"/>
      <c r="Z4" s="892" t="s">
        <v>28</v>
      </c>
      <c r="AA4" s="893"/>
      <c r="AB4" s="894"/>
      <c r="AC4" s="887"/>
      <c r="AD4" s="887"/>
      <c r="AE4" s="887"/>
      <c r="AF4" s="190"/>
      <c r="AG4" s="886" t="s">
        <v>74</v>
      </c>
      <c r="AH4" s="847"/>
      <c r="AI4" s="847"/>
      <c r="AJ4" s="847"/>
      <c r="AK4" s="847"/>
      <c r="AL4" s="847"/>
      <c r="AM4" s="847"/>
      <c r="AN4" s="847"/>
      <c r="AO4" s="847"/>
      <c r="AP4" s="847"/>
      <c r="AQ4" s="847"/>
      <c r="AR4" s="847"/>
      <c r="AS4" s="847"/>
      <c r="AT4" s="847"/>
      <c r="AU4" s="847"/>
      <c r="AV4" s="847"/>
      <c r="AW4" s="847"/>
      <c r="AX4" s="847"/>
      <c r="AY4" s="847"/>
      <c r="AZ4" s="847"/>
      <c r="BA4" s="847"/>
      <c r="BB4" s="847"/>
      <c r="BC4" s="847"/>
      <c r="BD4" s="847"/>
      <c r="BE4" s="847"/>
      <c r="BF4" s="847"/>
      <c r="BG4" s="847"/>
      <c r="BH4" s="847"/>
      <c r="BI4" s="847"/>
      <c r="BJ4" s="847"/>
      <c r="BK4" s="847"/>
      <c r="BL4" s="847"/>
      <c r="BM4" s="847"/>
      <c r="BN4" s="847"/>
      <c r="BO4" s="847"/>
      <c r="BP4" s="847"/>
      <c r="BQ4" s="847"/>
      <c r="BR4" s="847"/>
      <c r="BS4" s="847"/>
      <c r="BT4" s="847"/>
      <c r="BU4" s="847"/>
      <c r="BV4" s="847"/>
      <c r="BW4" s="847"/>
      <c r="BX4" s="847"/>
      <c r="BY4" s="847"/>
      <c r="BZ4" s="847"/>
      <c r="CA4" s="847"/>
      <c r="CB4" s="847"/>
      <c r="CC4" s="847"/>
      <c r="CD4" s="847"/>
      <c r="CE4" s="847"/>
      <c r="CF4" s="847"/>
      <c r="CG4" s="847"/>
      <c r="CH4" s="847"/>
      <c r="CI4" s="847"/>
      <c r="CJ4" s="847"/>
      <c r="CK4" s="847"/>
      <c r="CL4" s="847"/>
      <c r="CM4" s="847"/>
      <c r="CN4" s="847"/>
      <c r="CO4" s="847"/>
      <c r="CP4" s="847"/>
      <c r="CQ4" s="847"/>
      <c r="CR4" s="847"/>
      <c r="CS4" s="847"/>
      <c r="CT4" s="847"/>
      <c r="CU4" s="847"/>
      <c r="CV4" s="847"/>
      <c r="CW4" s="847"/>
      <c r="CX4" s="847"/>
      <c r="CY4" s="847"/>
      <c r="CZ4" s="847"/>
      <c r="DA4" s="847"/>
      <c r="DB4" s="847"/>
      <c r="DC4" s="847"/>
      <c r="DD4" s="847"/>
      <c r="DE4" s="847"/>
      <c r="DF4" s="847"/>
      <c r="DG4" s="847"/>
    </row>
    <row r="5" spans="1:111" ht="1.5" customHeight="1">
      <c r="A5" s="886"/>
      <c r="B5" s="896"/>
      <c r="C5" s="886"/>
      <c r="D5" s="886"/>
      <c r="E5" s="889"/>
      <c r="F5" s="889"/>
      <c r="G5" s="889"/>
      <c r="H5" s="889"/>
      <c r="I5" s="886" t="s">
        <v>1</v>
      </c>
      <c r="J5" s="886"/>
      <c r="K5" s="886"/>
      <c r="L5" s="886" t="s">
        <v>2</v>
      </c>
      <c r="M5" s="886" t="s">
        <v>33</v>
      </c>
      <c r="N5" s="886" t="s">
        <v>34</v>
      </c>
      <c r="O5" s="886" t="s">
        <v>35</v>
      </c>
      <c r="P5" s="886" t="s">
        <v>36</v>
      </c>
      <c r="Q5" s="886" t="s">
        <v>37</v>
      </c>
      <c r="R5" s="886" t="s">
        <v>38</v>
      </c>
      <c r="S5" s="886" t="s">
        <v>39</v>
      </c>
      <c r="T5" s="890"/>
      <c r="U5" s="890"/>
      <c r="V5" s="890"/>
      <c r="W5" s="890"/>
      <c r="X5" s="891"/>
      <c r="Y5" s="887"/>
      <c r="Z5" s="893"/>
      <c r="AA5" s="893"/>
      <c r="AB5" s="894"/>
      <c r="AC5" s="887"/>
      <c r="AD5" s="887"/>
      <c r="AE5" s="887"/>
      <c r="AF5" s="886"/>
      <c r="AG5" s="886"/>
      <c r="AH5" s="847"/>
      <c r="AI5" s="847"/>
      <c r="AJ5" s="847"/>
      <c r="AK5" s="847"/>
      <c r="AL5" s="847"/>
      <c r="AM5" s="847"/>
      <c r="AN5" s="847"/>
      <c r="AO5" s="847"/>
      <c r="AP5" s="847"/>
      <c r="AQ5" s="847"/>
      <c r="AR5" s="847"/>
      <c r="AS5" s="847"/>
      <c r="AT5" s="847"/>
      <c r="AU5" s="847"/>
      <c r="AV5" s="847"/>
      <c r="AW5" s="847"/>
      <c r="AX5" s="847"/>
      <c r="AY5" s="847"/>
      <c r="AZ5" s="847"/>
      <c r="BA5" s="847"/>
      <c r="BB5" s="847"/>
      <c r="BC5" s="847"/>
      <c r="BD5" s="847"/>
      <c r="BE5" s="847"/>
      <c r="BF5" s="847"/>
      <c r="BG5" s="847"/>
      <c r="BH5" s="847"/>
      <c r="BI5" s="847"/>
      <c r="BJ5" s="847"/>
      <c r="BK5" s="847"/>
      <c r="BL5" s="847"/>
      <c r="BM5" s="847"/>
      <c r="BN5" s="847"/>
      <c r="BO5" s="847"/>
      <c r="BP5" s="847"/>
      <c r="BQ5" s="847"/>
      <c r="BR5" s="847"/>
      <c r="BS5" s="847"/>
      <c r="BT5" s="847"/>
      <c r="BU5" s="847"/>
      <c r="BV5" s="847"/>
      <c r="BW5" s="847"/>
      <c r="BX5" s="847"/>
      <c r="BY5" s="847"/>
      <c r="BZ5" s="847"/>
      <c r="CA5" s="847"/>
      <c r="CB5" s="847"/>
      <c r="CC5" s="847"/>
      <c r="CD5" s="847"/>
      <c r="CE5" s="847"/>
      <c r="CF5" s="847"/>
      <c r="CG5" s="847"/>
      <c r="CH5" s="847"/>
      <c r="CI5" s="847"/>
      <c r="CJ5" s="847"/>
      <c r="CK5" s="847"/>
      <c r="CL5" s="847"/>
      <c r="CM5" s="847"/>
      <c r="CN5" s="847"/>
      <c r="CO5" s="847"/>
      <c r="CP5" s="847"/>
      <c r="CQ5" s="847"/>
      <c r="CR5" s="847"/>
      <c r="CS5" s="847"/>
      <c r="CT5" s="847"/>
      <c r="CU5" s="847"/>
      <c r="CV5" s="847"/>
      <c r="CW5" s="847"/>
      <c r="CX5" s="847"/>
      <c r="CY5" s="847"/>
      <c r="CZ5" s="847"/>
      <c r="DA5" s="847"/>
      <c r="DB5" s="847"/>
      <c r="DC5" s="847"/>
      <c r="DD5" s="847"/>
      <c r="DE5" s="847"/>
      <c r="DF5" s="847"/>
      <c r="DG5" s="847"/>
    </row>
    <row r="6" spans="1:111" ht="45.75" hidden="1" customHeight="1">
      <c r="A6" s="886"/>
      <c r="B6" s="896"/>
      <c r="C6" s="886"/>
      <c r="D6" s="886"/>
      <c r="E6" s="886" t="s">
        <v>31</v>
      </c>
      <c r="F6" s="886" t="s">
        <v>3</v>
      </c>
      <c r="G6" s="886" t="s">
        <v>32</v>
      </c>
      <c r="H6" s="886" t="s">
        <v>21</v>
      </c>
      <c r="I6" s="888" t="s">
        <v>3</v>
      </c>
      <c r="J6" s="888" t="s">
        <v>4</v>
      </c>
      <c r="K6" s="888" t="s">
        <v>22</v>
      </c>
      <c r="L6" s="886"/>
      <c r="M6" s="886"/>
      <c r="N6" s="886"/>
      <c r="O6" s="886"/>
      <c r="P6" s="886"/>
      <c r="Q6" s="886"/>
      <c r="R6" s="886"/>
      <c r="S6" s="886"/>
      <c r="T6" s="886" t="s">
        <v>40</v>
      </c>
      <c r="U6" s="886" t="s">
        <v>41</v>
      </c>
      <c r="V6" s="886" t="s">
        <v>42</v>
      </c>
      <c r="W6" s="886" t="s">
        <v>5</v>
      </c>
      <c r="X6" s="886" t="s">
        <v>43</v>
      </c>
      <c r="Y6" s="886" t="s">
        <v>44</v>
      </c>
      <c r="Z6" s="886" t="s">
        <v>45</v>
      </c>
      <c r="AA6" s="886" t="s">
        <v>46</v>
      </c>
      <c r="AB6" s="887"/>
      <c r="AC6" s="887"/>
      <c r="AD6" s="886" t="s">
        <v>47</v>
      </c>
      <c r="AE6" s="886" t="s">
        <v>48</v>
      </c>
      <c r="AF6" s="886"/>
      <c r="AG6" s="886"/>
      <c r="AH6" s="847"/>
      <c r="AI6" s="847"/>
      <c r="AJ6" s="847"/>
      <c r="AK6" s="847"/>
      <c r="AL6" s="847"/>
      <c r="AM6" s="847"/>
      <c r="AN6" s="847"/>
      <c r="AO6" s="847"/>
      <c r="AP6" s="847"/>
      <c r="AQ6" s="847"/>
      <c r="AR6" s="847"/>
      <c r="AS6" s="847"/>
      <c r="AT6" s="847"/>
      <c r="AU6" s="847"/>
      <c r="AV6" s="847"/>
      <c r="AW6" s="847"/>
      <c r="AX6" s="847"/>
      <c r="AY6" s="847"/>
      <c r="AZ6" s="847"/>
      <c r="BA6" s="847"/>
      <c r="BB6" s="847"/>
      <c r="BC6" s="847"/>
      <c r="BD6" s="847"/>
      <c r="BE6" s="847"/>
      <c r="BF6" s="847"/>
      <c r="BG6" s="847"/>
      <c r="BH6" s="847"/>
      <c r="BI6" s="847"/>
      <c r="BJ6" s="847"/>
      <c r="BK6" s="847"/>
      <c r="BL6" s="847"/>
      <c r="BM6" s="847"/>
      <c r="BN6" s="847"/>
      <c r="BO6" s="847"/>
      <c r="BP6" s="847"/>
      <c r="BQ6" s="847"/>
      <c r="BR6" s="847"/>
      <c r="BS6" s="847"/>
      <c r="BT6" s="847"/>
      <c r="BU6" s="847"/>
      <c r="BV6" s="847"/>
      <c r="BW6" s="847"/>
      <c r="BX6" s="847"/>
      <c r="BY6" s="847"/>
      <c r="BZ6" s="847"/>
      <c r="CA6" s="847"/>
      <c r="CB6" s="847"/>
      <c r="CC6" s="847"/>
      <c r="CD6" s="847"/>
      <c r="CE6" s="847"/>
      <c r="CF6" s="847"/>
      <c r="CG6" s="847"/>
      <c r="CH6" s="847"/>
      <c r="CI6" s="847"/>
      <c r="CJ6" s="847"/>
      <c r="CK6" s="847"/>
      <c r="CL6" s="847"/>
      <c r="CM6" s="847"/>
      <c r="CN6" s="847"/>
      <c r="CO6" s="847"/>
      <c r="CP6" s="847"/>
      <c r="CQ6" s="847"/>
      <c r="CR6" s="847"/>
      <c r="CS6" s="847"/>
      <c r="CT6" s="847"/>
      <c r="CU6" s="847"/>
      <c r="CV6" s="847"/>
      <c r="CW6" s="847"/>
      <c r="CX6" s="847"/>
      <c r="CY6" s="847"/>
      <c r="CZ6" s="847"/>
      <c r="DA6" s="847"/>
      <c r="DB6" s="847"/>
      <c r="DC6" s="847"/>
      <c r="DD6" s="847"/>
      <c r="DE6" s="847"/>
      <c r="DF6" s="847"/>
      <c r="DG6" s="847"/>
    </row>
    <row r="7" spans="1:111" ht="8.25" customHeight="1">
      <c r="A7" s="886"/>
      <c r="B7" s="896"/>
      <c r="C7" s="886"/>
      <c r="D7" s="886"/>
      <c r="E7" s="886"/>
      <c r="F7" s="886"/>
      <c r="G7" s="887"/>
      <c r="H7" s="886"/>
      <c r="I7" s="888"/>
      <c r="J7" s="888"/>
      <c r="K7" s="888"/>
      <c r="L7" s="886"/>
      <c r="M7" s="886"/>
      <c r="N7" s="886"/>
      <c r="O7" s="886"/>
      <c r="P7" s="886"/>
      <c r="Q7" s="886"/>
      <c r="R7" s="886"/>
      <c r="S7" s="886"/>
      <c r="T7" s="886"/>
      <c r="U7" s="887"/>
      <c r="V7" s="886"/>
      <c r="W7" s="886"/>
      <c r="X7" s="887"/>
      <c r="Y7" s="886"/>
      <c r="Z7" s="886"/>
      <c r="AA7" s="127" t="s">
        <v>49</v>
      </c>
      <c r="AB7" s="127" t="s">
        <v>50</v>
      </c>
      <c r="AC7" s="127" t="s">
        <v>51</v>
      </c>
      <c r="AD7" s="886"/>
      <c r="AE7" s="887"/>
      <c r="AF7" s="886"/>
      <c r="AG7" s="886"/>
      <c r="AH7" s="847"/>
      <c r="AI7" s="847"/>
      <c r="AJ7" s="847"/>
      <c r="AK7" s="847"/>
      <c r="AL7" s="847"/>
      <c r="AM7" s="847"/>
      <c r="AN7" s="847"/>
      <c r="AO7" s="847"/>
      <c r="AP7" s="847"/>
      <c r="AQ7" s="847"/>
      <c r="AR7" s="847"/>
      <c r="AS7" s="847"/>
      <c r="AT7" s="847"/>
      <c r="AU7" s="847"/>
      <c r="AV7" s="847"/>
      <c r="AW7" s="847"/>
      <c r="AX7" s="847"/>
      <c r="AY7" s="847"/>
      <c r="AZ7" s="847"/>
      <c r="BA7" s="847"/>
      <c r="BB7" s="847"/>
      <c r="BC7" s="847"/>
      <c r="BD7" s="847"/>
      <c r="BE7" s="847"/>
      <c r="BF7" s="847"/>
      <c r="BG7" s="847"/>
      <c r="BH7" s="847"/>
      <c r="BI7" s="847"/>
      <c r="BJ7" s="847"/>
      <c r="BK7" s="847"/>
      <c r="BL7" s="847"/>
      <c r="BM7" s="847"/>
      <c r="BN7" s="847"/>
      <c r="BO7" s="847"/>
      <c r="BP7" s="847"/>
      <c r="BQ7" s="847"/>
      <c r="BR7" s="847"/>
      <c r="BS7" s="847"/>
      <c r="BT7" s="847"/>
      <c r="BU7" s="847"/>
      <c r="BV7" s="847"/>
      <c r="BW7" s="847"/>
      <c r="BX7" s="847"/>
      <c r="BY7" s="847"/>
      <c r="BZ7" s="847"/>
      <c r="CA7" s="847"/>
      <c r="CB7" s="847"/>
      <c r="CC7" s="847"/>
      <c r="CD7" s="847"/>
      <c r="CE7" s="847"/>
      <c r="CF7" s="847"/>
      <c r="CG7" s="847"/>
      <c r="CH7" s="847"/>
      <c r="CI7" s="847"/>
      <c r="CJ7" s="847"/>
      <c r="CK7" s="847"/>
      <c r="CL7" s="847"/>
      <c r="CM7" s="847"/>
      <c r="CN7" s="847"/>
      <c r="CO7" s="847"/>
      <c r="CP7" s="847"/>
      <c r="CQ7" s="847"/>
      <c r="CR7" s="847"/>
      <c r="CS7" s="847"/>
      <c r="CT7" s="847"/>
      <c r="CU7" s="847"/>
      <c r="CV7" s="847"/>
      <c r="CW7" s="847"/>
      <c r="CX7" s="847"/>
      <c r="CY7" s="847"/>
      <c r="CZ7" s="847"/>
      <c r="DA7" s="847"/>
      <c r="DB7" s="847"/>
      <c r="DC7" s="847"/>
      <c r="DD7" s="847"/>
      <c r="DE7" s="847"/>
      <c r="DF7" s="847"/>
      <c r="DG7" s="847"/>
    </row>
    <row r="8" spans="1:111" s="5" customFormat="1" hidden="1">
      <c r="A8" s="191"/>
      <c r="B8" s="191"/>
      <c r="C8" s="192" t="s">
        <v>52</v>
      </c>
      <c r="D8" s="192" t="s">
        <v>53</v>
      </c>
      <c r="E8" s="192" t="s">
        <v>52</v>
      </c>
      <c r="F8" s="192" t="s">
        <v>52</v>
      </c>
      <c r="G8" s="192" t="s">
        <v>52</v>
      </c>
      <c r="H8" s="192"/>
      <c r="I8" s="192" t="s">
        <v>52</v>
      </c>
      <c r="J8" s="192" t="s">
        <v>52</v>
      </c>
      <c r="K8" s="192"/>
      <c r="L8" s="192" t="s">
        <v>52</v>
      </c>
      <c r="M8" s="192" t="s">
        <v>52</v>
      </c>
      <c r="N8" s="192" t="s">
        <v>54</v>
      </c>
      <c r="O8" s="192" t="s">
        <v>55</v>
      </c>
      <c r="P8" s="192" t="s">
        <v>55</v>
      </c>
      <c r="Q8" s="192" t="s">
        <v>54</v>
      </c>
      <c r="R8" s="192" t="s">
        <v>54</v>
      </c>
      <c r="S8" s="192" t="s">
        <v>54</v>
      </c>
      <c r="T8" s="192" t="s">
        <v>54</v>
      </c>
      <c r="U8" s="192" t="s">
        <v>54</v>
      </c>
      <c r="V8" s="192" t="s">
        <v>54</v>
      </c>
      <c r="W8" s="192" t="s">
        <v>54</v>
      </c>
      <c r="X8" s="192" t="s">
        <v>54</v>
      </c>
      <c r="Y8" s="192" t="s">
        <v>54</v>
      </c>
      <c r="Z8" s="192"/>
      <c r="AA8" s="192"/>
      <c r="AB8" s="192"/>
      <c r="AC8" s="192"/>
      <c r="AD8" s="192"/>
      <c r="AE8" s="192"/>
      <c r="AF8" s="192"/>
      <c r="AG8" s="192"/>
      <c r="AH8" s="847"/>
      <c r="AI8" s="847"/>
      <c r="AJ8" s="847"/>
      <c r="AK8" s="847"/>
      <c r="AL8" s="847"/>
      <c r="AM8" s="847"/>
      <c r="AN8" s="847"/>
      <c r="AO8" s="847"/>
      <c r="AP8" s="847"/>
      <c r="AQ8" s="847"/>
      <c r="AR8" s="847"/>
      <c r="AS8" s="847"/>
      <c r="AT8" s="847"/>
      <c r="AU8" s="847"/>
      <c r="AV8" s="847"/>
      <c r="AW8" s="847"/>
      <c r="AX8" s="847"/>
      <c r="AY8" s="847"/>
      <c r="AZ8" s="847"/>
      <c r="BA8" s="847"/>
      <c r="BB8" s="847"/>
      <c r="BC8" s="847"/>
      <c r="BD8" s="847"/>
      <c r="BE8" s="847"/>
      <c r="BF8" s="847"/>
      <c r="BG8" s="847"/>
      <c r="BH8" s="847"/>
      <c r="BI8" s="847"/>
      <c r="BJ8" s="847"/>
      <c r="BK8" s="847"/>
      <c r="BL8" s="847"/>
      <c r="BM8" s="847"/>
      <c r="BN8" s="847"/>
      <c r="BO8" s="847"/>
      <c r="BP8" s="847"/>
      <c r="BQ8" s="847"/>
      <c r="BR8" s="847"/>
      <c r="BS8" s="847"/>
      <c r="BT8" s="847"/>
      <c r="BU8" s="847"/>
      <c r="BV8" s="847"/>
      <c r="BW8" s="847"/>
      <c r="BX8" s="847"/>
      <c r="BY8" s="847"/>
      <c r="BZ8" s="847"/>
      <c r="CA8" s="847"/>
      <c r="CB8" s="847"/>
      <c r="CC8" s="847"/>
      <c r="CD8" s="847"/>
      <c r="CE8" s="847"/>
      <c r="CF8" s="847"/>
      <c r="CG8" s="847"/>
      <c r="CH8" s="847"/>
      <c r="CI8" s="847"/>
      <c r="CJ8" s="847"/>
      <c r="CK8" s="847"/>
      <c r="CL8" s="847"/>
      <c r="CM8" s="847"/>
      <c r="CN8" s="847"/>
      <c r="CO8" s="847"/>
      <c r="CP8" s="847"/>
      <c r="CQ8" s="847"/>
      <c r="CR8" s="847"/>
      <c r="CS8" s="847"/>
      <c r="CT8" s="847"/>
      <c r="CU8" s="847"/>
      <c r="CV8" s="847"/>
      <c r="CW8" s="847"/>
      <c r="CX8" s="847"/>
      <c r="CY8" s="847"/>
      <c r="CZ8" s="847"/>
      <c r="DA8" s="847"/>
      <c r="DB8" s="847"/>
      <c r="DC8" s="847"/>
      <c r="DD8" s="847"/>
      <c r="DE8" s="847"/>
      <c r="DF8" s="847"/>
      <c r="DG8" s="847"/>
    </row>
    <row r="9" spans="1:111" s="99" customFormat="1" hidden="1">
      <c r="A9" s="129">
        <v>1</v>
      </c>
      <c r="B9" s="193" t="s">
        <v>7</v>
      </c>
      <c r="C9" s="129">
        <v>384</v>
      </c>
      <c r="D9" s="130">
        <v>1086589</v>
      </c>
      <c r="E9" s="129">
        <v>11</v>
      </c>
      <c r="F9" s="131">
        <v>507</v>
      </c>
      <c r="G9" s="131">
        <v>151</v>
      </c>
      <c r="H9" s="129"/>
      <c r="I9" s="131">
        <v>1</v>
      </c>
      <c r="J9" s="129">
        <v>0</v>
      </c>
      <c r="K9" s="129"/>
      <c r="L9" s="129"/>
      <c r="M9" s="129"/>
      <c r="N9" s="131">
        <v>71</v>
      </c>
      <c r="O9" s="129"/>
      <c r="P9" s="129"/>
      <c r="Q9" s="129">
        <v>51.24</v>
      </c>
      <c r="R9" s="129"/>
      <c r="S9" s="129">
        <v>5.73</v>
      </c>
      <c r="T9" s="129"/>
      <c r="U9" s="129"/>
      <c r="V9" s="194">
        <v>5.6</v>
      </c>
      <c r="W9" s="195">
        <v>6</v>
      </c>
      <c r="X9" s="195">
        <v>11.3</v>
      </c>
      <c r="Y9" s="195">
        <v>7</v>
      </c>
      <c r="Z9" s="129"/>
      <c r="AA9" s="129"/>
      <c r="AB9" s="129"/>
      <c r="AC9" s="129"/>
      <c r="AD9" s="129"/>
      <c r="AE9" s="129"/>
      <c r="AF9" s="129"/>
      <c r="AG9" s="129"/>
      <c r="AH9" s="847"/>
      <c r="AI9" s="847"/>
      <c r="AJ9" s="847"/>
      <c r="AK9" s="847"/>
      <c r="AL9" s="847"/>
      <c r="AM9" s="847"/>
      <c r="AN9" s="847"/>
      <c r="AO9" s="847"/>
      <c r="AP9" s="847"/>
      <c r="AQ9" s="847"/>
      <c r="AR9" s="847"/>
      <c r="AS9" s="847"/>
      <c r="AT9" s="847"/>
      <c r="AU9" s="847"/>
      <c r="AV9" s="847"/>
      <c r="AW9" s="847"/>
      <c r="AX9" s="847"/>
      <c r="AY9" s="847"/>
      <c r="AZ9" s="847"/>
      <c r="BA9" s="847"/>
      <c r="BB9" s="847"/>
      <c r="BC9" s="847"/>
      <c r="BD9" s="847"/>
      <c r="BE9" s="847"/>
      <c r="BF9" s="847"/>
      <c r="BG9" s="847"/>
      <c r="BH9" s="847"/>
      <c r="BI9" s="847"/>
      <c r="BJ9" s="847"/>
      <c r="BK9" s="847"/>
      <c r="BL9" s="847"/>
      <c r="BM9" s="847"/>
      <c r="BN9" s="847"/>
      <c r="BO9" s="847"/>
      <c r="BP9" s="847"/>
      <c r="BQ9" s="847"/>
      <c r="BR9" s="847"/>
      <c r="BS9" s="847"/>
      <c r="BT9" s="847"/>
      <c r="BU9" s="847"/>
      <c r="BV9" s="847"/>
      <c r="BW9" s="847"/>
      <c r="BX9" s="847"/>
      <c r="BY9" s="847"/>
      <c r="BZ9" s="847"/>
      <c r="CA9" s="847"/>
      <c r="CB9" s="847"/>
      <c r="CC9" s="847"/>
      <c r="CD9" s="847"/>
      <c r="CE9" s="847"/>
      <c r="CF9" s="847"/>
      <c r="CG9" s="847"/>
      <c r="CH9" s="847"/>
      <c r="CI9" s="847"/>
      <c r="CJ9" s="847"/>
      <c r="CK9" s="847"/>
      <c r="CL9" s="847"/>
      <c r="CM9" s="847"/>
      <c r="CN9" s="847"/>
      <c r="CO9" s="847"/>
      <c r="CP9" s="847"/>
      <c r="CQ9" s="847"/>
      <c r="CR9" s="847"/>
      <c r="CS9" s="847"/>
      <c r="CT9" s="847"/>
      <c r="CU9" s="847"/>
      <c r="CV9" s="847"/>
      <c r="CW9" s="847"/>
      <c r="CX9" s="847"/>
      <c r="CY9" s="847"/>
      <c r="CZ9" s="847"/>
      <c r="DA9" s="847"/>
      <c r="DB9" s="847"/>
      <c r="DC9" s="847"/>
      <c r="DD9" s="847"/>
      <c r="DE9" s="847"/>
      <c r="DF9" s="847"/>
      <c r="DG9" s="847"/>
    </row>
    <row r="10" spans="1:111" s="121" customFormat="1" ht="15" hidden="1" customHeight="1">
      <c r="A10" s="129">
        <v>1</v>
      </c>
      <c r="B10" s="128" t="s">
        <v>13</v>
      </c>
      <c r="C10" s="134"/>
      <c r="D10" s="129"/>
      <c r="E10" s="131">
        <v>10</v>
      </c>
      <c r="F10" s="131">
        <v>10</v>
      </c>
      <c r="G10" s="131">
        <v>6</v>
      </c>
      <c r="H10" s="129"/>
      <c r="I10" s="131">
        <v>10</v>
      </c>
      <c r="J10" s="130">
        <v>10</v>
      </c>
      <c r="K10" s="130"/>
      <c r="L10" s="135"/>
      <c r="M10" s="135"/>
      <c r="N10" s="131">
        <v>0</v>
      </c>
      <c r="O10" s="135"/>
      <c r="P10" s="135"/>
      <c r="Q10" s="129">
        <v>8</v>
      </c>
      <c r="R10" s="135"/>
      <c r="S10" s="135"/>
      <c r="T10" s="129"/>
      <c r="U10" s="129"/>
      <c r="V10" s="129">
        <v>10</v>
      </c>
      <c r="W10" s="129">
        <v>10</v>
      </c>
      <c r="X10" s="129">
        <v>10</v>
      </c>
      <c r="Y10" s="129">
        <v>10</v>
      </c>
      <c r="Z10" s="129"/>
      <c r="AA10" s="129"/>
      <c r="AB10" s="129"/>
      <c r="AC10" s="129"/>
      <c r="AD10" s="129"/>
      <c r="AE10" s="129"/>
      <c r="AF10" s="129">
        <f>SUM(C10:AE10)</f>
        <v>94</v>
      </c>
      <c r="AG10" s="129">
        <v>94</v>
      </c>
      <c r="AH10" s="847"/>
      <c r="AI10" s="847"/>
      <c r="AJ10" s="847"/>
      <c r="AK10" s="847"/>
      <c r="AL10" s="847"/>
      <c r="AM10" s="847"/>
      <c r="AN10" s="847"/>
      <c r="AO10" s="847"/>
      <c r="AP10" s="847"/>
      <c r="AQ10" s="847"/>
      <c r="AR10" s="847"/>
      <c r="AS10" s="847"/>
      <c r="AT10" s="847"/>
      <c r="AU10" s="847"/>
      <c r="AV10" s="847"/>
      <c r="AW10" s="847"/>
      <c r="AX10" s="847"/>
      <c r="AY10" s="847"/>
      <c r="AZ10" s="847"/>
      <c r="BA10" s="847"/>
      <c r="BB10" s="847"/>
      <c r="BC10" s="847"/>
      <c r="BD10" s="847"/>
      <c r="BE10" s="847"/>
      <c r="BF10" s="847"/>
      <c r="BG10" s="847"/>
      <c r="BH10" s="847"/>
      <c r="BI10" s="847"/>
      <c r="BJ10" s="847"/>
      <c r="BK10" s="847"/>
      <c r="BL10" s="847"/>
      <c r="BM10" s="847"/>
      <c r="BN10" s="847"/>
      <c r="BO10" s="847"/>
      <c r="BP10" s="847"/>
      <c r="BQ10" s="847"/>
      <c r="BR10" s="847"/>
      <c r="BS10" s="847"/>
      <c r="BT10" s="847"/>
      <c r="BU10" s="847"/>
      <c r="BV10" s="847"/>
      <c r="BW10" s="847"/>
      <c r="BX10" s="847"/>
      <c r="BY10" s="847"/>
      <c r="BZ10" s="847"/>
      <c r="CA10" s="847"/>
      <c r="CB10" s="847"/>
      <c r="CC10" s="847"/>
      <c r="CD10" s="847"/>
      <c r="CE10" s="847"/>
      <c r="CF10" s="847"/>
      <c r="CG10" s="847"/>
      <c r="CH10" s="847"/>
      <c r="CI10" s="847"/>
      <c r="CJ10" s="847"/>
      <c r="CK10" s="847"/>
      <c r="CL10" s="847"/>
      <c r="CM10" s="847"/>
      <c r="CN10" s="847"/>
      <c r="CO10" s="847"/>
      <c r="CP10" s="847"/>
      <c r="CQ10" s="847"/>
      <c r="CR10" s="847"/>
      <c r="CS10" s="847"/>
      <c r="CT10" s="847"/>
      <c r="CU10" s="847"/>
      <c r="CV10" s="847"/>
      <c r="CW10" s="847"/>
      <c r="CX10" s="847"/>
      <c r="CY10" s="847"/>
      <c r="CZ10" s="847"/>
      <c r="DA10" s="847"/>
      <c r="DB10" s="847"/>
      <c r="DC10" s="847"/>
      <c r="DD10" s="847"/>
      <c r="DE10" s="847"/>
      <c r="DF10" s="847"/>
      <c r="DG10" s="847"/>
    </row>
    <row r="11" spans="1:111" hidden="1">
      <c r="A11" s="129"/>
      <c r="B11" s="128" t="s">
        <v>6</v>
      </c>
      <c r="C11" s="129">
        <v>291</v>
      </c>
      <c r="D11" s="130">
        <v>674255</v>
      </c>
      <c r="E11" s="129">
        <v>4</v>
      </c>
      <c r="F11" s="131">
        <v>99</v>
      </c>
      <c r="G11" s="131">
        <v>67</v>
      </c>
      <c r="H11" s="129"/>
      <c r="I11" s="131">
        <v>2</v>
      </c>
      <c r="J11" s="129">
        <v>0</v>
      </c>
      <c r="K11" s="129"/>
      <c r="L11" s="129">
        <v>0</v>
      </c>
      <c r="M11" s="129"/>
      <c r="N11" s="131">
        <v>127</v>
      </c>
      <c r="O11" s="129"/>
      <c r="P11" s="129"/>
      <c r="Q11" s="129">
        <v>50.23</v>
      </c>
      <c r="R11" s="129"/>
      <c r="S11" s="129"/>
      <c r="T11" s="129"/>
      <c r="U11" s="129"/>
      <c r="V11" s="132">
        <v>19</v>
      </c>
      <c r="W11" s="133">
        <v>16</v>
      </c>
      <c r="X11" s="133">
        <v>20</v>
      </c>
      <c r="Y11" s="133">
        <v>40</v>
      </c>
      <c r="Z11" s="129"/>
      <c r="AA11" s="129"/>
      <c r="AB11" s="129"/>
      <c r="AC11" s="129"/>
      <c r="AD11" s="129"/>
      <c r="AE11" s="129"/>
      <c r="AF11" s="129"/>
      <c r="AG11" s="129"/>
      <c r="AH11" s="847"/>
      <c r="AI11" s="847"/>
      <c r="AJ11" s="847"/>
      <c r="AK11" s="847"/>
      <c r="AL11" s="847"/>
      <c r="AM11" s="847"/>
      <c r="AN11" s="847"/>
      <c r="AO11" s="847"/>
      <c r="AP11" s="847"/>
      <c r="AQ11" s="847"/>
      <c r="AR11" s="847"/>
      <c r="AS11" s="847"/>
      <c r="AT11" s="847"/>
      <c r="AU11" s="847"/>
      <c r="AV11" s="847"/>
      <c r="AW11" s="847"/>
      <c r="AX11" s="847"/>
      <c r="AY11" s="847"/>
      <c r="AZ11" s="847"/>
      <c r="BA11" s="847"/>
      <c r="BB11" s="847"/>
      <c r="BC11" s="847"/>
      <c r="BD11" s="847"/>
      <c r="BE11" s="847"/>
      <c r="BF11" s="847"/>
      <c r="BG11" s="847"/>
      <c r="BH11" s="847"/>
      <c r="BI11" s="847"/>
      <c r="BJ11" s="847"/>
      <c r="BK11" s="847"/>
      <c r="BL11" s="847"/>
      <c r="BM11" s="847"/>
      <c r="BN11" s="847"/>
      <c r="BO11" s="847"/>
      <c r="BP11" s="847"/>
      <c r="BQ11" s="847"/>
      <c r="BR11" s="847"/>
      <c r="BS11" s="847"/>
      <c r="BT11" s="847"/>
      <c r="BU11" s="847"/>
      <c r="BV11" s="847"/>
      <c r="BW11" s="847"/>
      <c r="BX11" s="847"/>
      <c r="BY11" s="847"/>
      <c r="BZ11" s="847"/>
      <c r="CA11" s="847"/>
      <c r="CB11" s="847"/>
      <c r="CC11" s="847"/>
      <c r="CD11" s="847"/>
      <c r="CE11" s="847"/>
      <c r="CF11" s="847"/>
      <c r="CG11" s="847"/>
      <c r="CH11" s="847"/>
      <c r="CI11" s="847"/>
      <c r="CJ11" s="847"/>
      <c r="CK11" s="847"/>
      <c r="CL11" s="847"/>
      <c r="CM11" s="847"/>
      <c r="CN11" s="847"/>
      <c r="CO11" s="847"/>
      <c r="CP11" s="847"/>
      <c r="CQ11" s="847"/>
      <c r="CR11" s="847"/>
      <c r="CS11" s="847"/>
      <c r="CT11" s="847"/>
      <c r="CU11" s="847"/>
      <c r="CV11" s="847"/>
      <c r="CW11" s="847"/>
      <c r="CX11" s="847"/>
      <c r="CY11" s="847"/>
      <c r="CZ11" s="847"/>
      <c r="DA11" s="847"/>
      <c r="DB11" s="847"/>
      <c r="DC11" s="847"/>
      <c r="DD11" s="847"/>
      <c r="DE11" s="847"/>
      <c r="DF11" s="847"/>
      <c r="DG11" s="847"/>
    </row>
    <row r="12" spans="1:111" s="27" customFormat="1" ht="16.5" hidden="1" customHeight="1">
      <c r="A12" s="129">
        <v>2</v>
      </c>
      <c r="B12" s="128" t="s">
        <v>62</v>
      </c>
      <c r="C12" s="134"/>
      <c r="D12" s="135"/>
      <c r="E12" s="131">
        <v>9</v>
      </c>
      <c r="F12" s="131">
        <v>10</v>
      </c>
      <c r="G12" s="131">
        <v>10</v>
      </c>
      <c r="H12" s="135"/>
      <c r="I12" s="131">
        <v>10</v>
      </c>
      <c r="J12" s="130">
        <v>10</v>
      </c>
      <c r="K12" s="130"/>
      <c r="L12" s="135"/>
      <c r="M12" s="135"/>
      <c r="N12" s="131"/>
      <c r="O12" s="135"/>
      <c r="P12" s="135"/>
      <c r="Q12" s="135"/>
      <c r="R12" s="135"/>
      <c r="S12" s="135"/>
      <c r="T12" s="135"/>
      <c r="U12" s="135"/>
      <c r="V12" s="131">
        <v>10</v>
      </c>
      <c r="W12" s="131">
        <v>10</v>
      </c>
      <c r="X12" s="131">
        <v>10</v>
      </c>
      <c r="Y12" s="131">
        <v>10</v>
      </c>
      <c r="Z12" s="129"/>
      <c r="AA12" s="135"/>
      <c r="AB12" s="135"/>
      <c r="AC12" s="129"/>
      <c r="AD12" s="135"/>
      <c r="AE12" s="135"/>
      <c r="AF12" s="129">
        <f>SUM(C12:AE12)</f>
        <v>89</v>
      </c>
      <c r="AG12" s="129">
        <v>89</v>
      </c>
      <c r="AH12" s="847"/>
      <c r="AI12" s="847"/>
      <c r="AJ12" s="847"/>
      <c r="AK12" s="847"/>
      <c r="AL12" s="847"/>
      <c r="AM12" s="847"/>
      <c r="AN12" s="847"/>
      <c r="AO12" s="847"/>
      <c r="AP12" s="847"/>
      <c r="AQ12" s="847"/>
      <c r="AR12" s="847"/>
      <c r="AS12" s="847"/>
      <c r="AT12" s="847"/>
      <c r="AU12" s="847"/>
      <c r="AV12" s="847"/>
      <c r="AW12" s="847"/>
      <c r="AX12" s="847"/>
      <c r="AY12" s="847"/>
      <c r="AZ12" s="847"/>
      <c r="BA12" s="847"/>
      <c r="BB12" s="847"/>
      <c r="BC12" s="847"/>
      <c r="BD12" s="847"/>
      <c r="BE12" s="847"/>
      <c r="BF12" s="847"/>
      <c r="BG12" s="847"/>
      <c r="BH12" s="847"/>
      <c r="BI12" s="847"/>
      <c r="BJ12" s="847"/>
      <c r="BK12" s="847"/>
      <c r="BL12" s="847"/>
      <c r="BM12" s="847"/>
      <c r="BN12" s="847"/>
      <c r="BO12" s="847"/>
      <c r="BP12" s="847"/>
      <c r="BQ12" s="847"/>
      <c r="BR12" s="847"/>
      <c r="BS12" s="847"/>
      <c r="BT12" s="847"/>
      <c r="BU12" s="847"/>
      <c r="BV12" s="847"/>
      <c r="BW12" s="847"/>
      <c r="BX12" s="847"/>
      <c r="BY12" s="847"/>
      <c r="BZ12" s="847"/>
      <c r="CA12" s="847"/>
      <c r="CB12" s="847"/>
      <c r="CC12" s="847"/>
      <c r="CD12" s="847"/>
      <c r="CE12" s="847"/>
      <c r="CF12" s="847"/>
      <c r="CG12" s="847"/>
      <c r="CH12" s="847"/>
      <c r="CI12" s="847"/>
      <c r="CJ12" s="847"/>
      <c r="CK12" s="847"/>
      <c r="CL12" s="847"/>
      <c r="CM12" s="847"/>
      <c r="CN12" s="847"/>
      <c r="CO12" s="847"/>
      <c r="CP12" s="847"/>
      <c r="CQ12" s="847"/>
      <c r="CR12" s="847"/>
      <c r="CS12" s="847"/>
      <c r="CT12" s="847"/>
      <c r="CU12" s="847"/>
      <c r="CV12" s="847"/>
      <c r="CW12" s="847"/>
      <c r="CX12" s="847"/>
      <c r="CY12" s="847"/>
      <c r="CZ12" s="847"/>
      <c r="DA12" s="847"/>
      <c r="DB12" s="847"/>
      <c r="DC12" s="847"/>
      <c r="DD12" s="847"/>
      <c r="DE12" s="847"/>
      <c r="DF12" s="847"/>
      <c r="DG12" s="847"/>
    </row>
    <row r="13" spans="1:111" hidden="1">
      <c r="A13" s="129">
        <v>3</v>
      </c>
      <c r="B13" s="128" t="s">
        <v>56</v>
      </c>
      <c r="C13" s="134">
        <v>526</v>
      </c>
      <c r="D13" s="135">
        <v>1269182</v>
      </c>
      <c r="E13" s="131">
        <v>14</v>
      </c>
      <c r="F13" s="131">
        <v>676</v>
      </c>
      <c r="G13" s="131">
        <v>170</v>
      </c>
      <c r="H13" s="135"/>
      <c r="I13" s="131">
        <v>9</v>
      </c>
      <c r="J13" s="130">
        <v>0</v>
      </c>
      <c r="K13" s="130"/>
      <c r="L13" s="135"/>
      <c r="M13" s="135"/>
      <c r="N13" s="131">
        <v>141</v>
      </c>
      <c r="O13" s="135"/>
      <c r="P13" s="135"/>
      <c r="Q13" s="135">
        <v>14.82</v>
      </c>
      <c r="R13" s="135"/>
      <c r="S13" s="135"/>
      <c r="T13" s="135"/>
      <c r="U13" s="135"/>
      <c r="V13" s="132">
        <v>32.619999999999997</v>
      </c>
      <c r="W13" s="133">
        <v>49.36</v>
      </c>
      <c r="X13" s="133">
        <v>56.65</v>
      </c>
      <c r="Y13" s="133">
        <v>64.510000000000005</v>
      </c>
      <c r="Z13" s="129"/>
      <c r="AA13" s="135"/>
      <c r="AB13" s="135"/>
      <c r="AC13" s="129"/>
      <c r="AD13" s="135"/>
      <c r="AE13" s="135"/>
      <c r="AF13" s="135"/>
      <c r="AG13" s="135"/>
      <c r="AH13" s="847"/>
      <c r="AI13" s="847"/>
      <c r="AJ13" s="847"/>
      <c r="AK13" s="847"/>
      <c r="AL13" s="847"/>
      <c r="AM13" s="847"/>
      <c r="AN13" s="847"/>
      <c r="AO13" s="847"/>
      <c r="AP13" s="847"/>
      <c r="AQ13" s="847"/>
      <c r="AR13" s="847"/>
      <c r="AS13" s="847"/>
      <c r="AT13" s="847"/>
      <c r="AU13" s="847"/>
      <c r="AV13" s="847"/>
      <c r="AW13" s="847"/>
      <c r="AX13" s="847"/>
      <c r="AY13" s="847"/>
      <c r="AZ13" s="847"/>
      <c r="BA13" s="847"/>
      <c r="BB13" s="847"/>
      <c r="BC13" s="847"/>
      <c r="BD13" s="847"/>
      <c r="BE13" s="847"/>
      <c r="BF13" s="847"/>
      <c r="BG13" s="847"/>
      <c r="BH13" s="847"/>
      <c r="BI13" s="847"/>
      <c r="BJ13" s="847"/>
      <c r="BK13" s="847"/>
      <c r="BL13" s="847"/>
      <c r="BM13" s="847"/>
      <c r="BN13" s="847"/>
      <c r="BO13" s="847"/>
      <c r="BP13" s="847"/>
      <c r="BQ13" s="847"/>
      <c r="BR13" s="847"/>
      <c r="BS13" s="847"/>
      <c r="BT13" s="847"/>
      <c r="BU13" s="847"/>
      <c r="BV13" s="847"/>
      <c r="BW13" s="847"/>
      <c r="BX13" s="847"/>
      <c r="BY13" s="847"/>
      <c r="BZ13" s="847"/>
      <c r="CA13" s="847"/>
      <c r="CB13" s="847"/>
      <c r="CC13" s="847"/>
      <c r="CD13" s="847"/>
      <c r="CE13" s="847"/>
      <c r="CF13" s="847"/>
      <c r="CG13" s="847"/>
      <c r="CH13" s="847"/>
      <c r="CI13" s="847"/>
      <c r="CJ13" s="847"/>
      <c r="CK13" s="847"/>
      <c r="CL13" s="847"/>
      <c r="CM13" s="847"/>
      <c r="CN13" s="847"/>
      <c r="CO13" s="847"/>
      <c r="CP13" s="847"/>
      <c r="CQ13" s="847"/>
      <c r="CR13" s="847"/>
      <c r="CS13" s="847"/>
      <c r="CT13" s="847"/>
      <c r="CU13" s="847"/>
      <c r="CV13" s="847"/>
      <c r="CW13" s="847"/>
      <c r="CX13" s="847"/>
      <c r="CY13" s="847"/>
      <c r="CZ13" s="847"/>
      <c r="DA13" s="847"/>
      <c r="DB13" s="847"/>
      <c r="DC13" s="847"/>
      <c r="DD13" s="847"/>
      <c r="DE13" s="847"/>
      <c r="DF13" s="847"/>
      <c r="DG13" s="847"/>
    </row>
    <row r="14" spans="1:111" s="27" customFormat="1" ht="15.75" hidden="1" customHeight="1">
      <c r="A14" s="129">
        <v>3</v>
      </c>
      <c r="B14" s="128" t="s">
        <v>59</v>
      </c>
      <c r="C14" s="134"/>
      <c r="D14" s="129"/>
      <c r="E14" s="131">
        <v>10</v>
      </c>
      <c r="F14" s="131">
        <v>7</v>
      </c>
      <c r="G14" s="131">
        <v>10</v>
      </c>
      <c r="H14" s="129"/>
      <c r="I14" s="131">
        <v>10</v>
      </c>
      <c r="J14" s="130">
        <v>10</v>
      </c>
      <c r="K14" s="130"/>
      <c r="L14" s="129"/>
      <c r="M14" s="129"/>
      <c r="N14" s="131">
        <v>0</v>
      </c>
      <c r="O14" s="129"/>
      <c r="P14" s="129"/>
      <c r="Q14" s="129">
        <v>9</v>
      </c>
      <c r="R14" s="129"/>
      <c r="S14" s="129"/>
      <c r="T14" s="129"/>
      <c r="U14" s="129"/>
      <c r="V14" s="129">
        <v>10</v>
      </c>
      <c r="W14" s="129">
        <v>4</v>
      </c>
      <c r="X14" s="129">
        <v>6</v>
      </c>
      <c r="Y14" s="129">
        <v>10</v>
      </c>
      <c r="Z14" s="129"/>
      <c r="AA14" s="129"/>
      <c r="AB14" s="129"/>
      <c r="AC14" s="129"/>
      <c r="AD14" s="129"/>
      <c r="AE14" s="129"/>
      <c r="AF14" s="129">
        <f>SUM(C14:AE14)</f>
        <v>86</v>
      </c>
      <c r="AG14" s="129">
        <f>AF14-1</f>
        <v>85</v>
      </c>
      <c r="AH14" s="847"/>
      <c r="AI14" s="847"/>
      <c r="AJ14" s="847"/>
      <c r="AK14" s="847"/>
      <c r="AL14" s="847"/>
      <c r="AM14" s="847"/>
      <c r="AN14" s="847"/>
      <c r="AO14" s="847"/>
      <c r="AP14" s="847"/>
      <c r="AQ14" s="847"/>
      <c r="AR14" s="847"/>
      <c r="AS14" s="847"/>
      <c r="AT14" s="847"/>
      <c r="AU14" s="847"/>
      <c r="AV14" s="847"/>
      <c r="AW14" s="847"/>
      <c r="AX14" s="847"/>
      <c r="AY14" s="847"/>
      <c r="AZ14" s="847"/>
      <c r="BA14" s="847"/>
      <c r="BB14" s="847"/>
      <c r="BC14" s="847"/>
      <c r="BD14" s="847"/>
      <c r="BE14" s="847"/>
      <c r="BF14" s="847"/>
      <c r="BG14" s="847"/>
      <c r="BH14" s="847"/>
      <c r="BI14" s="847"/>
      <c r="BJ14" s="847"/>
      <c r="BK14" s="847"/>
      <c r="BL14" s="847"/>
      <c r="BM14" s="847"/>
      <c r="BN14" s="847"/>
      <c r="BO14" s="847"/>
      <c r="BP14" s="847"/>
      <c r="BQ14" s="847"/>
      <c r="BR14" s="847"/>
      <c r="BS14" s="847"/>
      <c r="BT14" s="847"/>
      <c r="BU14" s="847"/>
      <c r="BV14" s="847"/>
      <c r="BW14" s="847"/>
      <c r="BX14" s="847"/>
      <c r="BY14" s="847"/>
      <c r="BZ14" s="847"/>
      <c r="CA14" s="847"/>
      <c r="CB14" s="847"/>
      <c r="CC14" s="847"/>
      <c r="CD14" s="847"/>
      <c r="CE14" s="847"/>
      <c r="CF14" s="847"/>
      <c r="CG14" s="847"/>
      <c r="CH14" s="847"/>
      <c r="CI14" s="847"/>
      <c r="CJ14" s="847"/>
      <c r="CK14" s="847"/>
      <c r="CL14" s="847"/>
      <c r="CM14" s="847"/>
      <c r="CN14" s="847"/>
      <c r="CO14" s="847"/>
      <c r="CP14" s="847"/>
      <c r="CQ14" s="847"/>
      <c r="CR14" s="847"/>
      <c r="CS14" s="847"/>
      <c r="CT14" s="847"/>
      <c r="CU14" s="847"/>
      <c r="CV14" s="847"/>
      <c r="CW14" s="847"/>
      <c r="CX14" s="847"/>
      <c r="CY14" s="847"/>
      <c r="CZ14" s="847"/>
      <c r="DA14" s="847"/>
      <c r="DB14" s="847"/>
      <c r="DC14" s="847"/>
      <c r="DD14" s="847"/>
      <c r="DE14" s="847"/>
      <c r="DF14" s="847"/>
      <c r="DG14" s="847"/>
    </row>
    <row r="15" spans="1:111" hidden="1">
      <c r="A15" s="129">
        <v>4</v>
      </c>
      <c r="B15" s="128" t="s">
        <v>8</v>
      </c>
      <c r="C15" s="134">
        <v>561</v>
      </c>
      <c r="D15" s="135">
        <v>1190658</v>
      </c>
      <c r="E15" s="131">
        <v>6</v>
      </c>
      <c r="F15" s="131">
        <v>614</v>
      </c>
      <c r="G15" s="131">
        <v>115</v>
      </c>
      <c r="H15" s="135"/>
      <c r="I15" s="131">
        <v>0</v>
      </c>
      <c r="J15" s="130">
        <v>0</v>
      </c>
      <c r="K15" s="130"/>
      <c r="L15" s="129" t="s">
        <v>72</v>
      </c>
      <c r="M15" s="129"/>
      <c r="N15" s="131">
        <v>179</v>
      </c>
      <c r="O15" s="135"/>
      <c r="P15" s="135"/>
      <c r="Q15" s="135">
        <v>87.14</v>
      </c>
      <c r="R15" s="135"/>
      <c r="S15" s="135">
        <v>16.22</v>
      </c>
      <c r="T15" s="129"/>
      <c r="U15" s="129"/>
      <c r="V15" s="132">
        <v>7.3</v>
      </c>
      <c r="W15" s="133">
        <v>6.8</v>
      </c>
      <c r="X15" s="133">
        <v>6.8</v>
      </c>
      <c r="Y15" s="133">
        <v>59.3</v>
      </c>
      <c r="Z15" s="129"/>
      <c r="AA15" s="129"/>
      <c r="AB15" s="129"/>
      <c r="AC15" s="129"/>
      <c r="AD15" s="129"/>
      <c r="AE15" s="129"/>
      <c r="AF15" s="129"/>
      <c r="AG15" s="129"/>
      <c r="AH15" s="847"/>
      <c r="AI15" s="847"/>
      <c r="AJ15" s="847"/>
      <c r="AK15" s="847"/>
      <c r="AL15" s="847"/>
      <c r="AM15" s="847"/>
      <c r="AN15" s="847"/>
      <c r="AO15" s="847"/>
      <c r="AP15" s="847"/>
      <c r="AQ15" s="847"/>
      <c r="AR15" s="847"/>
      <c r="AS15" s="847"/>
      <c r="AT15" s="847"/>
      <c r="AU15" s="847"/>
      <c r="AV15" s="847"/>
      <c r="AW15" s="847"/>
      <c r="AX15" s="847"/>
      <c r="AY15" s="847"/>
      <c r="AZ15" s="847"/>
      <c r="BA15" s="847"/>
      <c r="BB15" s="847"/>
      <c r="BC15" s="847"/>
      <c r="BD15" s="847"/>
      <c r="BE15" s="847"/>
      <c r="BF15" s="847"/>
      <c r="BG15" s="847"/>
      <c r="BH15" s="847"/>
      <c r="BI15" s="847"/>
      <c r="BJ15" s="847"/>
      <c r="BK15" s="847"/>
      <c r="BL15" s="847"/>
      <c r="BM15" s="847"/>
      <c r="BN15" s="847"/>
      <c r="BO15" s="847"/>
      <c r="BP15" s="847"/>
      <c r="BQ15" s="847"/>
      <c r="BR15" s="847"/>
      <c r="BS15" s="847"/>
      <c r="BT15" s="847"/>
      <c r="BU15" s="847"/>
      <c r="BV15" s="847"/>
      <c r="BW15" s="847"/>
      <c r="BX15" s="847"/>
      <c r="BY15" s="847"/>
      <c r="BZ15" s="847"/>
      <c r="CA15" s="847"/>
      <c r="CB15" s="847"/>
      <c r="CC15" s="847"/>
      <c r="CD15" s="847"/>
      <c r="CE15" s="847"/>
      <c r="CF15" s="847"/>
      <c r="CG15" s="847"/>
      <c r="CH15" s="847"/>
      <c r="CI15" s="847"/>
      <c r="CJ15" s="847"/>
      <c r="CK15" s="847"/>
      <c r="CL15" s="847"/>
      <c r="CM15" s="847"/>
      <c r="CN15" s="847"/>
      <c r="CO15" s="847"/>
      <c r="CP15" s="847"/>
      <c r="CQ15" s="847"/>
      <c r="CR15" s="847"/>
      <c r="CS15" s="847"/>
      <c r="CT15" s="847"/>
      <c r="CU15" s="847"/>
      <c r="CV15" s="847"/>
      <c r="CW15" s="847"/>
      <c r="CX15" s="847"/>
      <c r="CY15" s="847"/>
      <c r="CZ15" s="847"/>
      <c r="DA15" s="847"/>
      <c r="DB15" s="847"/>
      <c r="DC15" s="847"/>
      <c r="DD15" s="847"/>
      <c r="DE15" s="847"/>
      <c r="DF15" s="847"/>
      <c r="DG15" s="847"/>
    </row>
    <row r="16" spans="1:111" s="76" customFormat="1" ht="12.75" customHeight="1">
      <c r="A16" s="129">
        <v>1</v>
      </c>
      <c r="B16" s="128" t="s">
        <v>10</v>
      </c>
      <c r="C16" s="134"/>
      <c r="D16" s="135"/>
      <c r="E16" s="131">
        <v>10</v>
      </c>
      <c r="F16" s="131">
        <v>4</v>
      </c>
      <c r="G16" s="131">
        <v>6</v>
      </c>
      <c r="H16" s="135"/>
      <c r="I16" s="136">
        <v>10</v>
      </c>
      <c r="J16" s="137">
        <v>10</v>
      </c>
      <c r="K16" s="137"/>
      <c r="L16" s="129"/>
      <c r="M16" s="129"/>
      <c r="N16" s="131">
        <v>2</v>
      </c>
      <c r="O16" s="129"/>
      <c r="P16" s="129"/>
      <c r="Q16" s="135">
        <v>5</v>
      </c>
      <c r="R16" s="135"/>
      <c r="S16" s="135"/>
      <c r="T16" s="129"/>
      <c r="U16" s="129"/>
      <c r="V16" s="138">
        <v>10</v>
      </c>
      <c r="W16" s="129">
        <v>9</v>
      </c>
      <c r="X16" s="129">
        <v>9</v>
      </c>
      <c r="Y16" s="129">
        <v>10</v>
      </c>
      <c r="Z16" s="129"/>
      <c r="AA16" s="129"/>
      <c r="AB16" s="129"/>
      <c r="AC16" s="129"/>
      <c r="AD16" s="129"/>
      <c r="AE16" s="129"/>
      <c r="AF16" s="129">
        <f>SUM(C16:AE16)</f>
        <v>85</v>
      </c>
      <c r="AG16" s="129">
        <f>AF16-1</f>
        <v>84</v>
      </c>
      <c r="AH16" s="847"/>
      <c r="AI16" s="847"/>
      <c r="AJ16" s="847"/>
      <c r="AK16" s="847"/>
      <c r="AL16" s="847"/>
      <c r="AM16" s="847"/>
      <c r="AN16" s="847"/>
      <c r="AO16" s="847"/>
      <c r="AP16" s="847"/>
      <c r="AQ16" s="847"/>
      <c r="AR16" s="847"/>
      <c r="AS16" s="847"/>
      <c r="AT16" s="847"/>
      <c r="AU16" s="847"/>
      <c r="AV16" s="847"/>
      <c r="AW16" s="847"/>
      <c r="AX16" s="847"/>
      <c r="AY16" s="847"/>
      <c r="AZ16" s="847"/>
      <c r="BA16" s="847"/>
      <c r="BB16" s="847"/>
      <c r="BC16" s="847"/>
      <c r="BD16" s="847"/>
      <c r="BE16" s="847"/>
      <c r="BF16" s="847"/>
      <c r="BG16" s="847"/>
      <c r="BH16" s="847"/>
      <c r="BI16" s="847"/>
      <c r="BJ16" s="847"/>
      <c r="BK16" s="847"/>
      <c r="BL16" s="847"/>
      <c r="BM16" s="847"/>
      <c r="BN16" s="847"/>
      <c r="BO16" s="847"/>
      <c r="BP16" s="847"/>
      <c r="BQ16" s="847"/>
      <c r="BR16" s="847"/>
      <c r="BS16" s="847"/>
      <c r="BT16" s="847"/>
      <c r="BU16" s="847"/>
      <c r="BV16" s="847"/>
      <c r="BW16" s="847"/>
      <c r="BX16" s="847"/>
      <c r="BY16" s="847"/>
      <c r="BZ16" s="847"/>
      <c r="CA16" s="847"/>
      <c r="CB16" s="847"/>
      <c r="CC16" s="847"/>
      <c r="CD16" s="847"/>
      <c r="CE16" s="847"/>
      <c r="CF16" s="847"/>
      <c r="CG16" s="847"/>
      <c r="CH16" s="847"/>
      <c r="CI16" s="847"/>
      <c r="CJ16" s="847"/>
      <c r="CK16" s="847"/>
      <c r="CL16" s="847"/>
      <c r="CM16" s="847"/>
      <c r="CN16" s="847"/>
      <c r="CO16" s="847"/>
      <c r="CP16" s="847"/>
      <c r="CQ16" s="847"/>
      <c r="CR16" s="847"/>
      <c r="CS16" s="847"/>
      <c r="CT16" s="847"/>
      <c r="CU16" s="847"/>
      <c r="CV16" s="847"/>
      <c r="CW16" s="847"/>
      <c r="CX16" s="847"/>
      <c r="CY16" s="847"/>
      <c r="CZ16" s="847"/>
      <c r="DA16" s="847"/>
      <c r="DB16" s="847"/>
      <c r="DC16" s="847"/>
      <c r="DD16" s="847"/>
      <c r="DE16" s="847"/>
      <c r="DF16" s="847"/>
      <c r="DG16" s="847"/>
    </row>
    <row r="17" spans="1:111" hidden="1">
      <c r="A17" s="129">
        <v>5</v>
      </c>
      <c r="B17" s="128" t="s">
        <v>57</v>
      </c>
      <c r="C17" s="129">
        <v>12</v>
      </c>
      <c r="D17" s="129"/>
      <c r="E17" s="131">
        <v>0</v>
      </c>
      <c r="F17" s="131">
        <v>20</v>
      </c>
      <c r="G17" s="131">
        <v>8</v>
      </c>
      <c r="H17" s="129"/>
      <c r="I17" s="131">
        <v>3</v>
      </c>
      <c r="J17" s="130">
        <v>0</v>
      </c>
      <c r="K17" s="130"/>
      <c r="L17" s="129"/>
      <c r="M17" s="129"/>
      <c r="N17" s="131">
        <v>0</v>
      </c>
      <c r="O17" s="129"/>
      <c r="P17" s="129"/>
      <c r="Q17" s="129">
        <v>0</v>
      </c>
      <c r="R17" s="129"/>
      <c r="S17" s="129"/>
      <c r="T17" s="129"/>
      <c r="U17" s="129"/>
      <c r="V17" s="132"/>
      <c r="W17" s="133"/>
      <c r="X17" s="133"/>
      <c r="Y17" s="133"/>
      <c r="Z17" s="129"/>
      <c r="AA17" s="129"/>
      <c r="AB17" s="129"/>
      <c r="AC17" s="129"/>
      <c r="AD17" s="129"/>
      <c r="AE17" s="129"/>
      <c r="AF17" s="129"/>
      <c r="AG17" s="129"/>
      <c r="AH17" s="847"/>
      <c r="AI17" s="847"/>
      <c r="AJ17" s="847"/>
      <c r="AK17" s="847"/>
      <c r="AL17" s="847"/>
      <c r="AM17" s="847"/>
      <c r="AN17" s="847"/>
      <c r="AO17" s="847"/>
      <c r="AP17" s="847"/>
      <c r="AQ17" s="847"/>
      <c r="AR17" s="847"/>
      <c r="AS17" s="847"/>
      <c r="AT17" s="847"/>
      <c r="AU17" s="847"/>
      <c r="AV17" s="847"/>
      <c r="AW17" s="847"/>
      <c r="AX17" s="847"/>
      <c r="AY17" s="847"/>
      <c r="AZ17" s="847"/>
      <c r="BA17" s="847"/>
      <c r="BB17" s="847"/>
      <c r="BC17" s="847"/>
      <c r="BD17" s="847"/>
      <c r="BE17" s="847"/>
      <c r="BF17" s="847"/>
      <c r="BG17" s="847"/>
      <c r="BH17" s="847"/>
      <c r="BI17" s="847"/>
      <c r="BJ17" s="847"/>
      <c r="BK17" s="847"/>
      <c r="BL17" s="847"/>
      <c r="BM17" s="847"/>
      <c r="BN17" s="847"/>
      <c r="BO17" s="847"/>
      <c r="BP17" s="847"/>
      <c r="BQ17" s="847"/>
      <c r="BR17" s="847"/>
      <c r="BS17" s="847"/>
      <c r="BT17" s="847"/>
      <c r="BU17" s="847"/>
      <c r="BV17" s="847"/>
      <c r="BW17" s="847"/>
      <c r="BX17" s="847"/>
      <c r="BY17" s="847"/>
      <c r="BZ17" s="847"/>
      <c r="CA17" s="847"/>
      <c r="CB17" s="847"/>
      <c r="CC17" s="847"/>
      <c r="CD17" s="847"/>
      <c r="CE17" s="847"/>
      <c r="CF17" s="847"/>
      <c r="CG17" s="847"/>
      <c r="CH17" s="847"/>
      <c r="CI17" s="847"/>
      <c r="CJ17" s="847"/>
      <c r="CK17" s="847"/>
      <c r="CL17" s="847"/>
      <c r="CM17" s="847"/>
      <c r="CN17" s="847"/>
      <c r="CO17" s="847"/>
      <c r="CP17" s="847"/>
      <c r="CQ17" s="847"/>
      <c r="CR17" s="847"/>
      <c r="CS17" s="847"/>
      <c r="CT17" s="847"/>
      <c r="CU17" s="847"/>
      <c r="CV17" s="847"/>
      <c r="CW17" s="847"/>
      <c r="CX17" s="847"/>
      <c r="CY17" s="847"/>
      <c r="CZ17" s="847"/>
      <c r="DA17" s="847"/>
      <c r="DB17" s="847"/>
      <c r="DC17" s="847"/>
      <c r="DD17" s="847"/>
      <c r="DE17" s="847"/>
      <c r="DF17" s="847"/>
      <c r="DG17" s="847"/>
    </row>
    <row r="18" spans="1:111" s="27" customFormat="1" ht="12.75" customHeight="1">
      <c r="A18" s="129">
        <v>2</v>
      </c>
      <c r="B18" s="128" t="s">
        <v>58</v>
      </c>
      <c r="C18" s="134"/>
      <c r="D18" s="129"/>
      <c r="E18" s="131">
        <v>9</v>
      </c>
      <c r="F18" s="131">
        <v>0</v>
      </c>
      <c r="G18" s="131">
        <v>0</v>
      </c>
      <c r="H18" s="129"/>
      <c r="I18" s="131">
        <v>10</v>
      </c>
      <c r="J18" s="130">
        <v>10</v>
      </c>
      <c r="K18" s="130"/>
      <c r="L18" s="129"/>
      <c r="M18" s="129"/>
      <c r="N18" s="131">
        <v>8</v>
      </c>
      <c r="O18" s="129"/>
      <c r="P18" s="129"/>
      <c r="Q18" s="129">
        <v>9</v>
      </c>
      <c r="R18" s="129"/>
      <c r="S18" s="129"/>
      <c r="T18" s="129"/>
      <c r="U18" s="129"/>
      <c r="V18" s="129">
        <v>8</v>
      </c>
      <c r="W18" s="129">
        <v>10</v>
      </c>
      <c r="X18" s="129">
        <v>10</v>
      </c>
      <c r="Y18" s="129">
        <v>10</v>
      </c>
      <c r="Z18" s="133"/>
      <c r="AA18" s="129"/>
      <c r="AB18" s="129"/>
      <c r="AC18" s="129"/>
      <c r="AD18" s="129"/>
      <c r="AE18" s="129"/>
      <c r="AF18" s="129">
        <f>SUM(C18:AE18)</f>
        <v>84</v>
      </c>
      <c r="AG18" s="129">
        <v>84</v>
      </c>
      <c r="AH18" s="847"/>
      <c r="AI18" s="847"/>
      <c r="AJ18" s="847"/>
      <c r="AK18" s="847"/>
      <c r="AL18" s="847"/>
      <c r="AM18" s="847"/>
      <c r="AN18" s="847"/>
      <c r="AO18" s="847"/>
      <c r="AP18" s="847"/>
      <c r="AQ18" s="847"/>
      <c r="AR18" s="847"/>
      <c r="AS18" s="847"/>
      <c r="AT18" s="847"/>
      <c r="AU18" s="847"/>
      <c r="AV18" s="847"/>
      <c r="AW18" s="847"/>
      <c r="AX18" s="847"/>
      <c r="AY18" s="847"/>
      <c r="AZ18" s="847"/>
      <c r="BA18" s="847"/>
      <c r="BB18" s="847"/>
      <c r="BC18" s="847"/>
      <c r="BD18" s="847"/>
      <c r="BE18" s="847"/>
      <c r="BF18" s="847"/>
      <c r="BG18" s="847"/>
      <c r="BH18" s="847"/>
      <c r="BI18" s="847"/>
      <c r="BJ18" s="847"/>
      <c r="BK18" s="847"/>
      <c r="BL18" s="847"/>
      <c r="BM18" s="847"/>
      <c r="BN18" s="847"/>
      <c r="BO18" s="847"/>
      <c r="BP18" s="847"/>
      <c r="BQ18" s="847"/>
      <c r="BR18" s="847"/>
      <c r="BS18" s="847"/>
      <c r="BT18" s="847"/>
      <c r="BU18" s="847"/>
      <c r="BV18" s="847"/>
      <c r="BW18" s="847"/>
      <c r="BX18" s="847"/>
      <c r="BY18" s="847"/>
      <c r="BZ18" s="847"/>
      <c r="CA18" s="847"/>
      <c r="CB18" s="847"/>
      <c r="CC18" s="847"/>
      <c r="CD18" s="847"/>
      <c r="CE18" s="847"/>
      <c r="CF18" s="847"/>
      <c r="CG18" s="847"/>
      <c r="CH18" s="847"/>
      <c r="CI18" s="847"/>
      <c r="CJ18" s="847"/>
      <c r="CK18" s="847"/>
      <c r="CL18" s="847"/>
      <c r="CM18" s="847"/>
      <c r="CN18" s="847"/>
      <c r="CO18" s="847"/>
      <c r="CP18" s="847"/>
      <c r="CQ18" s="847"/>
      <c r="CR18" s="847"/>
      <c r="CS18" s="847"/>
      <c r="CT18" s="847"/>
      <c r="CU18" s="847"/>
      <c r="CV18" s="847"/>
      <c r="CW18" s="847"/>
      <c r="CX18" s="847"/>
      <c r="CY18" s="847"/>
      <c r="CZ18" s="847"/>
      <c r="DA18" s="847"/>
      <c r="DB18" s="847"/>
      <c r="DC18" s="847"/>
      <c r="DD18" s="847"/>
      <c r="DE18" s="847"/>
      <c r="DF18" s="847"/>
      <c r="DG18" s="847"/>
    </row>
    <row r="19" spans="1:111" hidden="1">
      <c r="A19" s="129">
        <v>6</v>
      </c>
      <c r="B19" s="128" t="s">
        <v>9</v>
      </c>
      <c r="C19" s="129">
        <v>120</v>
      </c>
      <c r="D19" s="129"/>
      <c r="E19" s="131">
        <v>7</v>
      </c>
      <c r="F19" s="131">
        <v>73</v>
      </c>
      <c r="G19" s="131">
        <v>63</v>
      </c>
      <c r="H19" s="129"/>
      <c r="I19" s="131">
        <v>3</v>
      </c>
      <c r="J19" s="130">
        <v>0</v>
      </c>
      <c r="K19" s="130"/>
      <c r="L19" s="135"/>
      <c r="M19" s="135"/>
      <c r="N19" s="131">
        <v>110</v>
      </c>
      <c r="O19" s="135"/>
      <c r="P19" s="135"/>
      <c r="Q19" s="135">
        <v>65.319999999999993</v>
      </c>
      <c r="R19" s="135"/>
      <c r="S19" s="135"/>
      <c r="T19" s="129"/>
      <c r="U19" s="129"/>
      <c r="V19" s="132">
        <v>80.56</v>
      </c>
      <c r="W19" s="133">
        <v>77.78</v>
      </c>
      <c r="X19" s="133">
        <v>77.78</v>
      </c>
      <c r="Y19" s="133">
        <v>100</v>
      </c>
      <c r="Z19" s="129"/>
      <c r="AA19" s="129"/>
      <c r="AB19" s="129"/>
      <c r="AC19" s="129"/>
      <c r="AD19" s="129"/>
      <c r="AE19" s="129"/>
      <c r="AF19" s="129"/>
      <c r="AG19" s="129"/>
      <c r="AH19" s="847"/>
      <c r="AI19" s="847"/>
      <c r="AJ19" s="847"/>
      <c r="AK19" s="847"/>
      <c r="AL19" s="847"/>
      <c r="AM19" s="847"/>
      <c r="AN19" s="847"/>
      <c r="AO19" s="847"/>
      <c r="AP19" s="847"/>
      <c r="AQ19" s="847"/>
      <c r="AR19" s="847"/>
      <c r="AS19" s="847"/>
      <c r="AT19" s="847"/>
      <c r="AU19" s="847"/>
      <c r="AV19" s="847"/>
      <c r="AW19" s="847"/>
      <c r="AX19" s="847"/>
      <c r="AY19" s="847"/>
      <c r="AZ19" s="847"/>
      <c r="BA19" s="847"/>
      <c r="BB19" s="847"/>
      <c r="BC19" s="847"/>
      <c r="BD19" s="847"/>
      <c r="BE19" s="847"/>
      <c r="BF19" s="847"/>
      <c r="BG19" s="847"/>
      <c r="BH19" s="847"/>
      <c r="BI19" s="847"/>
      <c r="BJ19" s="847"/>
      <c r="BK19" s="847"/>
      <c r="BL19" s="847"/>
      <c r="BM19" s="847"/>
      <c r="BN19" s="847"/>
      <c r="BO19" s="847"/>
      <c r="BP19" s="847"/>
      <c r="BQ19" s="847"/>
      <c r="BR19" s="847"/>
      <c r="BS19" s="847"/>
      <c r="BT19" s="847"/>
      <c r="BU19" s="847"/>
      <c r="BV19" s="847"/>
      <c r="BW19" s="847"/>
      <c r="BX19" s="847"/>
      <c r="BY19" s="847"/>
      <c r="BZ19" s="847"/>
      <c r="CA19" s="847"/>
      <c r="CB19" s="847"/>
      <c r="CC19" s="847"/>
      <c r="CD19" s="847"/>
      <c r="CE19" s="847"/>
      <c r="CF19" s="847"/>
      <c r="CG19" s="847"/>
      <c r="CH19" s="847"/>
      <c r="CI19" s="847"/>
      <c r="CJ19" s="847"/>
      <c r="CK19" s="847"/>
      <c r="CL19" s="847"/>
      <c r="CM19" s="847"/>
      <c r="CN19" s="847"/>
      <c r="CO19" s="847"/>
      <c r="CP19" s="847"/>
      <c r="CQ19" s="847"/>
      <c r="CR19" s="847"/>
      <c r="CS19" s="847"/>
      <c r="CT19" s="847"/>
      <c r="CU19" s="847"/>
      <c r="CV19" s="847"/>
      <c r="CW19" s="847"/>
      <c r="CX19" s="847"/>
      <c r="CY19" s="847"/>
      <c r="CZ19" s="847"/>
      <c r="DA19" s="847"/>
      <c r="DB19" s="847"/>
      <c r="DC19" s="847"/>
      <c r="DD19" s="847"/>
      <c r="DE19" s="847"/>
      <c r="DF19" s="847"/>
      <c r="DG19" s="847"/>
    </row>
    <row r="20" spans="1:111" s="27" customFormat="1" ht="12.75" customHeight="1">
      <c r="A20" s="129">
        <v>3</v>
      </c>
      <c r="B20" s="128" t="s">
        <v>9</v>
      </c>
      <c r="C20" s="134"/>
      <c r="D20" s="129"/>
      <c r="E20" s="131">
        <v>9</v>
      </c>
      <c r="F20" s="131">
        <v>0</v>
      </c>
      <c r="G20" s="131">
        <v>5</v>
      </c>
      <c r="H20" s="129"/>
      <c r="I20" s="131">
        <v>10</v>
      </c>
      <c r="J20" s="130">
        <v>10</v>
      </c>
      <c r="K20" s="130"/>
      <c r="L20" s="135"/>
      <c r="M20" s="135"/>
      <c r="N20" s="131">
        <v>3</v>
      </c>
      <c r="O20" s="135"/>
      <c r="P20" s="135"/>
      <c r="Q20" s="135"/>
      <c r="R20" s="135"/>
      <c r="S20" s="135"/>
      <c r="T20" s="129"/>
      <c r="U20" s="129"/>
      <c r="V20" s="129">
        <v>10</v>
      </c>
      <c r="W20" s="129">
        <v>10</v>
      </c>
      <c r="X20" s="129">
        <v>10</v>
      </c>
      <c r="Y20" s="129">
        <v>7</v>
      </c>
      <c r="Z20" s="129"/>
      <c r="AA20" s="129"/>
      <c r="AB20" s="129"/>
      <c r="AC20" s="129"/>
      <c r="AD20" s="129"/>
      <c r="AE20" s="129"/>
      <c r="AF20" s="129">
        <f>SUM(C20:AE20)</f>
        <v>74</v>
      </c>
      <c r="AG20" s="129">
        <f>AF20-0.9</f>
        <v>73.099999999999994</v>
      </c>
      <c r="AH20" s="847"/>
      <c r="AI20" s="847"/>
      <c r="AJ20" s="847"/>
      <c r="AK20" s="847"/>
      <c r="AL20" s="847"/>
      <c r="AM20" s="847"/>
      <c r="AN20" s="847"/>
      <c r="AO20" s="847"/>
      <c r="AP20" s="847"/>
      <c r="AQ20" s="847"/>
      <c r="AR20" s="847"/>
      <c r="AS20" s="847"/>
      <c r="AT20" s="847"/>
      <c r="AU20" s="847"/>
      <c r="AV20" s="847"/>
      <c r="AW20" s="847"/>
      <c r="AX20" s="847"/>
      <c r="AY20" s="847"/>
      <c r="AZ20" s="847"/>
      <c r="BA20" s="847"/>
      <c r="BB20" s="847"/>
      <c r="BC20" s="847"/>
      <c r="BD20" s="847"/>
      <c r="BE20" s="847"/>
      <c r="BF20" s="847"/>
      <c r="BG20" s="847"/>
      <c r="BH20" s="847"/>
      <c r="BI20" s="847"/>
      <c r="BJ20" s="847"/>
      <c r="BK20" s="847"/>
      <c r="BL20" s="847"/>
      <c r="BM20" s="847"/>
      <c r="BN20" s="847"/>
      <c r="BO20" s="847"/>
      <c r="BP20" s="847"/>
      <c r="BQ20" s="847"/>
      <c r="BR20" s="847"/>
      <c r="BS20" s="847"/>
      <c r="BT20" s="847"/>
      <c r="BU20" s="847"/>
      <c r="BV20" s="847"/>
      <c r="BW20" s="847"/>
      <c r="BX20" s="847"/>
      <c r="BY20" s="847"/>
      <c r="BZ20" s="847"/>
      <c r="CA20" s="847"/>
      <c r="CB20" s="847"/>
      <c r="CC20" s="847"/>
      <c r="CD20" s="847"/>
      <c r="CE20" s="847"/>
      <c r="CF20" s="847"/>
      <c r="CG20" s="847"/>
      <c r="CH20" s="847"/>
      <c r="CI20" s="847"/>
      <c r="CJ20" s="847"/>
      <c r="CK20" s="847"/>
      <c r="CL20" s="847"/>
      <c r="CM20" s="847"/>
      <c r="CN20" s="847"/>
      <c r="CO20" s="847"/>
      <c r="CP20" s="847"/>
      <c r="CQ20" s="847"/>
      <c r="CR20" s="847"/>
      <c r="CS20" s="847"/>
      <c r="CT20" s="847"/>
      <c r="CU20" s="847"/>
      <c r="CV20" s="847"/>
      <c r="CW20" s="847"/>
      <c r="CX20" s="847"/>
      <c r="CY20" s="847"/>
      <c r="CZ20" s="847"/>
      <c r="DA20" s="847"/>
      <c r="DB20" s="847"/>
      <c r="DC20" s="847"/>
      <c r="DD20" s="847"/>
      <c r="DE20" s="847"/>
      <c r="DF20" s="847"/>
      <c r="DG20" s="847"/>
    </row>
    <row r="21" spans="1:111" s="3" customFormat="1" hidden="1">
      <c r="A21" s="129">
        <v>7</v>
      </c>
      <c r="B21" s="128" t="s">
        <v>10</v>
      </c>
      <c r="C21" s="134">
        <v>20</v>
      </c>
      <c r="D21" s="135"/>
      <c r="E21" s="131">
        <v>0</v>
      </c>
      <c r="F21" s="131">
        <v>11</v>
      </c>
      <c r="G21" s="131">
        <v>8</v>
      </c>
      <c r="H21" s="135"/>
      <c r="I21" s="136">
        <v>0</v>
      </c>
      <c r="J21" s="137">
        <v>0</v>
      </c>
      <c r="K21" s="137"/>
      <c r="L21" s="129"/>
      <c r="M21" s="129"/>
      <c r="N21" s="131">
        <v>18</v>
      </c>
      <c r="O21" s="129"/>
      <c r="P21" s="129"/>
      <c r="Q21" s="135">
        <v>40.5</v>
      </c>
      <c r="R21" s="135"/>
      <c r="S21" s="135"/>
      <c r="T21" s="129"/>
      <c r="U21" s="129"/>
      <c r="V21" s="132">
        <v>95</v>
      </c>
      <c r="W21" s="133">
        <v>85</v>
      </c>
      <c r="X21" s="133">
        <v>85</v>
      </c>
      <c r="Y21" s="133">
        <v>100</v>
      </c>
      <c r="Z21" s="129"/>
      <c r="AA21" s="129"/>
      <c r="AB21" s="129"/>
      <c r="AC21" s="129"/>
      <c r="AD21" s="129"/>
      <c r="AE21" s="129"/>
      <c r="AF21" s="129"/>
      <c r="AG21" s="129"/>
      <c r="AH21" s="847"/>
      <c r="AI21" s="847"/>
      <c r="AJ21" s="847"/>
      <c r="AK21" s="847"/>
      <c r="AL21" s="847"/>
      <c r="AM21" s="847"/>
      <c r="AN21" s="847"/>
      <c r="AO21" s="847"/>
      <c r="AP21" s="847"/>
      <c r="AQ21" s="847"/>
      <c r="AR21" s="847"/>
      <c r="AS21" s="847"/>
      <c r="AT21" s="847"/>
      <c r="AU21" s="847"/>
      <c r="AV21" s="847"/>
      <c r="AW21" s="847"/>
      <c r="AX21" s="847"/>
      <c r="AY21" s="847"/>
      <c r="AZ21" s="847"/>
      <c r="BA21" s="847"/>
      <c r="BB21" s="847"/>
      <c r="BC21" s="847"/>
      <c r="BD21" s="847"/>
      <c r="BE21" s="847"/>
      <c r="BF21" s="847"/>
      <c r="BG21" s="847"/>
      <c r="BH21" s="847"/>
      <c r="BI21" s="847"/>
      <c r="BJ21" s="847"/>
      <c r="BK21" s="847"/>
      <c r="BL21" s="847"/>
      <c r="BM21" s="847"/>
      <c r="BN21" s="847"/>
      <c r="BO21" s="847"/>
      <c r="BP21" s="847"/>
      <c r="BQ21" s="847"/>
      <c r="BR21" s="847"/>
      <c r="BS21" s="847"/>
      <c r="BT21" s="847"/>
      <c r="BU21" s="847"/>
      <c r="BV21" s="847"/>
      <c r="BW21" s="847"/>
      <c r="BX21" s="847"/>
      <c r="BY21" s="847"/>
      <c r="BZ21" s="847"/>
      <c r="CA21" s="847"/>
      <c r="CB21" s="847"/>
      <c r="CC21" s="847"/>
      <c r="CD21" s="847"/>
      <c r="CE21" s="847"/>
      <c r="CF21" s="847"/>
      <c r="CG21" s="847"/>
      <c r="CH21" s="847"/>
      <c r="CI21" s="847"/>
      <c r="CJ21" s="847"/>
      <c r="CK21" s="847"/>
      <c r="CL21" s="847"/>
      <c r="CM21" s="847"/>
      <c r="CN21" s="847"/>
      <c r="CO21" s="847"/>
      <c r="CP21" s="847"/>
      <c r="CQ21" s="847"/>
      <c r="CR21" s="847"/>
      <c r="CS21" s="847"/>
      <c r="CT21" s="847"/>
      <c r="CU21" s="847"/>
      <c r="CV21" s="847"/>
      <c r="CW21" s="847"/>
      <c r="CX21" s="847"/>
      <c r="CY21" s="847"/>
      <c r="CZ21" s="847"/>
      <c r="DA21" s="847"/>
      <c r="DB21" s="847"/>
      <c r="DC21" s="847"/>
      <c r="DD21" s="847"/>
      <c r="DE21" s="847"/>
      <c r="DF21" s="847"/>
      <c r="DG21" s="847"/>
    </row>
    <row r="22" spans="1:111" s="76" customFormat="1" ht="12.75" customHeight="1">
      <c r="A22" s="129">
        <v>4</v>
      </c>
      <c r="B22" s="128" t="s">
        <v>15</v>
      </c>
      <c r="C22" s="134"/>
      <c r="D22" s="129"/>
      <c r="E22" s="131">
        <v>10</v>
      </c>
      <c r="F22" s="131">
        <v>4</v>
      </c>
      <c r="G22" s="131">
        <v>0</v>
      </c>
      <c r="H22" s="129"/>
      <c r="I22" s="131">
        <v>9</v>
      </c>
      <c r="J22" s="130">
        <v>10</v>
      </c>
      <c r="K22" s="130"/>
      <c r="L22" s="129"/>
      <c r="M22" s="129"/>
      <c r="N22" s="131">
        <v>0</v>
      </c>
      <c r="O22" s="129"/>
      <c r="P22" s="129"/>
      <c r="Q22" s="129"/>
      <c r="R22" s="129"/>
      <c r="S22" s="129"/>
      <c r="T22" s="129"/>
      <c r="U22" s="129"/>
      <c r="V22" s="129">
        <v>10</v>
      </c>
      <c r="W22" s="129">
        <v>7</v>
      </c>
      <c r="X22" s="129">
        <v>7</v>
      </c>
      <c r="Y22" s="129">
        <v>10</v>
      </c>
      <c r="Z22" s="129"/>
      <c r="AA22" s="129"/>
      <c r="AB22" s="129"/>
      <c r="AC22" s="129"/>
      <c r="AD22" s="129"/>
      <c r="AE22" s="129"/>
      <c r="AF22" s="129">
        <f>SUM(C22:AE22)</f>
        <v>67</v>
      </c>
      <c r="AG22" s="129">
        <v>67</v>
      </c>
      <c r="AH22" s="847"/>
      <c r="AI22" s="847"/>
      <c r="AJ22" s="847"/>
      <c r="AK22" s="847"/>
      <c r="AL22" s="847"/>
      <c r="AM22" s="847"/>
      <c r="AN22" s="847"/>
      <c r="AO22" s="847"/>
      <c r="AP22" s="847"/>
      <c r="AQ22" s="847"/>
      <c r="AR22" s="847"/>
      <c r="AS22" s="847"/>
      <c r="AT22" s="847"/>
      <c r="AU22" s="847"/>
      <c r="AV22" s="847"/>
      <c r="AW22" s="847"/>
      <c r="AX22" s="847"/>
      <c r="AY22" s="847"/>
      <c r="AZ22" s="847"/>
      <c r="BA22" s="847"/>
      <c r="BB22" s="847"/>
      <c r="BC22" s="847"/>
      <c r="BD22" s="847"/>
      <c r="BE22" s="847"/>
      <c r="BF22" s="847"/>
      <c r="BG22" s="847"/>
      <c r="BH22" s="847"/>
      <c r="BI22" s="847"/>
      <c r="BJ22" s="847"/>
      <c r="BK22" s="847"/>
      <c r="BL22" s="847"/>
      <c r="BM22" s="847"/>
      <c r="BN22" s="847"/>
      <c r="BO22" s="847"/>
      <c r="BP22" s="847"/>
      <c r="BQ22" s="847"/>
      <c r="BR22" s="847"/>
      <c r="BS22" s="847"/>
      <c r="BT22" s="847"/>
      <c r="BU22" s="847"/>
      <c r="BV22" s="847"/>
      <c r="BW22" s="847"/>
      <c r="BX22" s="847"/>
      <c r="BY22" s="847"/>
      <c r="BZ22" s="847"/>
      <c r="CA22" s="847"/>
      <c r="CB22" s="847"/>
      <c r="CC22" s="847"/>
      <c r="CD22" s="847"/>
      <c r="CE22" s="847"/>
      <c r="CF22" s="847"/>
      <c r="CG22" s="847"/>
      <c r="CH22" s="847"/>
      <c r="CI22" s="847"/>
      <c r="CJ22" s="847"/>
      <c r="CK22" s="847"/>
      <c r="CL22" s="847"/>
      <c r="CM22" s="847"/>
      <c r="CN22" s="847"/>
      <c r="CO22" s="847"/>
      <c r="CP22" s="847"/>
      <c r="CQ22" s="847"/>
      <c r="CR22" s="847"/>
      <c r="CS22" s="847"/>
      <c r="CT22" s="847"/>
      <c r="CU22" s="847"/>
      <c r="CV22" s="847"/>
      <c r="CW22" s="847"/>
      <c r="CX22" s="847"/>
      <c r="CY22" s="847"/>
      <c r="CZ22" s="847"/>
      <c r="DA22" s="847"/>
      <c r="DB22" s="847"/>
      <c r="DC22" s="847"/>
      <c r="DD22" s="847"/>
      <c r="DE22" s="847"/>
      <c r="DF22" s="847"/>
      <c r="DG22" s="847"/>
    </row>
    <row r="23" spans="1:111" hidden="1">
      <c r="A23" s="129">
        <v>8</v>
      </c>
      <c r="B23" s="128" t="s">
        <v>58</v>
      </c>
      <c r="C23" s="134">
        <v>158</v>
      </c>
      <c r="D23" s="129"/>
      <c r="E23" s="131">
        <v>1</v>
      </c>
      <c r="F23" s="131">
        <v>39</v>
      </c>
      <c r="G23" s="131">
        <v>80</v>
      </c>
      <c r="H23" s="139"/>
      <c r="I23" s="131">
        <v>12</v>
      </c>
      <c r="J23" s="130">
        <v>0</v>
      </c>
      <c r="K23" s="130"/>
      <c r="L23" s="129"/>
      <c r="M23" s="129"/>
      <c r="N23" s="131">
        <v>80</v>
      </c>
      <c r="O23" s="129"/>
      <c r="P23" s="129"/>
      <c r="Q23" s="129">
        <v>0.69</v>
      </c>
      <c r="R23" s="129"/>
      <c r="S23" s="129"/>
      <c r="T23" s="129"/>
      <c r="U23" s="129"/>
      <c r="V23" s="133"/>
      <c r="W23" s="133"/>
      <c r="X23" s="133"/>
      <c r="Y23" s="133"/>
      <c r="Z23" s="129"/>
      <c r="AA23" s="129"/>
      <c r="AB23" s="129"/>
      <c r="AC23" s="129"/>
      <c r="AD23" s="129"/>
      <c r="AE23" s="129"/>
      <c r="AF23" s="129"/>
      <c r="AG23" s="129"/>
      <c r="AH23" s="847"/>
      <c r="AI23" s="847"/>
      <c r="AJ23" s="847"/>
      <c r="AK23" s="847"/>
      <c r="AL23" s="847"/>
      <c r="AM23" s="847"/>
      <c r="AN23" s="847"/>
      <c r="AO23" s="847"/>
      <c r="AP23" s="847"/>
      <c r="AQ23" s="847"/>
      <c r="AR23" s="847"/>
      <c r="AS23" s="847"/>
      <c r="AT23" s="847"/>
      <c r="AU23" s="847"/>
      <c r="AV23" s="847"/>
      <c r="AW23" s="847"/>
      <c r="AX23" s="847"/>
      <c r="AY23" s="847"/>
      <c r="AZ23" s="847"/>
      <c r="BA23" s="847"/>
      <c r="BB23" s="847"/>
      <c r="BC23" s="847"/>
      <c r="BD23" s="847"/>
      <c r="BE23" s="847"/>
      <c r="BF23" s="847"/>
      <c r="BG23" s="847"/>
      <c r="BH23" s="847"/>
      <c r="BI23" s="847"/>
      <c r="BJ23" s="847"/>
      <c r="BK23" s="847"/>
      <c r="BL23" s="847"/>
      <c r="BM23" s="847"/>
      <c r="BN23" s="847"/>
      <c r="BO23" s="847"/>
      <c r="BP23" s="847"/>
      <c r="BQ23" s="847"/>
      <c r="BR23" s="847"/>
      <c r="BS23" s="847"/>
      <c r="BT23" s="847"/>
      <c r="BU23" s="847"/>
      <c r="BV23" s="847"/>
      <c r="BW23" s="847"/>
      <c r="BX23" s="847"/>
      <c r="BY23" s="847"/>
      <c r="BZ23" s="847"/>
      <c r="CA23" s="847"/>
      <c r="CB23" s="847"/>
      <c r="CC23" s="847"/>
      <c r="CD23" s="847"/>
      <c r="CE23" s="847"/>
      <c r="CF23" s="847"/>
      <c r="CG23" s="847"/>
      <c r="CH23" s="847"/>
      <c r="CI23" s="847"/>
      <c r="CJ23" s="847"/>
      <c r="CK23" s="847"/>
      <c r="CL23" s="847"/>
      <c r="CM23" s="847"/>
      <c r="CN23" s="847"/>
      <c r="CO23" s="847"/>
      <c r="CP23" s="847"/>
      <c r="CQ23" s="847"/>
      <c r="CR23" s="847"/>
      <c r="CS23" s="847"/>
      <c r="CT23" s="847"/>
      <c r="CU23" s="847"/>
      <c r="CV23" s="847"/>
      <c r="CW23" s="847"/>
      <c r="CX23" s="847"/>
      <c r="CY23" s="847"/>
      <c r="CZ23" s="847"/>
      <c r="DA23" s="847"/>
      <c r="DB23" s="847"/>
      <c r="DC23" s="847"/>
      <c r="DD23" s="847"/>
      <c r="DE23" s="847"/>
      <c r="DF23" s="847"/>
      <c r="DG23" s="847"/>
    </row>
    <row r="24" spans="1:111" s="27" customFormat="1" ht="12.75" customHeight="1">
      <c r="A24" s="129">
        <v>5</v>
      </c>
      <c r="B24" s="128" t="s">
        <v>14</v>
      </c>
      <c r="C24" s="129"/>
      <c r="D24" s="129"/>
      <c r="E24" s="131">
        <v>6</v>
      </c>
      <c r="F24" s="131">
        <v>0</v>
      </c>
      <c r="G24" s="131">
        <v>0</v>
      </c>
      <c r="H24" s="129"/>
      <c r="I24" s="131">
        <v>8</v>
      </c>
      <c r="J24" s="130">
        <v>10</v>
      </c>
      <c r="K24" s="130"/>
      <c r="L24" s="135"/>
      <c r="M24" s="135"/>
      <c r="N24" s="131"/>
      <c r="O24" s="135"/>
      <c r="P24" s="135"/>
      <c r="Q24" s="135">
        <v>7</v>
      </c>
      <c r="R24" s="135"/>
      <c r="S24" s="135"/>
      <c r="T24" s="129"/>
      <c r="U24" s="129"/>
      <c r="V24" s="138">
        <v>9</v>
      </c>
      <c r="W24" s="129">
        <v>8</v>
      </c>
      <c r="X24" s="129">
        <v>8</v>
      </c>
      <c r="Y24" s="129">
        <v>10</v>
      </c>
      <c r="Z24" s="129"/>
      <c r="AA24" s="129"/>
      <c r="AB24" s="129"/>
      <c r="AC24" s="129"/>
      <c r="AD24" s="129"/>
      <c r="AE24" s="129"/>
      <c r="AF24" s="129">
        <f>SUM(C24:AE24)</f>
        <v>66</v>
      </c>
      <c r="AG24" s="129">
        <f>AF24-0.6</f>
        <v>65.400000000000006</v>
      </c>
      <c r="AH24" s="847"/>
      <c r="AI24" s="847"/>
      <c r="AJ24" s="847"/>
      <c r="AK24" s="847"/>
      <c r="AL24" s="847"/>
      <c r="AM24" s="847"/>
      <c r="AN24" s="847"/>
      <c r="AO24" s="847"/>
      <c r="AP24" s="847"/>
      <c r="AQ24" s="847"/>
      <c r="AR24" s="847"/>
      <c r="AS24" s="847"/>
      <c r="AT24" s="847"/>
      <c r="AU24" s="847"/>
      <c r="AV24" s="847"/>
      <c r="AW24" s="847"/>
      <c r="AX24" s="847"/>
      <c r="AY24" s="847"/>
      <c r="AZ24" s="847"/>
      <c r="BA24" s="847"/>
      <c r="BB24" s="847"/>
      <c r="BC24" s="847"/>
      <c r="BD24" s="847"/>
      <c r="BE24" s="847"/>
      <c r="BF24" s="847"/>
      <c r="BG24" s="847"/>
      <c r="BH24" s="847"/>
      <c r="BI24" s="847"/>
      <c r="BJ24" s="847"/>
      <c r="BK24" s="847"/>
      <c r="BL24" s="847"/>
      <c r="BM24" s="847"/>
      <c r="BN24" s="847"/>
      <c r="BO24" s="847"/>
      <c r="BP24" s="847"/>
      <c r="BQ24" s="847"/>
      <c r="BR24" s="847"/>
      <c r="BS24" s="847"/>
      <c r="BT24" s="847"/>
      <c r="BU24" s="847"/>
      <c r="BV24" s="847"/>
      <c r="BW24" s="847"/>
      <c r="BX24" s="847"/>
      <c r="BY24" s="847"/>
      <c r="BZ24" s="847"/>
      <c r="CA24" s="847"/>
      <c r="CB24" s="847"/>
      <c r="CC24" s="847"/>
      <c r="CD24" s="847"/>
      <c r="CE24" s="847"/>
      <c r="CF24" s="847"/>
      <c r="CG24" s="847"/>
      <c r="CH24" s="847"/>
      <c r="CI24" s="847"/>
      <c r="CJ24" s="847"/>
      <c r="CK24" s="847"/>
      <c r="CL24" s="847"/>
      <c r="CM24" s="847"/>
      <c r="CN24" s="847"/>
      <c r="CO24" s="847"/>
      <c r="CP24" s="847"/>
      <c r="CQ24" s="847"/>
      <c r="CR24" s="847"/>
      <c r="CS24" s="847"/>
      <c r="CT24" s="847"/>
      <c r="CU24" s="847"/>
      <c r="CV24" s="847"/>
      <c r="CW24" s="847"/>
      <c r="CX24" s="847"/>
      <c r="CY24" s="847"/>
      <c r="CZ24" s="847"/>
      <c r="DA24" s="847"/>
      <c r="DB24" s="847"/>
      <c r="DC24" s="847"/>
      <c r="DD24" s="847"/>
      <c r="DE24" s="847"/>
      <c r="DF24" s="847"/>
      <c r="DG24" s="847"/>
    </row>
    <row r="25" spans="1:111" hidden="1">
      <c r="A25" s="129">
        <v>9</v>
      </c>
      <c r="B25" s="128" t="s">
        <v>14</v>
      </c>
      <c r="C25" s="134">
        <v>34</v>
      </c>
      <c r="D25" s="129"/>
      <c r="E25" s="131">
        <v>2</v>
      </c>
      <c r="F25" s="131">
        <v>25</v>
      </c>
      <c r="G25" s="131">
        <v>9</v>
      </c>
      <c r="H25" s="129"/>
      <c r="I25" s="131">
        <v>0</v>
      </c>
      <c r="J25" s="130">
        <v>0</v>
      </c>
      <c r="K25" s="130"/>
      <c r="L25" s="135"/>
      <c r="M25" s="135"/>
      <c r="N25" s="131">
        <v>27</v>
      </c>
      <c r="O25" s="135"/>
      <c r="P25" s="135"/>
      <c r="Q25" s="135">
        <v>0</v>
      </c>
      <c r="R25" s="135"/>
      <c r="S25" s="135"/>
      <c r="T25" s="129"/>
      <c r="U25" s="129"/>
      <c r="V25" s="133">
        <v>96.67</v>
      </c>
      <c r="W25" s="133">
        <v>93.33</v>
      </c>
      <c r="X25" s="133">
        <v>93.33</v>
      </c>
      <c r="Y25" s="133">
        <v>66.900000000000006</v>
      </c>
      <c r="Z25" s="129"/>
      <c r="AA25" s="129"/>
      <c r="AB25" s="129"/>
      <c r="AC25" s="129"/>
      <c r="AD25" s="129"/>
      <c r="AE25" s="129"/>
      <c r="AF25" s="129"/>
      <c r="AG25" s="129"/>
      <c r="AH25" s="847"/>
      <c r="AI25" s="847"/>
      <c r="AJ25" s="847"/>
      <c r="AK25" s="847"/>
      <c r="AL25" s="847"/>
      <c r="AM25" s="847"/>
      <c r="AN25" s="847"/>
      <c r="AO25" s="847"/>
      <c r="AP25" s="847"/>
      <c r="AQ25" s="847"/>
      <c r="AR25" s="847"/>
      <c r="AS25" s="847"/>
      <c r="AT25" s="847"/>
      <c r="AU25" s="847"/>
      <c r="AV25" s="847"/>
      <c r="AW25" s="847"/>
      <c r="AX25" s="847"/>
      <c r="AY25" s="847"/>
      <c r="AZ25" s="847"/>
      <c r="BA25" s="847"/>
      <c r="BB25" s="847"/>
      <c r="BC25" s="847"/>
      <c r="BD25" s="847"/>
      <c r="BE25" s="847"/>
      <c r="BF25" s="847"/>
      <c r="BG25" s="847"/>
      <c r="BH25" s="847"/>
      <c r="BI25" s="847"/>
      <c r="BJ25" s="847"/>
      <c r="BK25" s="847"/>
      <c r="BL25" s="847"/>
      <c r="BM25" s="847"/>
      <c r="BN25" s="847"/>
      <c r="BO25" s="847"/>
      <c r="BP25" s="847"/>
      <c r="BQ25" s="847"/>
      <c r="BR25" s="847"/>
      <c r="BS25" s="847"/>
      <c r="BT25" s="847"/>
      <c r="BU25" s="847"/>
      <c r="BV25" s="847"/>
      <c r="BW25" s="847"/>
      <c r="BX25" s="847"/>
      <c r="BY25" s="847"/>
      <c r="BZ25" s="847"/>
      <c r="CA25" s="847"/>
      <c r="CB25" s="847"/>
      <c r="CC25" s="847"/>
      <c r="CD25" s="847"/>
      <c r="CE25" s="847"/>
      <c r="CF25" s="847"/>
      <c r="CG25" s="847"/>
      <c r="CH25" s="847"/>
      <c r="CI25" s="847"/>
      <c r="CJ25" s="847"/>
      <c r="CK25" s="847"/>
      <c r="CL25" s="847"/>
      <c r="CM25" s="847"/>
      <c r="CN25" s="847"/>
      <c r="CO25" s="847"/>
      <c r="CP25" s="847"/>
      <c r="CQ25" s="847"/>
      <c r="CR25" s="847"/>
      <c r="CS25" s="847"/>
      <c r="CT25" s="847"/>
      <c r="CU25" s="847"/>
      <c r="CV25" s="847"/>
      <c r="CW25" s="847"/>
      <c r="CX25" s="847"/>
      <c r="CY25" s="847"/>
      <c r="CZ25" s="847"/>
      <c r="DA25" s="847"/>
      <c r="DB25" s="847"/>
      <c r="DC25" s="847"/>
      <c r="DD25" s="847"/>
      <c r="DE25" s="847"/>
      <c r="DF25" s="847"/>
      <c r="DG25" s="847"/>
    </row>
    <row r="26" spans="1:111" s="27" customFormat="1" ht="12.75" customHeight="1">
      <c r="A26" s="129">
        <v>6</v>
      </c>
      <c r="B26" s="128" t="s">
        <v>11</v>
      </c>
      <c r="C26" s="134"/>
      <c r="D26" s="135"/>
      <c r="E26" s="131">
        <v>9</v>
      </c>
      <c r="F26" s="131">
        <v>7</v>
      </c>
      <c r="G26" s="131">
        <v>3</v>
      </c>
      <c r="H26" s="135"/>
      <c r="I26" s="131">
        <v>9</v>
      </c>
      <c r="J26" s="130">
        <v>10</v>
      </c>
      <c r="K26" s="130"/>
      <c r="L26" s="131">
        <v>6</v>
      </c>
      <c r="M26" s="135"/>
      <c r="N26" s="131">
        <v>3</v>
      </c>
      <c r="O26" s="135"/>
      <c r="P26" s="135"/>
      <c r="Q26" s="135">
        <v>4</v>
      </c>
      <c r="R26" s="135"/>
      <c r="S26" s="135"/>
      <c r="T26" s="135"/>
      <c r="U26" s="135"/>
      <c r="V26" s="131">
        <v>4</v>
      </c>
      <c r="W26" s="131">
        <v>0</v>
      </c>
      <c r="X26" s="131">
        <v>0</v>
      </c>
      <c r="Y26" s="131">
        <v>8</v>
      </c>
      <c r="Z26" s="129"/>
      <c r="AA26" s="135"/>
      <c r="AB26" s="135"/>
      <c r="AC26" s="129"/>
      <c r="AD26" s="135"/>
      <c r="AE26" s="135"/>
      <c r="AF26" s="129">
        <f>SUM(C26:AE26)</f>
        <v>63</v>
      </c>
      <c r="AG26" s="129">
        <f>AF26-0.9</f>
        <v>62.1</v>
      </c>
      <c r="AH26" s="847"/>
      <c r="AI26" s="847"/>
      <c r="AJ26" s="847"/>
      <c r="AK26" s="847"/>
      <c r="AL26" s="847"/>
      <c r="AM26" s="847"/>
      <c r="AN26" s="847"/>
      <c r="AO26" s="847"/>
      <c r="AP26" s="847"/>
      <c r="AQ26" s="847"/>
      <c r="AR26" s="847"/>
      <c r="AS26" s="847"/>
      <c r="AT26" s="847"/>
      <c r="AU26" s="847"/>
      <c r="AV26" s="847"/>
      <c r="AW26" s="847"/>
      <c r="AX26" s="847"/>
      <c r="AY26" s="847"/>
      <c r="AZ26" s="847"/>
      <c r="BA26" s="847"/>
      <c r="BB26" s="847"/>
      <c r="BC26" s="847"/>
      <c r="BD26" s="847"/>
      <c r="BE26" s="847"/>
      <c r="BF26" s="847"/>
      <c r="BG26" s="847"/>
      <c r="BH26" s="847"/>
      <c r="BI26" s="847"/>
      <c r="BJ26" s="847"/>
      <c r="BK26" s="847"/>
      <c r="BL26" s="847"/>
      <c r="BM26" s="847"/>
      <c r="BN26" s="847"/>
      <c r="BO26" s="847"/>
      <c r="BP26" s="847"/>
      <c r="BQ26" s="847"/>
      <c r="BR26" s="847"/>
      <c r="BS26" s="847"/>
      <c r="BT26" s="847"/>
      <c r="BU26" s="847"/>
      <c r="BV26" s="847"/>
      <c r="BW26" s="847"/>
      <c r="BX26" s="847"/>
      <c r="BY26" s="847"/>
      <c r="BZ26" s="847"/>
      <c r="CA26" s="847"/>
      <c r="CB26" s="847"/>
      <c r="CC26" s="847"/>
      <c r="CD26" s="847"/>
      <c r="CE26" s="847"/>
      <c r="CF26" s="847"/>
      <c r="CG26" s="847"/>
      <c r="CH26" s="847"/>
      <c r="CI26" s="847"/>
      <c r="CJ26" s="847"/>
      <c r="CK26" s="847"/>
      <c r="CL26" s="847"/>
      <c r="CM26" s="847"/>
      <c r="CN26" s="847"/>
      <c r="CO26" s="847"/>
      <c r="CP26" s="847"/>
      <c r="CQ26" s="847"/>
      <c r="CR26" s="847"/>
      <c r="CS26" s="847"/>
      <c r="CT26" s="847"/>
      <c r="CU26" s="847"/>
      <c r="CV26" s="847"/>
      <c r="CW26" s="847"/>
      <c r="CX26" s="847"/>
      <c r="CY26" s="847"/>
      <c r="CZ26" s="847"/>
      <c r="DA26" s="847"/>
      <c r="DB26" s="847"/>
      <c r="DC26" s="847"/>
      <c r="DD26" s="847"/>
      <c r="DE26" s="847"/>
      <c r="DF26" s="847"/>
      <c r="DG26" s="847"/>
    </row>
    <row r="27" spans="1:111" s="3" customFormat="1" hidden="1">
      <c r="A27" s="129">
        <v>10</v>
      </c>
      <c r="B27" s="128" t="s">
        <v>13</v>
      </c>
      <c r="C27" s="134">
        <v>8</v>
      </c>
      <c r="D27" s="129"/>
      <c r="E27" s="131">
        <v>0</v>
      </c>
      <c r="F27" s="131">
        <v>0</v>
      </c>
      <c r="G27" s="131">
        <v>7</v>
      </c>
      <c r="H27" s="129"/>
      <c r="I27" s="131">
        <v>0</v>
      </c>
      <c r="J27" s="130">
        <v>0</v>
      </c>
      <c r="K27" s="130"/>
      <c r="L27" s="135"/>
      <c r="M27" s="135"/>
      <c r="N27" s="131">
        <v>7</v>
      </c>
      <c r="O27" s="135"/>
      <c r="P27" s="135"/>
      <c r="Q27" s="129">
        <v>73.319999999999993</v>
      </c>
      <c r="R27" s="135"/>
      <c r="S27" s="135"/>
      <c r="T27" s="129"/>
      <c r="U27" s="129"/>
      <c r="V27" s="133">
        <v>100</v>
      </c>
      <c r="W27" s="133">
        <v>100</v>
      </c>
      <c r="X27" s="133">
        <v>100</v>
      </c>
      <c r="Y27" s="133">
        <v>100</v>
      </c>
      <c r="Z27" s="129"/>
      <c r="AA27" s="129"/>
      <c r="AB27" s="129"/>
      <c r="AC27" s="129"/>
      <c r="AD27" s="129"/>
      <c r="AE27" s="129"/>
      <c r="AF27" s="129"/>
      <c r="AG27" s="129"/>
      <c r="AH27" s="847"/>
      <c r="AI27" s="847"/>
      <c r="AJ27" s="847"/>
      <c r="AK27" s="847"/>
      <c r="AL27" s="847"/>
      <c r="AM27" s="847"/>
      <c r="AN27" s="847"/>
      <c r="AO27" s="847"/>
      <c r="AP27" s="847"/>
      <c r="AQ27" s="847"/>
      <c r="AR27" s="847"/>
      <c r="AS27" s="847"/>
      <c r="AT27" s="847"/>
      <c r="AU27" s="847"/>
      <c r="AV27" s="847"/>
      <c r="AW27" s="847"/>
      <c r="AX27" s="847"/>
      <c r="AY27" s="847"/>
      <c r="AZ27" s="847"/>
      <c r="BA27" s="847"/>
      <c r="BB27" s="847"/>
      <c r="BC27" s="847"/>
      <c r="BD27" s="847"/>
      <c r="BE27" s="847"/>
      <c r="BF27" s="847"/>
      <c r="BG27" s="847"/>
      <c r="BH27" s="847"/>
      <c r="BI27" s="847"/>
      <c r="BJ27" s="847"/>
      <c r="BK27" s="847"/>
      <c r="BL27" s="847"/>
      <c r="BM27" s="847"/>
      <c r="BN27" s="847"/>
      <c r="BO27" s="847"/>
      <c r="BP27" s="847"/>
      <c r="BQ27" s="847"/>
      <c r="BR27" s="847"/>
      <c r="BS27" s="847"/>
      <c r="BT27" s="847"/>
      <c r="BU27" s="847"/>
      <c r="BV27" s="847"/>
      <c r="BW27" s="847"/>
      <c r="BX27" s="847"/>
      <c r="BY27" s="847"/>
      <c r="BZ27" s="847"/>
      <c r="CA27" s="847"/>
      <c r="CB27" s="847"/>
      <c r="CC27" s="847"/>
      <c r="CD27" s="847"/>
      <c r="CE27" s="847"/>
      <c r="CF27" s="847"/>
      <c r="CG27" s="847"/>
      <c r="CH27" s="847"/>
      <c r="CI27" s="847"/>
      <c r="CJ27" s="847"/>
      <c r="CK27" s="847"/>
      <c r="CL27" s="847"/>
      <c r="CM27" s="847"/>
      <c r="CN27" s="847"/>
      <c r="CO27" s="847"/>
      <c r="CP27" s="847"/>
      <c r="CQ27" s="847"/>
      <c r="CR27" s="847"/>
      <c r="CS27" s="847"/>
      <c r="CT27" s="847"/>
      <c r="CU27" s="847"/>
      <c r="CV27" s="847"/>
      <c r="CW27" s="847"/>
      <c r="CX27" s="847"/>
      <c r="CY27" s="847"/>
      <c r="CZ27" s="847"/>
      <c r="DA27" s="847"/>
      <c r="DB27" s="847"/>
      <c r="DC27" s="847"/>
      <c r="DD27" s="847"/>
      <c r="DE27" s="847"/>
      <c r="DF27" s="847"/>
      <c r="DG27" s="847"/>
    </row>
    <row r="28" spans="1:111" s="31" customFormat="1" ht="12.6" hidden="1" customHeight="1">
      <c r="A28" s="129">
        <v>10</v>
      </c>
      <c r="B28" s="128" t="s">
        <v>60</v>
      </c>
      <c r="C28" s="134"/>
      <c r="D28" s="129"/>
      <c r="E28" s="131">
        <v>9</v>
      </c>
      <c r="F28" s="131">
        <v>7</v>
      </c>
      <c r="G28" s="131">
        <v>7</v>
      </c>
      <c r="H28" s="129"/>
      <c r="I28" s="131">
        <v>10</v>
      </c>
      <c r="J28" s="130">
        <v>10</v>
      </c>
      <c r="K28" s="130"/>
      <c r="L28" s="129"/>
      <c r="M28" s="129"/>
      <c r="N28" s="131">
        <v>1</v>
      </c>
      <c r="O28" s="129"/>
      <c r="P28" s="129"/>
      <c r="Q28" s="129">
        <v>0</v>
      </c>
      <c r="R28" s="129"/>
      <c r="S28" s="129"/>
      <c r="T28" s="129"/>
      <c r="U28" s="129"/>
      <c r="V28" s="129">
        <v>5</v>
      </c>
      <c r="W28" s="129">
        <v>2</v>
      </c>
      <c r="X28" s="129">
        <v>2</v>
      </c>
      <c r="Y28" s="129">
        <v>2</v>
      </c>
      <c r="Z28" s="129"/>
      <c r="AA28" s="129"/>
      <c r="AB28" s="129"/>
      <c r="AC28" s="129"/>
      <c r="AD28" s="129"/>
      <c r="AE28" s="129"/>
      <c r="AF28" s="129">
        <f>SUM(C28:AE28)</f>
        <v>55</v>
      </c>
      <c r="AG28" s="129">
        <f>AF28-0.9</f>
        <v>54.1</v>
      </c>
      <c r="AH28" s="847"/>
      <c r="AI28" s="847"/>
      <c r="AJ28" s="847"/>
      <c r="AK28" s="847"/>
      <c r="AL28" s="847"/>
      <c r="AM28" s="847"/>
      <c r="AN28" s="847"/>
      <c r="AO28" s="847"/>
      <c r="AP28" s="847"/>
      <c r="AQ28" s="847"/>
      <c r="AR28" s="847"/>
      <c r="AS28" s="847"/>
      <c r="AT28" s="847"/>
      <c r="AU28" s="847"/>
      <c r="AV28" s="847"/>
      <c r="AW28" s="847"/>
      <c r="AX28" s="847"/>
      <c r="AY28" s="847"/>
      <c r="AZ28" s="847"/>
      <c r="BA28" s="847"/>
      <c r="BB28" s="847"/>
      <c r="BC28" s="847"/>
      <c r="BD28" s="847"/>
      <c r="BE28" s="847"/>
      <c r="BF28" s="847"/>
      <c r="BG28" s="847"/>
      <c r="BH28" s="847"/>
      <c r="BI28" s="847"/>
      <c r="BJ28" s="847"/>
      <c r="BK28" s="847"/>
      <c r="BL28" s="847"/>
      <c r="BM28" s="847"/>
      <c r="BN28" s="847"/>
      <c r="BO28" s="847"/>
      <c r="BP28" s="847"/>
      <c r="BQ28" s="847"/>
      <c r="BR28" s="847"/>
      <c r="BS28" s="847"/>
      <c r="BT28" s="847"/>
      <c r="BU28" s="847"/>
      <c r="BV28" s="847"/>
      <c r="BW28" s="847"/>
      <c r="BX28" s="847"/>
      <c r="BY28" s="847"/>
      <c r="BZ28" s="847"/>
      <c r="CA28" s="847"/>
      <c r="CB28" s="847"/>
      <c r="CC28" s="847"/>
      <c r="CD28" s="847"/>
      <c r="CE28" s="847"/>
      <c r="CF28" s="847"/>
      <c r="CG28" s="847"/>
      <c r="CH28" s="847"/>
      <c r="CI28" s="847"/>
      <c r="CJ28" s="847"/>
      <c r="CK28" s="847"/>
      <c r="CL28" s="847"/>
      <c r="CM28" s="847"/>
      <c r="CN28" s="847"/>
      <c r="CO28" s="847"/>
      <c r="CP28" s="847"/>
      <c r="CQ28" s="847"/>
      <c r="CR28" s="847"/>
      <c r="CS28" s="847"/>
      <c r="CT28" s="847"/>
      <c r="CU28" s="847"/>
      <c r="CV28" s="847"/>
      <c r="CW28" s="847"/>
      <c r="CX28" s="847"/>
      <c r="CY28" s="847"/>
      <c r="CZ28" s="847"/>
      <c r="DA28" s="847"/>
      <c r="DB28" s="847"/>
      <c r="DC28" s="847"/>
      <c r="DD28" s="847"/>
      <c r="DE28" s="847"/>
      <c r="DF28" s="847"/>
      <c r="DG28" s="847"/>
    </row>
    <row r="29" spans="1:111" s="4" customFormat="1" hidden="1">
      <c r="A29" s="129">
        <v>11</v>
      </c>
      <c r="B29" s="128" t="s">
        <v>11</v>
      </c>
      <c r="C29" s="134">
        <v>18</v>
      </c>
      <c r="D29" s="129"/>
      <c r="E29" s="131">
        <v>0</v>
      </c>
      <c r="F29" s="131">
        <v>11</v>
      </c>
      <c r="G29" s="131">
        <v>34</v>
      </c>
      <c r="H29" s="129"/>
      <c r="I29" s="131">
        <v>1</v>
      </c>
      <c r="J29" s="130">
        <v>0</v>
      </c>
      <c r="K29" s="130"/>
      <c r="L29" s="129"/>
      <c r="M29" s="129"/>
      <c r="N29" s="131">
        <v>0</v>
      </c>
      <c r="O29" s="129"/>
      <c r="P29" s="129"/>
      <c r="Q29" s="129">
        <v>0</v>
      </c>
      <c r="R29" s="129"/>
      <c r="S29" s="129"/>
      <c r="T29" s="129"/>
      <c r="U29" s="129"/>
      <c r="V29" s="133">
        <v>100</v>
      </c>
      <c r="W29" s="133">
        <v>66.599999999999994</v>
      </c>
      <c r="X29" s="133">
        <v>66.599999999999994</v>
      </c>
      <c r="Y29" s="133">
        <v>100</v>
      </c>
      <c r="Z29" s="129"/>
      <c r="AA29" s="129"/>
      <c r="AB29" s="129"/>
      <c r="AC29" s="129"/>
      <c r="AD29" s="129"/>
      <c r="AE29" s="129"/>
      <c r="AF29" s="129"/>
      <c r="AG29" s="129"/>
      <c r="AH29" s="847"/>
      <c r="AI29" s="847"/>
      <c r="AJ29" s="847"/>
      <c r="AK29" s="847"/>
      <c r="AL29" s="847"/>
      <c r="AM29" s="847"/>
      <c r="AN29" s="847"/>
      <c r="AO29" s="847"/>
      <c r="AP29" s="847"/>
      <c r="AQ29" s="847"/>
      <c r="AR29" s="847"/>
      <c r="AS29" s="847"/>
      <c r="AT29" s="847"/>
      <c r="AU29" s="847"/>
      <c r="AV29" s="847"/>
      <c r="AW29" s="847"/>
      <c r="AX29" s="847"/>
      <c r="AY29" s="847"/>
      <c r="AZ29" s="847"/>
      <c r="BA29" s="847"/>
      <c r="BB29" s="847"/>
      <c r="BC29" s="847"/>
      <c r="BD29" s="847"/>
      <c r="BE29" s="847"/>
      <c r="BF29" s="847"/>
      <c r="BG29" s="847"/>
      <c r="BH29" s="847"/>
      <c r="BI29" s="847"/>
      <c r="BJ29" s="847"/>
      <c r="BK29" s="847"/>
      <c r="BL29" s="847"/>
      <c r="BM29" s="847"/>
      <c r="BN29" s="847"/>
      <c r="BO29" s="847"/>
      <c r="BP29" s="847"/>
      <c r="BQ29" s="847"/>
      <c r="BR29" s="847"/>
      <c r="BS29" s="847"/>
      <c r="BT29" s="847"/>
      <c r="BU29" s="847"/>
      <c r="BV29" s="847"/>
      <c r="BW29" s="847"/>
      <c r="BX29" s="847"/>
      <c r="BY29" s="847"/>
      <c r="BZ29" s="847"/>
      <c r="CA29" s="847"/>
      <c r="CB29" s="847"/>
      <c r="CC29" s="847"/>
      <c r="CD29" s="847"/>
      <c r="CE29" s="847"/>
      <c r="CF29" s="847"/>
      <c r="CG29" s="847"/>
      <c r="CH29" s="847"/>
      <c r="CI29" s="847"/>
      <c r="CJ29" s="847"/>
      <c r="CK29" s="847"/>
      <c r="CL29" s="847"/>
      <c r="CM29" s="847"/>
      <c r="CN29" s="847"/>
      <c r="CO29" s="847"/>
      <c r="CP29" s="847"/>
      <c r="CQ29" s="847"/>
      <c r="CR29" s="847"/>
      <c r="CS29" s="847"/>
      <c r="CT29" s="847"/>
      <c r="CU29" s="847"/>
      <c r="CV29" s="847"/>
      <c r="CW29" s="847"/>
      <c r="CX29" s="847"/>
      <c r="CY29" s="847"/>
      <c r="CZ29" s="847"/>
      <c r="DA29" s="847"/>
      <c r="DB29" s="847"/>
      <c r="DC29" s="847"/>
      <c r="DD29" s="847"/>
      <c r="DE29" s="847"/>
      <c r="DF29" s="847"/>
      <c r="DG29" s="847"/>
    </row>
    <row r="30" spans="1:111" s="27" customFormat="1" ht="12.6" hidden="1" customHeight="1">
      <c r="A30" s="129">
        <v>11</v>
      </c>
      <c r="B30" s="128" t="s">
        <v>18</v>
      </c>
      <c r="C30" s="134"/>
      <c r="D30" s="135"/>
      <c r="E30" s="131">
        <v>10</v>
      </c>
      <c r="F30" s="131">
        <v>10</v>
      </c>
      <c r="G30" s="131">
        <v>8</v>
      </c>
      <c r="H30" s="135"/>
      <c r="I30" s="131">
        <v>10</v>
      </c>
      <c r="J30" s="130">
        <v>10</v>
      </c>
      <c r="K30" s="130"/>
      <c r="L30" s="129"/>
      <c r="M30" s="129"/>
      <c r="N30" s="131">
        <v>1</v>
      </c>
      <c r="O30" s="135"/>
      <c r="P30" s="135"/>
      <c r="Q30" s="135">
        <v>0</v>
      </c>
      <c r="R30" s="135"/>
      <c r="S30" s="135"/>
      <c r="T30" s="129"/>
      <c r="U30" s="129"/>
      <c r="V30" s="131"/>
      <c r="W30" s="131"/>
      <c r="X30" s="131"/>
      <c r="Y30" s="131"/>
      <c r="Z30" s="129"/>
      <c r="AA30" s="129"/>
      <c r="AB30" s="129"/>
      <c r="AC30" s="129"/>
      <c r="AD30" s="129"/>
      <c r="AE30" s="129"/>
      <c r="AF30" s="129">
        <f>SUM(C30:AE30)</f>
        <v>49</v>
      </c>
      <c r="AG30" s="129">
        <v>49</v>
      </c>
      <c r="AH30" s="847"/>
      <c r="AI30" s="847"/>
      <c r="AJ30" s="847"/>
      <c r="AK30" s="847"/>
      <c r="AL30" s="847"/>
      <c r="AM30" s="847"/>
      <c r="AN30" s="847"/>
      <c r="AO30" s="847"/>
      <c r="AP30" s="847"/>
      <c r="AQ30" s="847"/>
      <c r="AR30" s="847"/>
      <c r="AS30" s="847"/>
      <c r="AT30" s="847"/>
      <c r="AU30" s="847"/>
      <c r="AV30" s="847"/>
      <c r="AW30" s="847"/>
      <c r="AX30" s="847"/>
      <c r="AY30" s="847"/>
      <c r="AZ30" s="847"/>
      <c r="BA30" s="847"/>
      <c r="BB30" s="847"/>
      <c r="BC30" s="847"/>
      <c r="BD30" s="847"/>
      <c r="BE30" s="847"/>
      <c r="BF30" s="847"/>
      <c r="BG30" s="847"/>
      <c r="BH30" s="847"/>
      <c r="BI30" s="847"/>
      <c r="BJ30" s="847"/>
      <c r="BK30" s="847"/>
      <c r="BL30" s="847"/>
      <c r="BM30" s="847"/>
      <c r="BN30" s="847"/>
      <c r="BO30" s="847"/>
      <c r="BP30" s="847"/>
      <c r="BQ30" s="847"/>
      <c r="BR30" s="847"/>
      <c r="BS30" s="847"/>
      <c r="BT30" s="847"/>
      <c r="BU30" s="847"/>
      <c r="BV30" s="847"/>
      <c r="BW30" s="847"/>
      <c r="BX30" s="847"/>
      <c r="BY30" s="847"/>
      <c r="BZ30" s="847"/>
      <c r="CA30" s="847"/>
      <c r="CB30" s="847"/>
      <c r="CC30" s="847"/>
      <c r="CD30" s="847"/>
      <c r="CE30" s="847"/>
      <c r="CF30" s="847"/>
      <c r="CG30" s="847"/>
      <c r="CH30" s="847"/>
      <c r="CI30" s="847"/>
      <c r="CJ30" s="847"/>
      <c r="CK30" s="847"/>
      <c r="CL30" s="847"/>
      <c r="CM30" s="847"/>
      <c r="CN30" s="847"/>
      <c r="CO30" s="847"/>
      <c r="CP30" s="847"/>
      <c r="CQ30" s="847"/>
      <c r="CR30" s="847"/>
      <c r="CS30" s="847"/>
      <c r="CT30" s="847"/>
      <c r="CU30" s="847"/>
      <c r="CV30" s="847"/>
      <c r="CW30" s="847"/>
      <c r="CX30" s="847"/>
      <c r="CY30" s="847"/>
      <c r="CZ30" s="847"/>
      <c r="DA30" s="847"/>
      <c r="DB30" s="847"/>
      <c r="DC30" s="847"/>
      <c r="DD30" s="847"/>
      <c r="DE30" s="847"/>
      <c r="DF30" s="847"/>
      <c r="DG30" s="847"/>
    </row>
    <row r="31" spans="1:111" hidden="1">
      <c r="A31" s="129">
        <v>12</v>
      </c>
      <c r="B31" s="128" t="s">
        <v>59</v>
      </c>
      <c r="C31" s="134">
        <v>6</v>
      </c>
      <c r="D31" s="129"/>
      <c r="E31" s="131">
        <v>0</v>
      </c>
      <c r="F31" s="131">
        <v>5</v>
      </c>
      <c r="G31" s="131">
        <v>0</v>
      </c>
      <c r="H31" s="129"/>
      <c r="I31" s="131">
        <v>0</v>
      </c>
      <c r="J31" s="130">
        <v>0</v>
      </c>
      <c r="K31" s="130"/>
      <c r="L31" s="129"/>
      <c r="M31" s="129"/>
      <c r="N31" s="131">
        <v>2</v>
      </c>
      <c r="O31" s="129"/>
      <c r="P31" s="129"/>
      <c r="Q31" s="129">
        <v>87.6</v>
      </c>
      <c r="R31" s="129"/>
      <c r="S31" s="129"/>
      <c r="T31" s="129"/>
      <c r="U31" s="129"/>
      <c r="V31" s="133">
        <v>100</v>
      </c>
      <c r="W31" s="133">
        <v>33.299999999999997</v>
      </c>
      <c r="X31" s="133">
        <v>50</v>
      </c>
      <c r="Y31" s="133">
        <v>100</v>
      </c>
      <c r="Z31" s="129"/>
      <c r="AA31" s="129"/>
      <c r="AB31" s="129"/>
      <c r="AC31" s="129"/>
      <c r="AD31" s="129"/>
      <c r="AE31" s="129"/>
      <c r="AF31" s="129"/>
      <c r="AG31" s="129"/>
      <c r="AH31" s="847"/>
      <c r="AI31" s="847"/>
      <c r="AJ31" s="847"/>
      <c r="AK31" s="847"/>
      <c r="AL31" s="847"/>
      <c r="AM31" s="847"/>
      <c r="AN31" s="847"/>
      <c r="AO31" s="847"/>
      <c r="AP31" s="847"/>
      <c r="AQ31" s="847"/>
      <c r="AR31" s="847"/>
      <c r="AS31" s="847"/>
      <c r="AT31" s="847"/>
      <c r="AU31" s="847"/>
      <c r="AV31" s="847"/>
      <c r="AW31" s="847"/>
      <c r="AX31" s="847"/>
      <c r="AY31" s="847"/>
      <c r="AZ31" s="847"/>
      <c r="BA31" s="847"/>
      <c r="BB31" s="847"/>
      <c r="BC31" s="847"/>
      <c r="BD31" s="847"/>
      <c r="BE31" s="847"/>
      <c r="BF31" s="847"/>
      <c r="BG31" s="847"/>
      <c r="BH31" s="847"/>
      <c r="BI31" s="847"/>
      <c r="BJ31" s="847"/>
      <c r="BK31" s="847"/>
      <c r="BL31" s="847"/>
      <c r="BM31" s="847"/>
      <c r="BN31" s="847"/>
      <c r="BO31" s="847"/>
      <c r="BP31" s="847"/>
      <c r="BQ31" s="847"/>
      <c r="BR31" s="847"/>
      <c r="BS31" s="847"/>
      <c r="BT31" s="847"/>
      <c r="BU31" s="847"/>
      <c r="BV31" s="847"/>
      <c r="BW31" s="847"/>
      <c r="BX31" s="847"/>
      <c r="BY31" s="847"/>
      <c r="BZ31" s="847"/>
      <c r="CA31" s="847"/>
      <c r="CB31" s="847"/>
      <c r="CC31" s="847"/>
      <c r="CD31" s="847"/>
      <c r="CE31" s="847"/>
      <c r="CF31" s="847"/>
      <c r="CG31" s="847"/>
      <c r="CH31" s="847"/>
      <c r="CI31" s="847"/>
      <c r="CJ31" s="847"/>
      <c r="CK31" s="847"/>
      <c r="CL31" s="847"/>
      <c r="CM31" s="847"/>
      <c r="CN31" s="847"/>
      <c r="CO31" s="847"/>
      <c r="CP31" s="847"/>
      <c r="CQ31" s="847"/>
      <c r="CR31" s="847"/>
      <c r="CS31" s="847"/>
      <c r="CT31" s="847"/>
      <c r="CU31" s="847"/>
      <c r="CV31" s="847"/>
      <c r="CW31" s="847"/>
      <c r="CX31" s="847"/>
      <c r="CY31" s="847"/>
      <c r="CZ31" s="847"/>
      <c r="DA31" s="847"/>
      <c r="DB31" s="847"/>
      <c r="DC31" s="847"/>
      <c r="DD31" s="847"/>
      <c r="DE31" s="847"/>
      <c r="DF31" s="847"/>
      <c r="DG31" s="847"/>
    </row>
    <row r="32" spans="1:111" s="27" customFormat="1" ht="12.75" customHeight="1">
      <c r="A32" s="129">
        <v>7</v>
      </c>
      <c r="B32" s="128" t="s">
        <v>20</v>
      </c>
      <c r="C32" s="134"/>
      <c r="D32" s="129"/>
      <c r="E32" s="131">
        <v>9</v>
      </c>
      <c r="F32" s="131">
        <v>7</v>
      </c>
      <c r="G32" s="131">
        <v>10</v>
      </c>
      <c r="H32" s="129"/>
      <c r="I32" s="131">
        <v>9</v>
      </c>
      <c r="J32" s="130">
        <v>10</v>
      </c>
      <c r="K32" s="130"/>
      <c r="L32" s="129"/>
      <c r="M32" s="129"/>
      <c r="N32" s="131">
        <v>3</v>
      </c>
      <c r="O32" s="129"/>
      <c r="P32" s="129"/>
      <c r="Q32" s="129">
        <v>1</v>
      </c>
      <c r="R32" s="129"/>
      <c r="S32" s="129">
        <v>0</v>
      </c>
      <c r="T32" s="129"/>
      <c r="U32" s="129"/>
      <c r="V32" s="131">
        <v>0</v>
      </c>
      <c r="W32" s="131">
        <v>0</v>
      </c>
      <c r="X32" s="131">
        <v>0</v>
      </c>
      <c r="Y32" s="131">
        <v>0</v>
      </c>
      <c r="Z32" s="129"/>
      <c r="AA32" s="129"/>
      <c r="AB32" s="129"/>
      <c r="AC32" s="129"/>
      <c r="AD32" s="129"/>
      <c r="AE32" s="129"/>
      <c r="AF32" s="129">
        <f>SUM(C32:AE32)</f>
        <v>49</v>
      </c>
      <c r="AG32" s="129">
        <f>AF32-0.9</f>
        <v>48.1</v>
      </c>
      <c r="AH32" s="847"/>
      <c r="AI32" s="847"/>
      <c r="AJ32" s="847"/>
      <c r="AK32" s="847"/>
      <c r="AL32" s="847"/>
      <c r="AM32" s="847"/>
      <c r="AN32" s="847"/>
      <c r="AO32" s="847"/>
      <c r="AP32" s="847"/>
      <c r="AQ32" s="847"/>
      <c r="AR32" s="847"/>
      <c r="AS32" s="847"/>
      <c r="AT32" s="847"/>
      <c r="AU32" s="847"/>
      <c r="AV32" s="847"/>
      <c r="AW32" s="847"/>
      <c r="AX32" s="847"/>
      <c r="AY32" s="847"/>
      <c r="AZ32" s="847"/>
      <c r="BA32" s="847"/>
      <c r="BB32" s="847"/>
      <c r="BC32" s="847"/>
      <c r="BD32" s="847"/>
      <c r="BE32" s="847"/>
      <c r="BF32" s="847"/>
      <c r="BG32" s="847"/>
      <c r="BH32" s="847"/>
      <c r="BI32" s="847"/>
      <c r="BJ32" s="847"/>
      <c r="BK32" s="847"/>
      <c r="BL32" s="847"/>
      <c r="BM32" s="847"/>
      <c r="BN32" s="847"/>
      <c r="BO32" s="847"/>
      <c r="BP32" s="847"/>
      <c r="BQ32" s="847"/>
      <c r="BR32" s="847"/>
      <c r="BS32" s="847"/>
      <c r="BT32" s="847"/>
      <c r="BU32" s="847"/>
      <c r="BV32" s="847"/>
      <c r="BW32" s="847"/>
      <c r="BX32" s="847"/>
      <c r="BY32" s="847"/>
      <c r="BZ32" s="847"/>
      <c r="CA32" s="847"/>
      <c r="CB32" s="847"/>
      <c r="CC32" s="847"/>
      <c r="CD32" s="847"/>
      <c r="CE32" s="847"/>
      <c r="CF32" s="847"/>
      <c r="CG32" s="847"/>
      <c r="CH32" s="847"/>
      <c r="CI32" s="847"/>
      <c r="CJ32" s="847"/>
      <c r="CK32" s="847"/>
      <c r="CL32" s="847"/>
      <c r="CM32" s="847"/>
      <c r="CN32" s="847"/>
      <c r="CO32" s="847"/>
      <c r="CP32" s="847"/>
      <c r="CQ32" s="847"/>
      <c r="CR32" s="847"/>
      <c r="CS32" s="847"/>
      <c r="CT32" s="847"/>
      <c r="CU32" s="847"/>
      <c r="CV32" s="847"/>
      <c r="CW32" s="847"/>
      <c r="CX32" s="847"/>
      <c r="CY32" s="847"/>
      <c r="CZ32" s="847"/>
      <c r="DA32" s="847"/>
      <c r="DB32" s="847"/>
      <c r="DC32" s="847"/>
      <c r="DD32" s="847"/>
      <c r="DE32" s="847"/>
      <c r="DF32" s="847"/>
      <c r="DG32" s="847"/>
    </row>
    <row r="33" spans="1:111" s="3" customFormat="1" ht="12.6" hidden="1" customHeight="1">
      <c r="A33" s="129">
        <v>13</v>
      </c>
      <c r="B33" s="128" t="s">
        <v>12</v>
      </c>
      <c r="C33" s="134">
        <v>30</v>
      </c>
      <c r="D33" s="135"/>
      <c r="E33" s="131">
        <v>2</v>
      </c>
      <c r="F33" s="131">
        <v>69</v>
      </c>
      <c r="G33" s="131">
        <v>14</v>
      </c>
      <c r="H33" s="135"/>
      <c r="I33" s="131">
        <v>20</v>
      </c>
      <c r="J33" s="130">
        <v>0</v>
      </c>
      <c r="K33" s="130"/>
      <c r="L33" s="138" t="s">
        <v>73</v>
      </c>
      <c r="M33" s="129"/>
      <c r="N33" s="131">
        <v>29</v>
      </c>
      <c r="O33" s="135"/>
      <c r="P33" s="135"/>
      <c r="Q33" s="135">
        <v>1.4</v>
      </c>
      <c r="R33" s="135"/>
      <c r="S33" s="135"/>
      <c r="T33" s="129"/>
      <c r="U33" s="129"/>
      <c r="V33" s="133"/>
      <c r="W33" s="133"/>
      <c r="X33" s="133"/>
      <c r="Y33" s="133"/>
      <c r="Z33" s="129"/>
      <c r="AA33" s="129"/>
      <c r="AB33" s="129"/>
      <c r="AC33" s="129"/>
      <c r="AD33" s="129"/>
      <c r="AE33" s="129"/>
      <c r="AF33" s="129"/>
      <c r="AG33" s="129"/>
      <c r="AH33" s="847"/>
      <c r="AI33" s="847"/>
      <c r="AJ33" s="847"/>
      <c r="AK33" s="847"/>
      <c r="AL33" s="847"/>
      <c r="AM33" s="847"/>
      <c r="AN33" s="847"/>
      <c r="AO33" s="847"/>
      <c r="AP33" s="847"/>
      <c r="AQ33" s="847"/>
      <c r="AR33" s="847"/>
      <c r="AS33" s="847"/>
      <c r="AT33" s="847"/>
      <c r="AU33" s="847"/>
      <c r="AV33" s="847"/>
      <c r="AW33" s="847"/>
      <c r="AX33" s="847"/>
      <c r="AY33" s="847"/>
      <c r="AZ33" s="847"/>
      <c r="BA33" s="847"/>
      <c r="BB33" s="847"/>
      <c r="BC33" s="847"/>
      <c r="BD33" s="847"/>
      <c r="BE33" s="847"/>
      <c r="BF33" s="847"/>
      <c r="BG33" s="847"/>
      <c r="BH33" s="847"/>
      <c r="BI33" s="847"/>
      <c r="BJ33" s="847"/>
      <c r="BK33" s="847"/>
      <c r="BL33" s="847"/>
      <c r="BM33" s="847"/>
      <c r="BN33" s="847"/>
      <c r="BO33" s="847"/>
      <c r="BP33" s="847"/>
      <c r="BQ33" s="847"/>
      <c r="BR33" s="847"/>
      <c r="BS33" s="847"/>
      <c r="BT33" s="847"/>
      <c r="BU33" s="847"/>
      <c r="BV33" s="847"/>
      <c r="BW33" s="847"/>
      <c r="BX33" s="847"/>
      <c r="BY33" s="847"/>
      <c r="BZ33" s="847"/>
      <c r="CA33" s="847"/>
      <c r="CB33" s="847"/>
      <c r="CC33" s="847"/>
      <c r="CD33" s="847"/>
      <c r="CE33" s="847"/>
      <c r="CF33" s="847"/>
      <c r="CG33" s="847"/>
      <c r="CH33" s="847"/>
      <c r="CI33" s="847"/>
      <c r="CJ33" s="847"/>
      <c r="CK33" s="847"/>
      <c r="CL33" s="847"/>
      <c r="CM33" s="847"/>
      <c r="CN33" s="847"/>
      <c r="CO33" s="847"/>
      <c r="CP33" s="847"/>
      <c r="CQ33" s="847"/>
      <c r="CR33" s="847"/>
      <c r="CS33" s="847"/>
      <c r="CT33" s="847"/>
      <c r="CU33" s="847"/>
      <c r="CV33" s="847"/>
      <c r="CW33" s="847"/>
      <c r="CX33" s="847"/>
      <c r="CY33" s="847"/>
      <c r="CZ33" s="847"/>
      <c r="DA33" s="847"/>
      <c r="DB33" s="847"/>
      <c r="DC33" s="847"/>
      <c r="DD33" s="847"/>
      <c r="DE33" s="847"/>
      <c r="DF33" s="847"/>
      <c r="DG33" s="847"/>
    </row>
    <row r="34" spans="1:111" s="31" customFormat="1" ht="12.75" customHeight="1">
      <c r="A34" s="129">
        <v>8</v>
      </c>
      <c r="B34" s="128" t="s">
        <v>8</v>
      </c>
      <c r="C34" s="134"/>
      <c r="D34" s="135"/>
      <c r="E34" s="131">
        <v>7</v>
      </c>
      <c r="F34" s="131">
        <v>0</v>
      </c>
      <c r="G34" s="131">
        <v>0</v>
      </c>
      <c r="H34" s="135"/>
      <c r="I34" s="131">
        <v>10</v>
      </c>
      <c r="J34" s="130">
        <v>10</v>
      </c>
      <c r="K34" s="130"/>
      <c r="L34" s="129">
        <v>4</v>
      </c>
      <c r="M34" s="129"/>
      <c r="N34" s="131"/>
      <c r="O34" s="135"/>
      <c r="P34" s="135"/>
      <c r="Q34" s="135">
        <v>9</v>
      </c>
      <c r="R34" s="135"/>
      <c r="S34" s="135">
        <v>2</v>
      </c>
      <c r="T34" s="129"/>
      <c r="U34" s="129"/>
      <c r="V34" s="138">
        <v>0</v>
      </c>
      <c r="W34" s="129">
        <v>0</v>
      </c>
      <c r="X34" s="129">
        <v>0</v>
      </c>
      <c r="Y34" s="129">
        <v>6</v>
      </c>
      <c r="Z34" s="129"/>
      <c r="AA34" s="129"/>
      <c r="AB34" s="129"/>
      <c r="AC34" s="129"/>
      <c r="AD34" s="129"/>
      <c r="AE34" s="129"/>
      <c r="AF34" s="129">
        <f>SUM(C34:AE34)</f>
        <v>48</v>
      </c>
      <c r="AG34" s="129">
        <f>AF34-0.7</f>
        <v>47.3</v>
      </c>
      <c r="AH34" s="847"/>
      <c r="AI34" s="847"/>
      <c r="AJ34" s="847"/>
      <c r="AK34" s="847"/>
      <c r="AL34" s="847"/>
      <c r="AM34" s="847"/>
      <c r="AN34" s="847"/>
      <c r="AO34" s="847"/>
      <c r="AP34" s="847"/>
      <c r="AQ34" s="847"/>
      <c r="AR34" s="847"/>
      <c r="AS34" s="847"/>
      <c r="AT34" s="847"/>
      <c r="AU34" s="847"/>
      <c r="AV34" s="847"/>
      <c r="AW34" s="847"/>
      <c r="AX34" s="847"/>
      <c r="AY34" s="847"/>
      <c r="AZ34" s="847"/>
      <c r="BA34" s="847"/>
      <c r="BB34" s="847"/>
      <c r="BC34" s="847"/>
      <c r="BD34" s="847"/>
      <c r="BE34" s="847"/>
      <c r="BF34" s="847"/>
      <c r="BG34" s="847"/>
      <c r="BH34" s="847"/>
      <c r="BI34" s="847"/>
      <c r="BJ34" s="847"/>
      <c r="BK34" s="847"/>
      <c r="BL34" s="847"/>
      <c r="BM34" s="847"/>
      <c r="BN34" s="847"/>
      <c r="BO34" s="847"/>
      <c r="BP34" s="847"/>
      <c r="BQ34" s="847"/>
      <c r="BR34" s="847"/>
      <c r="BS34" s="847"/>
      <c r="BT34" s="847"/>
      <c r="BU34" s="847"/>
      <c r="BV34" s="847"/>
      <c r="BW34" s="847"/>
      <c r="BX34" s="847"/>
      <c r="BY34" s="847"/>
      <c r="BZ34" s="847"/>
      <c r="CA34" s="847"/>
      <c r="CB34" s="847"/>
      <c r="CC34" s="847"/>
      <c r="CD34" s="847"/>
      <c r="CE34" s="847"/>
      <c r="CF34" s="847"/>
      <c r="CG34" s="847"/>
      <c r="CH34" s="847"/>
      <c r="CI34" s="847"/>
      <c r="CJ34" s="847"/>
      <c r="CK34" s="847"/>
      <c r="CL34" s="847"/>
      <c r="CM34" s="847"/>
      <c r="CN34" s="847"/>
      <c r="CO34" s="847"/>
      <c r="CP34" s="847"/>
      <c r="CQ34" s="847"/>
      <c r="CR34" s="847"/>
      <c r="CS34" s="847"/>
      <c r="CT34" s="847"/>
      <c r="CU34" s="847"/>
      <c r="CV34" s="847"/>
      <c r="CW34" s="847"/>
      <c r="CX34" s="847"/>
      <c r="CY34" s="847"/>
      <c r="CZ34" s="847"/>
      <c r="DA34" s="847"/>
      <c r="DB34" s="847"/>
      <c r="DC34" s="847"/>
      <c r="DD34" s="847"/>
      <c r="DE34" s="847"/>
      <c r="DF34" s="847"/>
      <c r="DG34" s="847"/>
    </row>
    <row r="35" spans="1:111" s="4" customFormat="1" hidden="1">
      <c r="A35" s="129">
        <v>14</v>
      </c>
      <c r="B35" s="128" t="s">
        <v>15</v>
      </c>
      <c r="C35" s="134">
        <v>112</v>
      </c>
      <c r="D35" s="129"/>
      <c r="E35" s="131">
        <v>1</v>
      </c>
      <c r="F35" s="131">
        <v>22</v>
      </c>
      <c r="G35" s="131">
        <v>21</v>
      </c>
      <c r="H35" s="129"/>
      <c r="I35" s="131">
        <v>0</v>
      </c>
      <c r="J35" s="130">
        <v>0</v>
      </c>
      <c r="K35" s="130"/>
      <c r="L35" s="129"/>
      <c r="M35" s="129"/>
      <c r="N35" s="131">
        <v>76</v>
      </c>
      <c r="O35" s="129"/>
      <c r="P35" s="129"/>
      <c r="Q35" s="129">
        <v>82.01</v>
      </c>
      <c r="R35" s="129"/>
      <c r="S35" s="129"/>
      <c r="T35" s="129"/>
      <c r="U35" s="129"/>
      <c r="V35" s="133">
        <v>72.099999999999994</v>
      </c>
      <c r="W35" s="133">
        <v>91.6</v>
      </c>
      <c r="X35" s="133">
        <v>91.1</v>
      </c>
      <c r="Y35" s="133">
        <v>96.6</v>
      </c>
      <c r="Z35" s="129"/>
      <c r="AA35" s="129"/>
      <c r="AB35" s="129"/>
      <c r="AC35" s="129"/>
      <c r="AD35" s="129"/>
      <c r="AE35" s="129"/>
      <c r="AF35" s="129"/>
      <c r="AG35" s="129"/>
      <c r="AH35" s="847"/>
      <c r="AI35" s="847"/>
      <c r="AJ35" s="847"/>
      <c r="AK35" s="847"/>
      <c r="AL35" s="847"/>
      <c r="AM35" s="847"/>
      <c r="AN35" s="847"/>
      <c r="AO35" s="847"/>
      <c r="AP35" s="847"/>
      <c r="AQ35" s="847"/>
      <c r="AR35" s="847"/>
      <c r="AS35" s="847"/>
      <c r="AT35" s="847"/>
      <c r="AU35" s="847"/>
      <c r="AV35" s="847"/>
      <c r="AW35" s="847"/>
      <c r="AX35" s="847"/>
      <c r="AY35" s="847"/>
      <c r="AZ35" s="847"/>
      <c r="BA35" s="847"/>
      <c r="BB35" s="847"/>
      <c r="BC35" s="847"/>
      <c r="BD35" s="847"/>
      <c r="BE35" s="847"/>
      <c r="BF35" s="847"/>
      <c r="BG35" s="847"/>
      <c r="BH35" s="847"/>
      <c r="BI35" s="847"/>
      <c r="BJ35" s="847"/>
      <c r="BK35" s="847"/>
      <c r="BL35" s="847"/>
      <c r="BM35" s="847"/>
      <c r="BN35" s="847"/>
      <c r="BO35" s="847"/>
      <c r="BP35" s="847"/>
      <c r="BQ35" s="847"/>
      <c r="BR35" s="847"/>
      <c r="BS35" s="847"/>
      <c r="BT35" s="847"/>
      <c r="BU35" s="847"/>
      <c r="BV35" s="847"/>
      <c r="BW35" s="847"/>
      <c r="BX35" s="847"/>
      <c r="BY35" s="847"/>
      <c r="BZ35" s="847"/>
      <c r="CA35" s="847"/>
      <c r="CB35" s="847"/>
      <c r="CC35" s="847"/>
      <c r="CD35" s="847"/>
      <c r="CE35" s="847"/>
      <c r="CF35" s="847"/>
      <c r="CG35" s="847"/>
      <c r="CH35" s="847"/>
      <c r="CI35" s="847"/>
      <c r="CJ35" s="847"/>
      <c r="CK35" s="847"/>
      <c r="CL35" s="847"/>
      <c r="CM35" s="847"/>
      <c r="CN35" s="847"/>
      <c r="CO35" s="847"/>
      <c r="CP35" s="847"/>
      <c r="CQ35" s="847"/>
      <c r="CR35" s="847"/>
      <c r="CS35" s="847"/>
      <c r="CT35" s="847"/>
      <c r="CU35" s="847"/>
      <c r="CV35" s="847"/>
      <c r="CW35" s="847"/>
      <c r="CX35" s="847"/>
      <c r="CY35" s="847"/>
      <c r="CZ35" s="847"/>
      <c r="DA35" s="847"/>
      <c r="DB35" s="847"/>
      <c r="DC35" s="847"/>
      <c r="DD35" s="847"/>
      <c r="DE35" s="847"/>
      <c r="DF35" s="847"/>
      <c r="DG35" s="847"/>
    </row>
    <row r="36" spans="1:111" s="27" customFormat="1" ht="12.75" customHeight="1">
      <c r="A36" s="129">
        <v>9</v>
      </c>
      <c r="B36" s="128" t="s">
        <v>6</v>
      </c>
      <c r="C36" s="129"/>
      <c r="D36" s="130"/>
      <c r="E36" s="129">
        <v>8</v>
      </c>
      <c r="F36" s="131">
        <v>0</v>
      </c>
      <c r="G36" s="131">
        <v>0</v>
      </c>
      <c r="H36" s="129"/>
      <c r="I36" s="131">
        <v>9</v>
      </c>
      <c r="J36" s="129">
        <v>10</v>
      </c>
      <c r="K36" s="129"/>
      <c r="L36" s="129"/>
      <c r="M36" s="129"/>
      <c r="N36" s="131"/>
      <c r="O36" s="129"/>
      <c r="P36" s="129"/>
      <c r="Q36" s="129">
        <v>6</v>
      </c>
      <c r="R36" s="129"/>
      <c r="S36" s="129"/>
      <c r="T36" s="129"/>
      <c r="U36" s="129"/>
      <c r="V36" s="138">
        <v>2</v>
      </c>
      <c r="W36" s="129">
        <v>2</v>
      </c>
      <c r="X36" s="129">
        <v>3</v>
      </c>
      <c r="Y36" s="129">
        <v>5</v>
      </c>
      <c r="Z36" s="129"/>
      <c r="AA36" s="129"/>
      <c r="AB36" s="129"/>
      <c r="AC36" s="129"/>
      <c r="AD36" s="129"/>
      <c r="AE36" s="129"/>
      <c r="AF36" s="129">
        <f>SUM(C36:AE36)</f>
        <v>45</v>
      </c>
      <c r="AG36" s="129">
        <f>AF36-0.8</f>
        <v>44.2</v>
      </c>
      <c r="AH36" s="847"/>
      <c r="AI36" s="847"/>
      <c r="AJ36" s="847"/>
      <c r="AK36" s="847"/>
      <c r="AL36" s="847"/>
      <c r="AM36" s="847"/>
      <c r="AN36" s="847"/>
      <c r="AO36" s="847"/>
      <c r="AP36" s="847"/>
      <c r="AQ36" s="847"/>
      <c r="AR36" s="847"/>
      <c r="AS36" s="847"/>
      <c r="AT36" s="847"/>
      <c r="AU36" s="847"/>
      <c r="AV36" s="847"/>
      <c r="AW36" s="847"/>
      <c r="AX36" s="847"/>
      <c r="AY36" s="847"/>
      <c r="AZ36" s="847"/>
      <c r="BA36" s="847"/>
      <c r="BB36" s="847"/>
      <c r="BC36" s="847"/>
      <c r="BD36" s="847"/>
      <c r="BE36" s="847"/>
      <c r="BF36" s="847"/>
      <c r="BG36" s="847"/>
      <c r="BH36" s="847"/>
      <c r="BI36" s="847"/>
      <c r="BJ36" s="847"/>
      <c r="BK36" s="847"/>
      <c r="BL36" s="847"/>
      <c r="BM36" s="847"/>
      <c r="BN36" s="847"/>
      <c r="BO36" s="847"/>
      <c r="BP36" s="847"/>
      <c r="BQ36" s="847"/>
      <c r="BR36" s="847"/>
      <c r="BS36" s="847"/>
      <c r="BT36" s="847"/>
      <c r="BU36" s="847"/>
      <c r="BV36" s="847"/>
      <c r="BW36" s="847"/>
      <c r="BX36" s="847"/>
      <c r="BY36" s="847"/>
      <c r="BZ36" s="847"/>
      <c r="CA36" s="847"/>
      <c r="CB36" s="847"/>
      <c r="CC36" s="847"/>
      <c r="CD36" s="847"/>
      <c r="CE36" s="847"/>
      <c r="CF36" s="847"/>
      <c r="CG36" s="847"/>
      <c r="CH36" s="847"/>
      <c r="CI36" s="847"/>
      <c r="CJ36" s="847"/>
      <c r="CK36" s="847"/>
      <c r="CL36" s="847"/>
      <c r="CM36" s="847"/>
      <c r="CN36" s="847"/>
      <c r="CO36" s="847"/>
      <c r="CP36" s="847"/>
      <c r="CQ36" s="847"/>
      <c r="CR36" s="847"/>
      <c r="CS36" s="847"/>
      <c r="CT36" s="847"/>
      <c r="CU36" s="847"/>
      <c r="CV36" s="847"/>
      <c r="CW36" s="847"/>
      <c r="CX36" s="847"/>
      <c r="CY36" s="847"/>
      <c r="CZ36" s="847"/>
      <c r="DA36" s="847"/>
      <c r="DB36" s="847"/>
      <c r="DC36" s="847"/>
      <c r="DD36" s="847"/>
      <c r="DE36" s="847"/>
      <c r="DF36" s="847"/>
      <c r="DG36" s="847"/>
    </row>
    <row r="37" spans="1:111" hidden="1">
      <c r="A37" s="129">
        <v>15</v>
      </c>
      <c r="B37" s="128" t="s">
        <v>60</v>
      </c>
      <c r="C37" s="134">
        <v>11</v>
      </c>
      <c r="D37" s="129"/>
      <c r="E37" s="131">
        <v>1</v>
      </c>
      <c r="F37" s="131">
        <v>5</v>
      </c>
      <c r="G37" s="131">
        <v>4</v>
      </c>
      <c r="H37" s="129"/>
      <c r="I37" s="131">
        <v>0</v>
      </c>
      <c r="J37" s="130">
        <v>0</v>
      </c>
      <c r="K37" s="130"/>
      <c r="L37" s="129"/>
      <c r="M37" s="129"/>
      <c r="N37" s="131">
        <v>10</v>
      </c>
      <c r="O37" s="129"/>
      <c r="P37" s="129"/>
      <c r="Q37" s="129">
        <v>0.87</v>
      </c>
      <c r="R37" s="129"/>
      <c r="S37" s="129"/>
      <c r="T37" s="129"/>
      <c r="U37" s="129"/>
      <c r="V37" s="133">
        <v>45</v>
      </c>
      <c r="W37" s="133">
        <v>18</v>
      </c>
      <c r="X37" s="133">
        <v>18</v>
      </c>
      <c r="Y37" s="133">
        <v>18</v>
      </c>
      <c r="Z37" s="129"/>
      <c r="AA37" s="129"/>
      <c r="AB37" s="129"/>
      <c r="AC37" s="129"/>
      <c r="AD37" s="129"/>
      <c r="AE37" s="129"/>
      <c r="AF37" s="129"/>
      <c r="AG37" s="129"/>
      <c r="AH37" s="847"/>
      <c r="AI37" s="847"/>
      <c r="AJ37" s="847"/>
      <c r="AK37" s="847"/>
      <c r="AL37" s="847"/>
      <c r="AM37" s="847"/>
      <c r="AN37" s="847"/>
      <c r="AO37" s="847"/>
      <c r="AP37" s="847"/>
      <c r="AQ37" s="847"/>
      <c r="AR37" s="847"/>
      <c r="AS37" s="847"/>
      <c r="AT37" s="847"/>
      <c r="AU37" s="847"/>
      <c r="AV37" s="847"/>
      <c r="AW37" s="847"/>
      <c r="AX37" s="847"/>
      <c r="AY37" s="847"/>
      <c r="AZ37" s="847"/>
      <c r="BA37" s="847"/>
      <c r="BB37" s="847"/>
      <c r="BC37" s="847"/>
      <c r="BD37" s="847"/>
      <c r="BE37" s="847"/>
      <c r="BF37" s="847"/>
      <c r="BG37" s="847"/>
      <c r="BH37" s="847"/>
      <c r="BI37" s="847"/>
      <c r="BJ37" s="847"/>
      <c r="BK37" s="847"/>
      <c r="BL37" s="847"/>
      <c r="BM37" s="847"/>
      <c r="BN37" s="847"/>
      <c r="BO37" s="847"/>
      <c r="BP37" s="847"/>
      <c r="BQ37" s="847"/>
      <c r="BR37" s="847"/>
      <c r="BS37" s="847"/>
      <c r="BT37" s="847"/>
      <c r="BU37" s="847"/>
      <c r="BV37" s="847"/>
      <c r="BW37" s="847"/>
      <c r="BX37" s="847"/>
      <c r="BY37" s="847"/>
      <c r="BZ37" s="847"/>
      <c r="CA37" s="847"/>
      <c r="CB37" s="847"/>
      <c r="CC37" s="847"/>
      <c r="CD37" s="847"/>
      <c r="CE37" s="847"/>
      <c r="CF37" s="847"/>
      <c r="CG37" s="847"/>
      <c r="CH37" s="847"/>
      <c r="CI37" s="847"/>
      <c r="CJ37" s="847"/>
      <c r="CK37" s="847"/>
      <c r="CL37" s="847"/>
      <c r="CM37" s="847"/>
      <c r="CN37" s="847"/>
      <c r="CO37" s="847"/>
      <c r="CP37" s="847"/>
      <c r="CQ37" s="847"/>
      <c r="CR37" s="847"/>
      <c r="CS37" s="847"/>
      <c r="CT37" s="847"/>
      <c r="CU37" s="847"/>
      <c r="CV37" s="847"/>
      <c r="CW37" s="847"/>
      <c r="CX37" s="847"/>
      <c r="CY37" s="847"/>
      <c r="CZ37" s="847"/>
      <c r="DA37" s="847"/>
      <c r="DB37" s="847"/>
      <c r="DC37" s="847"/>
      <c r="DD37" s="847"/>
      <c r="DE37" s="847"/>
      <c r="DF37" s="847"/>
      <c r="DG37" s="847"/>
    </row>
    <row r="38" spans="1:111" s="27" customFormat="1" ht="12.75" customHeight="1">
      <c r="A38" s="129">
        <v>10</v>
      </c>
      <c r="B38" s="128" t="s">
        <v>56</v>
      </c>
      <c r="C38" s="134"/>
      <c r="D38" s="135"/>
      <c r="E38" s="131">
        <v>3</v>
      </c>
      <c r="F38" s="131">
        <v>0</v>
      </c>
      <c r="G38" s="131">
        <v>0</v>
      </c>
      <c r="H38" s="135"/>
      <c r="I38" s="131">
        <v>2</v>
      </c>
      <c r="J38" s="130">
        <v>10</v>
      </c>
      <c r="K38" s="130"/>
      <c r="L38" s="135"/>
      <c r="M38" s="135"/>
      <c r="N38" s="131"/>
      <c r="O38" s="135"/>
      <c r="P38" s="135"/>
      <c r="Q38" s="135">
        <v>2</v>
      </c>
      <c r="R38" s="135"/>
      <c r="S38" s="135"/>
      <c r="T38" s="135"/>
      <c r="U38" s="135"/>
      <c r="V38" s="138">
        <v>4</v>
      </c>
      <c r="W38" s="135">
        <v>5</v>
      </c>
      <c r="X38" s="135">
        <v>6</v>
      </c>
      <c r="Y38" s="135">
        <v>7</v>
      </c>
      <c r="Z38" s="133"/>
      <c r="AA38" s="135"/>
      <c r="AB38" s="135"/>
      <c r="AC38" s="129"/>
      <c r="AD38" s="135"/>
      <c r="AE38" s="135"/>
      <c r="AF38" s="129">
        <f>SUM(C38:AE38)</f>
        <v>39</v>
      </c>
      <c r="AG38" s="129">
        <f>AF38-0.3</f>
        <v>38.700000000000003</v>
      </c>
      <c r="AH38" s="847"/>
      <c r="AI38" s="847"/>
      <c r="AJ38" s="847"/>
      <c r="AK38" s="847"/>
      <c r="AL38" s="847"/>
      <c r="AM38" s="847"/>
      <c r="AN38" s="847"/>
      <c r="AO38" s="847"/>
      <c r="AP38" s="847"/>
      <c r="AQ38" s="847"/>
      <c r="AR38" s="847"/>
      <c r="AS38" s="847"/>
      <c r="AT38" s="847"/>
      <c r="AU38" s="847"/>
      <c r="AV38" s="847"/>
      <c r="AW38" s="847"/>
      <c r="AX38" s="847"/>
      <c r="AY38" s="847"/>
      <c r="AZ38" s="847"/>
      <c r="BA38" s="847"/>
      <c r="BB38" s="847"/>
      <c r="BC38" s="847"/>
      <c r="BD38" s="847"/>
      <c r="BE38" s="847"/>
      <c r="BF38" s="847"/>
      <c r="BG38" s="847"/>
      <c r="BH38" s="847"/>
      <c r="BI38" s="847"/>
      <c r="BJ38" s="847"/>
      <c r="BK38" s="847"/>
      <c r="BL38" s="847"/>
      <c r="BM38" s="847"/>
      <c r="BN38" s="847"/>
      <c r="BO38" s="847"/>
      <c r="BP38" s="847"/>
      <c r="BQ38" s="847"/>
      <c r="BR38" s="847"/>
      <c r="BS38" s="847"/>
      <c r="BT38" s="847"/>
      <c r="BU38" s="847"/>
      <c r="BV38" s="847"/>
      <c r="BW38" s="847"/>
      <c r="BX38" s="847"/>
      <c r="BY38" s="847"/>
      <c r="BZ38" s="847"/>
      <c r="CA38" s="847"/>
      <c r="CB38" s="847"/>
      <c r="CC38" s="847"/>
      <c r="CD38" s="847"/>
      <c r="CE38" s="847"/>
      <c r="CF38" s="847"/>
      <c r="CG38" s="847"/>
      <c r="CH38" s="847"/>
      <c r="CI38" s="847"/>
      <c r="CJ38" s="847"/>
      <c r="CK38" s="847"/>
      <c r="CL38" s="847"/>
      <c r="CM38" s="847"/>
      <c r="CN38" s="847"/>
      <c r="CO38" s="847"/>
      <c r="CP38" s="847"/>
      <c r="CQ38" s="847"/>
      <c r="CR38" s="847"/>
      <c r="CS38" s="847"/>
      <c r="CT38" s="847"/>
      <c r="CU38" s="847"/>
      <c r="CV38" s="847"/>
      <c r="CW38" s="847"/>
      <c r="CX38" s="847"/>
      <c r="CY38" s="847"/>
      <c r="CZ38" s="847"/>
      <c r="DA38" s="847"/>
      <c r="DB38" s="847"/>
      <c r="DC38" s="847"/>
      <c r="DD38" s="847"/>
      <c r="DE38" s="847"/>
      <c r="DF38" s="847"/>
      <c r="DG38" s="847"/>
    </row>
    <row r="39" spans="1:111" hidden="1">
      <c r="A39" s="129">
        <v>16</v>
      </c>
      <c r="B39" s="128" t="s">
        <v>17</v>
      </c>
      <c r="C39" s="134">
        <v>34</v>
      </c>
      <c r="D39" s="135"/>
      <c r="E39" s="131">
        <v>2</v>
      </c>
      <c r="F39" s="131">
        <v>6</v>
      </c>
      <c r="G39" s="131">
        <v>14</v>
      </c>
      <c r="H39" s="135"/>
      <c r="I39" s="131">
        <v>1</v>
      </c>
      <c r="J39" s="130">
        <v>0</v>
      </c>
      <c r="K39" s="130"/>
      <c r="L39" s="135" t="s">
        <v>71</v>
      </c>
      <c r="M39" s="135"/>
      <c r="N39" s="131">
        <v>21</v>
      </c>
      <c r="O39" s="135"/>
      <c r="P39" s="135"/>
      <c r="Q39" s="135">
        <v>34.549999999999997</v>
      </c>
      <c r="R39" s="135"/>
      <c r="S39" s="135"/>
      <c r="T39" s="135"/>
      <c r="U39" s="135"/>
      <c r="V39" s="133">
        <v>30.3</v>
      </c>
      <c r="W39" s="133">
        <v>3</v>
      </c>
      <c r="X39" s="133">
        <v>3</v>
      </c>
      <c r="Y39" s="133">
        <v>73</v>
      </c>
      <c r="Z39" s="129"/>
      <c r="AA39" s="135"/>
      <c r="AB39" s="135"/>
      <c r="AC39" s="129"/>
      <c r="AD39" s="135"/>
      <c r="AE39" s="135"/>
      <c r="AF39" s="135"/>
      <c r="AG39" s="135"/>
      <c r="AH39" s="847"/>
      <c r="AI39" s="847"/>
      <c r="AJ39" s="847"/>
      <c r="AK39" s="847"/>
      <c r="AL39" s="847"/>
      <c r="AM39" s="847"/>
      <c r="AN39" s="847"/>
      <c r="AO39" s="847"/>
      <c r="AP39" s="847"/>
      <c r="AQ39" s="847"/>
      <c r="AR39" s="847"/>
      <c r="AS39" s="847"/>
      <c r="AT39" s="847"/>
      <c r="AU39" s="847"/>
      <c r="AV39" s="847"/>
      <c r="AW39" s="847"/>
      <c r="AX39" s="847"/>
      <c r="AY39" s="847"/>
      <c r="AZ39" s="847"/>
      <c r="BA39" s="847"/>
      <c r="BB39" s="847"/>
      <c r="BC39" s="847"/>
      <c r="BD39" s="847"/>
      <c r="BE39" s="847"/>
      <c r="BF39" s="847"/>
      <c r="BG39" s="847"/>
      <c r="BH39" s="847"/>
      <c r="BI39" s="847"/>
      <c r="BJ39" s="847"/>
      <c r="BK39" s="847"/>
      <c r="BL39" s="847"/>
      <c r="BM39" s="847"/>
      <c r="BN39" s="847"/>
      <c r="BO39" s="847"/>
      <c r="BP39" s="847"/>
      <c r="BQ39" s="847"/>
      <c r="BR39" s="847"/>
      <c r="BS39" s="847"/>
      <c r="BT39" s="847"/>
      <c r="BU39" s="847"/>
      <c r="BV39" s="847"/>
      <c r="BW39" s="847"/>
      <c r="BX39" s="847"/>
      <c r="BY39" s="847"/>
      <c r="BZ39" s="847"/>
      <c r="CA39" s="847"/>
      <c r="CB39" s="847"/>
      <c r="CC39" s="847"/>
      <c r="CD39" s="847"/>
      <c r="CE39" s="847"/>
      <c r="CF39" s="847"/>
      <c r="CG39" s="847"/>
      <c r="CH39" s="847"/>
      <c r="CI39" s="847"/>
      <c r="CJ39" s="847"/>
      <c r="CK39" s="847"/>
      <c r="CL39" s="847"/>
      <c r="CM39" s="847"/>
      <c r="CN39" s="847"/>
      <c r="CO39" s="847"/>
      <c r="CP39" s="847"/>
      <c r="CQ39" s="847"/>
      <c r="CR39" s="847"/>
      <c r="CS39" s="847"/>
      <c r="CT39" s="847"/>
      <c r="CU39" s="847"/>
      <c r="CV39" s="847"/>
      <c r="CW39" s="847"/>
      <c r="CX39" s="847"/>
      <c r="CY39" s="847"/>
      <c r="CZ39" s="847"/>
      <c r="DA39" s="847"/>
      <c r="DB39" s="847"/>
      <c r="DC39" s="847"/>
      <c r="DD39" s="847"/>
      <c r="DE39" s="847"/>
      <c r="DF39" s="847"/>
      <c r="DG39" s="847"/>
    </row>
    <row r="40" spans="1:111" s="27" customFormat="1" ht="12.75" customHeight="1">
      <c r="A40" s="129">
        <v>11</v>
      </c>
      <c r="B40" s="128" t="s">
        <v>7</v>
      </c>
      <c r="C40" s="129"/>
      <c r="D40" s="130"/>
      <c r="E40" s="129">
        <v>4</v>
      </c>
      <c r="F40" s="131">
        <v>0</v>
      </c>
      <c r="G40" s="131">
        <v>0</v>
      </c>
      <c r="H40" s="129"/>
      <c r="I40" s="131">
        <v>9</v>
      </c>
      <c r="J40" s="129">
        <v>10</v>
      </c>
      <c r="K40" s="129"/>
      <c r="L40" s="129"/>
      <c r="M40" s="129"/>
      <c r="N40" s="131">
        <v>8</v>
      </c>
      <c r="O40" s="129"/>
      <c r="P40" s="129"/>
      <c r="Q40" s="129">
        <v>6</v>
      </c>
      <c r="R40" s="129"/>
      <c r="S40" s="129">
        <v>0</v>
      </c>
      <c r="T40" s="129"/>
      <c r="U40" s="129"/>
      <c r="V40" s="138">
        <v>0</v>
      </c>
      <c r="W40" s="129">
        <v>0</v>
      </c>
      <c r="X40" s="129">
        <v>1</v>
      </c>
      <c r="Y40" s="129">
        <v>0</v>
      </c>
      <c r="Z40" s="129"/>
      <c r="AA40" s="129"/>
      <c r="AB40" s="129"/>
      <c r="AC40" s="129"/>
      <c r="AD40" s="129"/>
      <c r="AE40" s="129"/>
      <c r="AF40" s="129">
        <f>SUM(C40:AE40)</f>
        <v>38</v>
      </c>
      <c r="AG40" s="129">
        <v>38</v>
      </c>
      <c r="AH40" s="847"/>
      <c r="AI40" s="847"/>
      <c r="AJ40" s="847"/>
      <c r="AK40" s="847"/>
      <c r="AL40" s="847"/>
      <c r="AM40" s="847"/>
      <c r="AN40" s="847"/>
      <c r="AO40" s="847"/>
      <c r="AP40" s="847"/>
      <c r="AQ40" s="847"/>
      <c r="AR40" s="847"/>
      <c r="AS40" s="847"/>
      <c r="AT40" s="847"/>
      <c r="AU40" s="847"/>
      <c r="AV40" s="847"/>
      <c r="AW40" s="847"/>
      <c r="AX40" s="847"/>
      <c r="AY40" s="847"/>
      <c r="AZ40" s="847"/>
      <c r="BA40" s="847"/>
      <c r="BB40" s="847"/>
      <c r="BC40" s="847"/>
      <c r="BD40" s="847"/>
      <c r="BE40" s="847"/>
      <c r="BF40" s="847"/>
      <c r="BG40" s="847"/>
      <c r="BH40" s="847"/>
      <c r="BI40" s="847"/>
      <c r="BJ40" s="847"/>
      <c r="BK40" s="847"/>
      <c r="BL40" s="847"/>
      <c r="BM40" s="847"/>
      <c r="BN40" s="847"/>
      <c r="BO40" s="847"/>
      <c r="BP40" s="847"/>
      <c r="BQ40" s="847"/>
      <c r="BR40" s="847"/>
      <c r="BS40" s="847"/>
      <c r="BT40" s="847"/>
      <c r="BU40" s="847"/>
      <c r="BV40" s="847"/>
      <c r="BW40" s="847"/>
      <c r="BX40" s="847"/>
      <c r="BY40" s="847"/>
      <c r="BZ40" s="847"/>
      <c r="CA40" s="847"/>
      <c r="CB40" s="847"/>
      <c r="CC40" s="847"/>
      <c r="CD40" s="847"/>
      <c r="CE40" s="847"/>
      <c r="CF40" s="847"/>
      <c r="CG40" s="847"/>
      <c r="CH40" s="847"/>
      <c r="CI40" s="847"/>
      <c r="CJ40" s="847"/>
      <c r="CK40" s="847"/>
      <c r="CL40" s="847"/>
      <c r="CM40" s="847"/>
      <c r="CN40" s="847"/>
      <c r="CO40" s="847"/>
      <c r="CP40" s="847"/>
      <c r="CQ40" s="847"/>
      <c r="CR40" s="847"/>
      <c r="CS40" s="847"/>
      <c r="CT40" s="847"/>
      <c r="CU40" s="847"/>
      <c r="CV40" s="847"/>
      <c r="CW40" s="847"/>
      <c r="CX40" s="847"/>
      <c r="CY40" s="847"/>
      <c r="CZ40" s="847"/>
      <c r="DA40" s="847"/>
      <c r="DB40" s="847"/>
      <c r="DC40" s="847"/>
      <c r="DD40" s="847"/>
      <c r="DE40" s="847"/>
      <c r="DF40" s="847"/>
      <c r="DG40" s="847"/>
    </row>
    <row r="41" spans="1:111" s="3" customFormat="1" hidden="1">
      <c r="A41" s="129">
        <v>17</v>
      </c>
      <c r="B41" s="128" t="s">
        <v>18</v>
      </c>
      <c r="C41" s="134">
        <v>15</v>
      </c>
      <c r="D41" s="135"/>
      <c r="E41" s="131">
        <v>0</v>
      </c>
      <c r="F41" s="131">
        <v>0</v>
      </c>
      <c r="G41" s="131">
        <v>3</v>
      </c>
      <c r="H41" s="135"/>
      <c r="I41" s="131">
        <v>0</v>
      </c>
      <c r="J41" s="130">
        <v>0</v>
      </c>
      <c r="K41" s="130"/>
      <c r="L41" s="129"/>
      <c r="M41" s="129"/>
      <c r="N41" s="131">
        <v>10</v>
      </c>
      <c r="O41" s="135"/>
      <c r="P41" s="135"/>
      <c r="Q41" s="135">
        <v>0.11</v>
      </c>
      <c r="R41" s="135"/>
      <c r="S41" s="135"/>
      <c r="T41" s="129"/>
      <c r="U41" s="129"/>
      <c r="V41" s="133"/>
      <c r="W41" s="133"/>
      <c r="X41" s="133"/>
      <c r="Y41" s="133"/>
      <c r="Z41" s="129"/>
      <c r="AA41" s="129"/>
      <c r="AB41" s="129"/>
      <c r="AC41" s="129"/>
      <c r="AD41" s="129"/>
      <c r="AE41" s="129"/>
      <c r="AF41" s="129"/>
      <c r="AG41" s="129"/>
      <c r="AH41" s="847"/>
      <c r="AI41" s="847"/>
      <c r="AJ41" s="847"/>
      <c r="AK41" s="847"/>
      <c r="AL41" s="847"/>
      <c r="AM41" s="847"/>
      <c r="AN41" s="847"/>
      <c r="AO41" s="847"/>
      <c r="AP41" s="847"/>
      <c r="AQ41" s="847"/>
      <c r="AR41" s="847"/>
      <c r="AS41" s="847"/>
      <c r="AT41" s="847"/>
      <c r="AU41" s="847"/>
      <c r="AV41" s="847"/>
      <c r="AW41" s="847"/>
      <c r="AX41" s="847"/>
      <c r="AY41" s="847"/>
      <c r="AZ41" s="847"/>
      <c r="BA41" s="847"/>
      <c r="BB41" s="847"/>
      <c r="BC41" s="847"/>
      <c r="BD41" s="847"/>
      <c r="BE41" s="847"/>
      <c r="BF41" s="847"/>
      <c r="BG41" s="847"/>
      <c r="BH41" s="847"/>
      <c r="BI41" s="847"/>
      <c r="BJ41" s="847"/>
      <c r="BK41" s="847"/>
      <c r="BL41" s="847"/>
      <c r="BM41" s="847"/>
      <c r="BN41" s="847"/>
      <c r="BO41" s="847"/>
      <c r="BP41" s="847"/>
      <c r="BQ41" s="847"/>
      <c r="BR41" s="847"/>
      <c r="BS41" s="847"/>
      <c r="BT41" s="847"/>
      <c r="BU41" s="847"/>
      <c r="BV41" s="847"/>
      <c r="BW41" s="847"/>
      <c r="BX41" s="847"/>
      <c r="BY41" s="847"/>
      <c r="BZ41" s="847"/>
      <c r="CA41" s="847"/>
      <c r="CB41" s="847"/>
      <c r="CC41" s="847"/>
      <c r="CD41" s="847"/>
      <c r="CE41" s="847"/>
      <c r="CF41" s="847"/>
      <c r="CG41" s="847"/>
      <c r="CH41" s="847"/>
      <c r="CI41" s="847"/>
      <c r="CJ41" s="847"/>
      <c r="CK41" s="847"/>
      <c r="CL41" s="847"/>
      <c r="CM41" s="847"/>
      <c r="CN41" s="847"/>
      <c r="CO41" s="847"/>
      <c r="CP41" s="847"/>
      <c r="CQ41" s="847"/>
      <c r="CR41" s="847"/>
      <c r="CS41" s="847"/>
      <c r="CT41" s="847"/>
      <c r="CU41" s="847"/>
      <c r="CV41" s="847"/>
      <c r="CW41" s="847"/>
      <c r="CX41" s="847"/>
      <c r="CY41" s="847"/>
      <c r="CZ41" s="847"/>
      <c r="DA41" s="847"/>
      <c r="DB41" s="847"/>
      <c r="DC41" s="847"/>
      <c r="DD41" s="847"/>
      <c r="DE41" s="847"/>
      <c r="DF41" s="847"/>
      <c r="DG41" s="847"/>
    </row>
    <row r="42" spans="1:111" s="31" customFormat="1" ht="12.75" customHeight="1">
      <c r="A42" s="129">
        <v>12</v>
      </c>
      <c r="B42" s="128" t="s">
        <v>57</v>
      </c>
      <c r="C42" s="129"/>
      <c r="D42" s="129"/>
      <c r="E42" s="131">
        <v>10</v>
      </c>
      <c r="F42" s="131">
        <v>0</v>
      </c>
      <c r="G42" s="131">
        <v>6</v>
      </c>
      <c r="H42" s="129"/>
      <c r="I42" s="131">
        <v>8</v>
      </c>
      <c r="J42" s="130">
        <v>10</v>
      </c>
      <c r="K42" s="130"/>
      <c r="L42" s="129"/>
      <c r="M42" s="129"/>
      <c r="N42" s="131"/>
      <c r="O42" s="129"/>
      <c r="P42" s="129"/>
      <c r="Q42" s="129"/>
      <c r="R42" s="129"/>
      <c r="S42" s="129"/>
      <c r="T42" s="129"/>
      <c r="U42" s="129"/>
      <c r="V42" s="138"/>
      <c r="W42" s="129"/>
      <c r="X42" s="129"/>
      <c r="Y42" s="129"/>
      <c r="Z42" s="129"/>
      <c r="AA42" s="129"/>
      <c r="AB42" s="129"/>
      <c r="AC42" s="129"/>
      <c r="AD42" s="129"/>
      <c r="AE42" s="129"/>
      <c r="AF42" s="129">
        <f>SUM(C42:AE42)</f>
        <v>34</v>
      </c>
      <c r="AG42" s="129">
        <f>AF42-1</f>
        <v>33</v>
      </c>
      <c r="AH42" s="847"/>
      <c r="AI42" s="847"/>
      <c r="AJ42" s="847"/>
      <c r="AK42" s="847"/>
      <c r="AL42" s="847"/>
      <c r="AM42" s="847"/>
      <c r="AN42" s="847"/>
      <c r="AO42" s="847"/>
      <c r="AP42" s="847"/>
      <c r="AQ42" s="847"/>
      <c r="AR42" s="847"/>
      <c r="AS42" s="847"/>
      <c r="AT42" s="847"/>
      <c r="AU42" s="847"/>
      <c r="AV42" s="847"/>
      <c r="AW42" s="847"/>
      <c r="AX42" s="847"/>
      <c r="AY42" s="847"/>
      <c r="AZ42" s="847"/>
      <c r="BA42" s="847"/>
      <c r="BB42" s="847"/>
      <c r="BC42" s="847"/>
      <c r="BD42" s="847"/>
      <c r="BE42" s="847"/>
      <c r="BF42" s="847"/>
      <c r="BG42" s="847"/>
      <c r="BH42" s="847"/>
      <c r="BI42" s="847"/>
      <c r="BJ42" s="847"/>
      <c r="BK42" s="847"/>
      <c r="BL42" s="847"/>
      <c r="BM42" s="847"/>
      <c r="BN42" s="847"/>
      <c r="BO42" s="847"/>
      <c r="BP42" s="847"/>
      <c r="BQ42" s="847"/>
      <c r="BR42" s="847"/>
      <c r="BS42" s="847"/>
      <c r="BT42" s="847"/>
      <c r="BU42" s="847"/>
      <c r="BV42" s="847"/>
      <c r="BW42" s="847"/>
      <c r="BX42" s="847"/>
      <c r="BY42" s="847"/>
      <c r="BZ42" s="847"/>
      <c r="CA42" s="847"/>
      <c r="CB42" s="847"/>
      <c r="CC42" s="847"/>
      <c r="CD42" s="847"/>
      <c r="CE42" s="847"/>
      <c r="CF42" s="847"/>
      <c r="CG42" s="847"/>
      <c r="CH42" s="847"/>
      <c r="CI42" s="847"/>
      <c r="CJ42" s="847"/>
      <c r="CK42" s="847"/>
      <c r="CL42" s="847"/>
      <c r="CM42" s="847"/>
      <c r="CN42" s="847"/>
      <c r="CO42" s="847"/>
      <c r="CP42" s="847"/>
      <c r="CQ42" s="847"/>
      <c r="CR42" s="847"/>
      <c r="CS42" s="847"/>
      <c r="CT42" s="847"/>
      <c r="CU42" s="847"/>
      <c r="CV42" s="847"/>
      <c r="CW42" s="847"/>
      <c r="CX42" s="847"/>
      <c r="CY42" s="847"/>
      <c r="CZ42" s="847"/>
      <c r="DA42" s="847"/>
      <c r="DB42" s="847"/>
      <c r="DC42" s="847"/>
      <c r="DD42" s="847"/>
      <c r="DE42" s="847"/>
      <c r="DF42" s="847"/>
      <c r="DG42" s="847"/>
    </row>
    <row r="43" spans="1:111" hidden="1">
      <c r="A43" s="129">
        <v>18</v>
      </c>
      <c r="B43" s="128" t="s">
        <v>61</v>
      </c>
      <c r="C43" s="134">
        <v>5</v>
      </c>
      <c r="D43" s="129"/>
      <c r="E43" s="131">
        <v>0</v>
      </c>
      <c r="F43" s="131"/>
      <c r="G43" s="131"/>
      <c r="H43" s="129"/>
      <c r="I43" s="131"/>
      <c r="J43" s="130"/>
      <c r="K43" s="130"/>
      <c r="L43" s="129"/>
      <c r="M43" s="129"/>
      <c r="N43" s="131">
        <v>5</v>
      </c>
      <c r="O43" s="129"/>
      <c r="P43" s="129"/>
      <c r="Q43" s="129">
        <v>0</v>
      </c>
      <c r="R43" s="129"/>
      <c r="S43" s="129"/>
      <c r="T43" s="129"/>
      <c r="U43" s="129"/>
      <c r="V43" s="133"/>
      <c r="W43" s="133"/>
      <c r="X43" s="133"/>
      <c r="Y43" s="133"/>
      <c r="Z43" s="129"/>
      <c r="AA43" s="129"/>
      <c r="AB43" s="129"/>
      <c r="AC43" s="129"/>
      <c r="AD43" s="129"/>
      <c r="AE43" s="129"/>
      <c r="AF43" s="129"/>
      <c r="AG43" s="129"/>
      <c r="AH43" s="847"/>
      <c r="AI43" s="847"/>
      <c r="AJ43" s="847"/>
      <c r="AK43" s="847"/>
      <c r="AL43" s="847"/>
      <c r="AM43" s="847"/>
      <c r="AN43" s="847"/>
      <c r="AO43" s="847"/>
      <c r="AP43" s="847"/>
      <c r="AQ43" s="847"/>
      <c r="AR43" s="847"/>
      <c r="AS43" s="847"/>
      <c r="AT43" s="847"/>
      <c r="AU43" s="847"/>
      <c r="AV43" s="847"/>
      <c r="AW43" s="847"/>
      <c r="AX43" s="847"/>
      <c r="AY43" s="847"/>
      <c r="AZ43" s="847"/>
      <c r="BA43" s="847"/>
      <c r="BB43" s="847"/>
      <c r="BC43" s="847"/>
      <c r="BD43" s="847"/>
      <c r="BE43" s="847"/>
      <c r="BF43" s="847"/>
      <c r="BG43" s="847"/>
      <c r="BH43" s="847"/>
      <c r="BI43" s="847"/>
      <c r="BJ43" s="847"/>
      <c r="BK43" s="847"/>
      <c r="BL43" s="847"/>
      <c r="BM43" s="847"/>
      <c r="BN43" s="847"/>
      <c r="BO43" s="847"/>
      <c r="BP43" s="847"/>
      <c r="BQ43" s="847"/>
      <c r="BR43" s="847"/>
      <c r="BS43" s="847"/>
      <c r="BT43" s="847"/>
      <c r="BU43" s="847"/>
      <c r="BV43" s="847"/>
      <c r="BW43" s="847"/>
      <c r="BX43" s="847"/>
      <c r="BY43" s="847"/>
      <c r="BZ43" s="847"/>
      <c r="CA43" s="847"/>
      <c r="CB43" s="847"/>
      <c r="CC43" s="847"/>
      <c r="CD43" s="847"/>
      <c r="CE43" s="847"/>
      <c r="CF43" s="847"/>
      <c r="CG43" s="847"/>
      <c r="CH43" s="847"/>
      <c r="CI43" s="847"/>
      <c r="CJ43" s="847"/>
      <c r="CK43" s="847"/>
      <c r="CL43" s="847"/>
      <c r="CM43" s="847"/>
      <c r="CN43" s="847"/>
      <c r="CO43" s="847"/>
      <c r="CP43" s="847"/>
      <c r="CQ43" s="847"/>
      <c r="CR43" s="847"/>
      <c r="CS43" s="847"/>
      <c r="CT43" s="847"/>
      <c r="CU43" s="847"/>
      <c r="CV43" s="847"/>
      <c r="CW43" s="847"/>
      <c r="CX43" s="847"/>
      <c r="CY43" s="847"/>
      <c r="CZ43" s="847"/>
      <c r="DA43" s="847"/>
      <c r="DB43" s="847"/>
      <c r="DC43" s="847"/>
      <c r="DD43" s="847"/>
      <c r="DE43" s="847"/>
      <c r="DF43" s="847"/>
      <c r="DG43" s="847"/>
    </row>
    <row r="44" spans="1:111" s="27" customFormat="1" ht="12.6" hidden="1" customHeight="1">
      <c r="A44" s="129"/>
      <c r="B44" s="128"/>
      <c r="C44" s="134"/>
      <c r="D44" s="129"/>
      <c r="E44" s="131">
        <v>10</v>
      </c>
      <c r="F44" s="131"/>
      <c r="G44" s="131"/>
      <c r="H44" s="129"/>
      <c r="I44" s="131"/>
      <c r="J44" s="130"/>
      <c r="K44" s="130"/>
      <c r="L44" s="129"/>
      <c r="M44" s="129"/>
      <c r="N44" s="131"/>
      <c r="O44" s="129"/>
      <c r="P44" s="129"/>
      <c r="Q44" s="129"/>
      <c r="R44" s="129"/>
      <c r="S44" s="129"/>
      <c r="T44" s="129"/>
      <c r="U44" s="129"/>
      <c r="V44" s="131"/>
      <c r="W44" s="131"/>
      <c r="X44" s="131"/>
      <c r="Y44" s="131"/>
      <c r="Z44" s="129"/>
      <c r="AA44" s="129"/>
      <c r="AB44" s="129"/>
      <c r="AC44" s="129"/>
      <c r="AD44" s="129"/>
      <c r="AE44" s="129"/>
      <c r="AF44" s="129">
        <f>SUM(C44:AE44)</f>
        <v>10</v>
      </c>
      <c r="AG44" s="129"/>
      <c r="AH44" s="847"/>
      <c r="AI44" s="847"/>
      <c r="AJ44" s="847"/>
      <c r="AK44" s="847"/>
      <c r="AL44" s="847"/>
      <c r="AM44" s="847"/>
      <c r="AN44" s="847"/>
      <c r="AO44" s="847"/>
      <c r="AP44" s="847"/>
      <c r="AQ44" s="847"/>
      <c r="AR44" s="847"/>
      <c r="AS44" s="847"/>
      <c r="AT44" s="847"/>
      <c r="AU44" s="847"/>
      <c r="AV44" s="847"/>
      <c r="AW44" s="847"/>
      <c r="AX44" s="847"/>
      <c r="AY44" s="847"/>
      <c r="AZ44" s="847"/>
      <c r="BA44" s="847"/>
      <c r="BB44" s="847"/>
      <c r="BC44" s="847"/>
      <c r="BD44" s="847"/>
      <c r="BE44" s="847"/>
      <c r="BF44" s="847"/>
      <c r="BG44" s="847"/>
      <c r="BH44" s="847"/>
      <c r="BI44" s="847"/>
      <c r="BJ44" s="847"/>
      <c r="BK44" s="847"/>
      <c r="BL44" s="847"/>
      <c r="BM44" s="847"/>
      <c r="BN44" s="847"/>
      <c r="BO44" s="847"/>
      <c r="BP44" s="847"/>
      <c r="BQ44" s="847"/>
      <c r="BR44" s="847"/>
      <c r="BS44" s="847"/>
      <c r="BT44" s="847"/>
      <c r="BU44" s="847"/>
      <c r="BV44" s="847"/>
      <c r="BW44" s="847"/>
      <c r="BX44" s="847"/>
      <c r="BY44" s="847"/>
      <c r="BZ44" s="847"/>
      <c r="CA44" s="847"/>
      <c r="CB44" s="847"/>
      <c r="CC44" s="847"/>
      <c r="CD44" s="847"/>
      <c r="CE44" s="847"/>
      <c r="CF44" s="847"/>
      <c r="CG44" s="847"/>
      <c r="CH44" s="847"/>
      <c r="CI44" s="847"/>
      <c r="CJ44" s="847"/>
      <c r="CK44" s="847"/>
      <c r="CL44" s="847"/>
      <c r="CM44" s="847"/>
      <c r="CN44" s="847"/>
      <c r="CO44" s="847"/>
      <c r="CP44" s="847"/>
      <c r="CQ44" s="847"/>
      <c r="CR44" s="847"/>
      <c r="CS44" s="847"/>
      <c r="CT44" s="847"/>
      <c r="CU44" s="847"/>
      <c r="CV44" s="847"/>
      <c r="CW44" s="847"/>
      <c r="CX44" s="847"/>
      <c r="CY44" s="847"/>
      <c r="CZ44" s="847"/>
      <c r="DA44" s="847"/>
      <c r="DB44" s="847"/>
      <c r="DC44" s="847"/>
      <c r="DD44" s="847"/>
      <c r="DE44" s="847"/>
      <c r="DF44" s="847"/>
      <c r="DG44" s="847"/>
    </row>
    <row r="45" spans="1:111" hidden="1">
      <c r="A45" s="129">
        <v>19</v>
      </c>
      <c r="B45" s="128" t="s">
        <v>62</v>
      </c>
      <c r="C45" s="134">
        <v>8</v>
      </c>
      <c r="D45" s="135"/>
      <c r="E45" s="131">
        <v>1</v>
      </c>
      <c r="F45" s="131">
        <v>0</v>
      </c>
      <c r="G45" s="131">
        <v>0</v>
      </c>
      <c r="H45" s="135"/>
      <c r="I45" s="131">
        <v>0</v>
      </c>
      <c r="J45" s="130">
        <v>0</v>
      </c>
      <c r="K45" s="130"/>
      <c r="L45" s="135"/>
      <c r="M45" s="135"/>
      <c r="N45" s="131">
        <v>0</v>
      </c>
      <c r="O45" s="135"/>
      <c r="P45" s="135"/>
      <c r="Q45" s="135">
        <v>0</v>
      </c>
      <c r="R45" s="135"/>
      <c r="S45" s="135"/>
      <c r="T45" s="135"/>
      <c r="U45" s="135"/>
      <c r="V45" s="133">
        <v>100</v>
      </c>
      <c r="W45" s="133">
        <v>100</v>
      </c>
      <c r="X45" s="133">
        <v>100</v>
      </c>
      <c r="Y45" s="133">
        <v>100</v>
      </c>
      <c r="Z45" s="129"/>
      <c r="AA45" s="135"/>
      <c r="AB45" s="135"/>
      <c r="AC45" s="129"/>
      <c r="AD45" s="135"/>
      <c r="AE45" s="135"/>
      <c r="AF45" s="135"/>
      <c r="AG45" s="135"/>
      <c r="AH45" s="847"/>
      <c r="AI45" s="847"/>
      <c r="AJ45" s="847"/>
      <c r="AK45" s="847"/>
      <c r="AL45" s="847"/>
      <c r="AM45" s="847"/>
      <c r="AN45" s="847"/>
      <c r="AO45" s="847"/>
      <c r="AP45" s="847"/>
      <c r="AQ45" s="847"/>
      <c r="AR45" s="847"/>
      <c r="AS45" s="847"/>
      <c r="AT45" s="847"/>
      <c r="AU45" s="847"/>
      <c r="AV45" s="847"/>
      <c r="AW45" s="847"/>
      <c r="AX45" s="847"/>
      <c r="AY45" s="847"/>
      <c r="AZ45" s="847"/>
      <c r="BA45" s="847"/>
      <c r="BB45" s="847"/>
      <c r="BC45" s="847"/>
      <c r="BD45" s="847"/>
      <c r="BE45" s="847"/>
      <c r="BF45" s="847"/>
      <c r="BG45" s="847"/>
      <c r="BH45" s="847"/>
      <c r="BI45" s="847"/>
      <c r="BJ45" s="847"/>
      <c r="BK45" s="847"/>
      <c r="BL45" s="847"/>
      <c r="BM45" s="847"/>
      <c r="BN45" s="847"/>
      <c r="BO45" s="847"/>
      <c r="BP45" s="847"/>
      <c r="BQ45" s="847"/>
      <c r="BR45" s="847"/>
      <c r="BS45" s="847"/>
      <c r="BT45" s="847"/>
      <c r="BU45" s="847"/>
      <c r="BV45" s="847"/>
      <c r="BW45" s="847"/>
      <c r="BX45" s="847"/>
      <c r="BY45" s="847"/>
      <c r="BZ45" s="847"/>
      <c r="CA45" s="847"/>
      <c r="CB45" s="847"/>
      <c r="CC45" s="847"/>
      <c r="CD45" s="847"/>
      <c r="CE45" s="847"/>
      <c r="CF45" s="847"/>
      <c r="CG45" s="847"/>
      <c r="CH45" s="847"/>
      <c r="CI45" s="847"/>
      <c r="CJ45" s="847"/>
      <c r="CK45" s="847"/>
      <c r="CL45" s="847"/>
      <c r="CM45" s="847"/>
      <c r="CN45" s="847"/>
      <c r="CO45" s="847"/>
      <c r="CP45" s="847"/>
      <c r="CQ45" s="847"/>
      <c r="CR45" s="847"/>
      <c r="CS45" s="847"/>
      <c r="CT45" s="847"/>
      <c r="CU45" s="847"/>
      <c r="CV45" s="847"/>
      <c r="CW45" s="847"/>
      <c r="CX45" s="847"/>
      <c r="CY45" s="847"/>
      <c r="CZ45" s="847"/>
      <c r="DA45" s="847"/>
      <c r="DB45" s="847"/>
      <c r="DC45" s="847"/>
      <c r="DD45" s="847"/>
      <c r="DE45" s="847"/>
      <c r="DF45" s="847"/>
      <c r="DG45" s="847"/>
    </row>
    <row r="46" spans="1:111" s="27" customFormat="1" ht="12.75" customHeight="1">
      <c r="A46" s="129">
        <v>13</v>
      </c>
      <c r="B46" s="128" t="s">
        <v>12</v>
      </c>
      <c r="C46" s="134"/>
      <c r="D46" s="135"/>
      <c r="E46" s="131">
        <v>7</v>
      </c>
      <c r="F46" s="131">
        <v>0</v>
      </c>
      <c r="G46" s="131">
        <v>0</v>
      </c>
      <c r="H46" s="135"/>
      <c r="I46" s="131">
        <v>2</v>
      </c>
      <c r="J46" s="130">
        <v>10</v>
      </c>
      <c r="K46" s="130"/>
      <c r="L46" s="135"/>
      <c r="M46" s="135"/>
      <c r="N46" s="131">
        <v>6</v>
      </c>
      <c r="O46" s="135"/>
      <c r="P46" s="135"/>
      <c r="Q46" s="135">
        <v>7</v>
      </c>
      <c r="R46" s="135"/>
      <c r="S46" s="135"/>
      <c r="T46" s="129"/>
      <c r="U46" s="129"/>
      <c r="V46" s="131"/>
      <c r="W46" s="131"/>
      <c r="X46" s="131"/>
      <c r="Y46" s="131"/>
      <c r="Z46" s="129"/>
      <c r="AA46" s="129"/>
      <c r="AB46" s="129"/>
      <c r="AC46" s="129"/>
      <c r="AD46" s="129"/>
      <c r="AE46" s="129"/>
      <c r="AF46" s="129">
        <f>SUM(C46:AE46)</f>
        <v>32</v>
      </c>
      <c r="AG46" s="129">
        <f>AF46-0.7</f>
        <v>31.3</v>
      </c>
      <c r="AH46" s="847"/>
      <c r="AI46" s="847"/>
      <c r="AJ46" s="847"/>
      <c r="AK46" s="847"/>
      <c r="AL46" s="847"/>
      <c r="AM46" s="847"/>
      <c r="AN46" s="847"/>
      <c r="AO46" s="847"/>
      <c r="AP46" s="847"/>
      <c r="AQ46" s="847"/>
      <c r="AR46" s="847"/>
      <c r="AS46" s="847"/>
      <c r="AT46" s="847"/>
      <c r="AU46" s="847"/>
      <c r="AV46" s="847"/>
      <c r="AW46" s="847"/>
      <c r="AX46" s="847"/>
      <c r="AY46" s="847"/>
      <c r="AZ46" s="847"/>
      <c r="BA46" s="847"/>
      <c r="BB46" s="847"/>
      <c r="BC46" s="847"/>
      <c r="BD46" s="847"/>
      <c r="BE46" s="847"/>
      <c r="BF46" s="847"/>
      <c r="BG46" s="847"/>
      <c r="BH46" s="847"/>
      <c r="BI46" s="847"/>
      <c r="BJ46" s="847"/>
      <c r="BK46" s="847"/>
      <c r="BL46" s="847"/>
      <c r="BM46" s="847"/>
      <c r="BN46" s="847"/>
      <c r="BO46" s="847"/>
      <c r="BP46" s="847"/>
      <c r="BQ46" s="847"/>
      <c r="BR46" s="847"/>
      <c r="BS46" s="847"/>
      <c r="BT46" s="847"/>
      <c r="BU46" s="847"/>
      <c r="BV46" s="847"/>
      <c r="BW46" s="847"/>
      <c r="BX46" s="847"/>
      <c r="BY46" s="847"/>
      <c r="BZ46" s="847"/>
      <c r="CA46" s="847"/>
      <c r="CB46" s="847"/>
      <c r="CC46" s="847"/>
      <c r="CD46" s="847"/>
      <c r="CE46" s="847"/>
      <c r="CF46" s="847"/>
      <c r="CG46" s="847"/>
      <c r="CH46" s="847"/>
      <c r="CI46" s="847"/>
      <c r="CJ46" s="847"/>
      <c r="CK46" s="847"/>
      <c r="CL46" s="847"/>
      <c r="CM46" s="847"/>
      <c r="CN46" s="847"/>
      <c r="CO46" s="847"/>
      <c r="CP46" s="847"/>
      <c r="CQ46" s="847"/>
      <c r="CR46" s="847"/>
      <c r="CS46" s="847"/>
      <c r="CT46" s="847"/>
      <c r="CU46" s="847"/>
      <c r="CV46" s="847"/>
      <c r="CW46" s="847"/>
      <c r="CX46" s="847"/>
      <c r="CY46" s="847"/>
      <c r="CZ46" s="847"/>
      <c r="DA46" s="847"/>
      <c r="DB46" s="847"/>
      <c r="DC46" s="847"/>
      <c r="DD46" s="847"/>
      <c r="DE46" s="847"/>
      <c r="DF46" s="847"/>
      <c r="DG46" s="847"/>
    </row>
    <row r="47" spans="1:111" s="3" customFormat="1" hidden="1">
      <c r="A47" s="129">
        <v>20</v>
      </c>
      <c r="B47" s="128" t="s">
        <v>63</v>
      </c>
      <c r="C47" s="134">
        <v>107</v>
      </c>
      <c r="D47" s="135"/>
      <c r="E47" s="131">
        <v>5</v>
      </c>
      <c r="F47" s="131">
        <v>131</v>
      </c>
      <c r="G47" s="131">
        <v>47</v>
      </c>
      <c r="H47" s="135"/>
      <c r="I47" s="131">
        <v>9</v>
      </c>
      <c r="J47" s="130">
        <v>0</v>
      </c>
      <c r="K47" s="130"/>
      <c r="L47" s="135"/>
      <c r="M47" s="135"/>
      <c r="N47" s="131">
        <v>58</v>
      </c>
      <c r="O47" s="135"/>
      <c r="P47" s="135"/>
      <c r="Q47" s="135">
        <v>67.8</v>
      </c>
      <c r="R47" s="135"/>
      <c r="S47" s="135"/>
      <c r="T47" s="129"/>
      <c r="U47" s="129"/>
      <c r="V47" s="133"/>
      <c r="W47" s="133"/>
      <c r="X47" s="133"/>
      <c r="Y47" s="133"/>
      <c r="Z47" s="129"/>
      <c r="AA47" s="129"/>
      <c r="AB47" s="129"/>
      <c r="AC47" s="129"/>
      <c r="AD47" s="129"/>
      <c r="AE47" s="129"/>
      <c r="AF47" s="129"/>
      <c r="AG47" s="129"/>
      <c r="AH47" s="847"/>
      <c r="AI47" s="847"/>
      <c r="AJ47" s="847"/>
      <c r="AK47" s="847"/>
      <c r="AL47" s="847"/>
      <c r="AM47" s="847"/>
      <c r="AN47" s="847"/>
      <c r="AO47" s="847"/>
      <c r="AP47" s="847"/>
      <c r="AQ47" s="847"/>
      <c r="AR47" s="847"/>
      <c r="AS47" s="847"/>
      <c r="AT47" s="847"/>
      <c r="AU47" s="847"/>
      <c r="AV47" s="847"/>
      <c r="AW47" s="847"/>
      <c r="AX47" s="847"/>
      <c r="AY47" s="847"/>
      <c r="AZ47" s="847"/>
      <c r="BA47" s="847"/>
      <c r="BB47" s="847"/>
      <c r="BC47" s="847"/>
      <c r="BD47" s="847"/>
      <c r="BE47" s="847"/>
      <c r="BF47" s="847"/>
      <c r="BG47" s="847"/>
      <c r="BH47" s="847"/>
      <c r="BI47" s="847"/>
      <c r="BJ47" s="847"/>
      <c r="BK47" s="847"/>
      <c r="BL47" s="847"/>
      <c r="BM47" s="847"/>
      <c r="BN47" s="847"/>
      <c r="BO47" s="847"/>
      <c r="BP47" s="847"/>
      <c r="BQ47" s="847"/>
      <c r="BR47" s="847"/>
      <c r="BS47" s="847"/>
      <c r="BT47" s="847"/>
      <c r="BU47" s="847"/>
      <c r="BV47" s="847"/>
      <c r="BW47" s="847"/>
      <c r="BX47" s="847"/>
      <c r="BY47" s="847"/>
      <c r="BZ47" s="847"/>
      <c r="CA47" s="847"/>
      <c r="CB47" s="847"/>
      <c r="CC47" s="847"/>
      <c r="CD47" s="847"/>
      <c r="CE47" s="847"/>
      <c r="CF47" s="847"/>
      <c r="CG47" s="847"/>
      <c r="CH47" s="847"/>
      <c r="CI47" s="847"/>
      <c r="CJ47" s="847"/>
      <c r="CK47" s="847"/>
      <c r="CL47" s="847"/>
      <c r="CM47" s="847"/>
      <c r="CN47" s="847"/>
      <c r="CO47" s="847"/>
      <c r="CP47" s="847"/>
      <c r="CQ47" s="847"/>
      <c r="CR47" s="847"/>
      <c r="CS47" s="847"/>
      <c r="CT47" s="847"/>
      <c r="CU47" s="847"/>
      <c r="CV47" s="847"/>
      <c r="CW47" s="847"/>
      <c r="CX47" s="847"/>
      <c r="CY47" s="847"/>
      <c r="CZ47" s="847"/>
      <c r="DA47" s="847"/>
      <c r="DB47" s="847"/>
      <c r="DC47" s="847"/>
      <c r="DD47" s="847"/>
      <c r="DE47" s="847"/>
      <c r="DF47" s="847"/>
      <c r="DG47" s="847"/>
    </row>
    <row r="48" spans="1:111" s="31" customFormat="1" ht="12.75" customHeight="1">
      <c r="A48" s="129">
        <v>14</v>
      </c>
      <c r="B48" s="128" t="s">
        <v>63</v>
      </c>
      <c r="C48" s="134"/>
      <c r="D48" s="129"/>
      <c r="E48" s="131">
        <v>9</v>
      </c>
      <c r="F48" s="131">
        <v>0</v>
      </c>
      <c r="G48" s="131">
        <v>0</v>
      </c>
      <c r="H48" s="129"/>
      <c r="I48" s="131">
        <v>0</v>
      </c>
      <c r="J48" s="130">
        <v>10</v>
      </c>
      <c r="K48" s="130"/>
      <c r="L48" s="129"/>
      <c r="M48" s="129"/>
      <c r="N48" s="131">
        <v>9</v>
      </c>
      <c r="O48" s="129"/>
      <c r="P48" s="129"/>
      <c r="Q48" s="129">
        <v>0</v>
      </c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>
        <f>SUM(C48:AE48)</f>
        <v>28</v>
      </c>
      <c r="AG48" s="129">
        <v>29.1</v>
      </c>
      <c r="AH48" s="847"/>
      <c r="AI48" s="847"/>
      <c r="AJ48" s="847"/>
      <c r="AK48" s="847"/>
      <c r="AL48" s="847"/>
      <c r="AM48" s="847"/>
      <c r="AN48" s="847"/>
      <c r="AO48" s="847"/>
      <c r="AP48" s="847"/>
      <c r="AQ48" s="847"/>
      <c r="AR48" s="847"/>
      <c r="AS48" s="847"/>
      <c r="AT48" s="847"/>
      <c r="AU48" s="847"/>
      <c r="AV48" s="847"/>
      <c r="AW48" s="847"/>
      <c r="AX48" s="847"/>
      <c r="AY48" s="847"/>
      <c r="AZ48" s="847"/>
      <c r="BA48" s="847"/>
      <c r="BB48" s="847"/>
      <c r="BC48" s="847"/>
      <c r="BD48" s="847"/>
      <c r="BE48" s="847"/>
      <c r="BF48" s="847"/>
      <c r="BG48" s="847"/>
      <c r="BH48" s="847"/>
      <c r="BI48" s="847"/>
      <c r="BJ48" s="847"/>
      <c r="BK48" s="847"/>
      <c r="BL48" s="847"/>
      <c r="BM48" s="847"/>
      <c r="BN48" s="847"/>
      <c r="BO48" s="847"/>
      <c r="BP48" s="847"/>
      <c r="BQ48" s="847"/>
      <c r="BR48" s="847"/>
      <c r="BS48" s="847"/>
      <c r="BT48" s="847"/>
      <c r="BU48" s="847"/>
      <c r="BV48" s="847"/>
      <c r="BW48" s="847"/>
      <c r="BX48" s="847"/>
      <c r="BY48" s="847"/>
      <c r="BZ48" s="847"/>
      <c r="CA48" s="847"/>
      <c r="CB48" s="847"/>
      <c r="CC48" s="847"/>
      <c r="CD48" s="847"/>
      <c r="CE48" s="847"/>
      <c r="CF48" s="847"/>
      <c r="CG48" s="847"/>
      <c r="CH48" s="847"/>
      <c r="CI48" s="847"/>
      <c r="CJ48" s="847"/>
      <c r="CK48" s="847"/>
      <c r="CL48" s="847"/>
      <c r="CM48" s="847"/>
      <c r="CN48" s="847"/>
      <c r="CO48" s="847"/>
      <c r="CP48" s="847"/>
      <c r="CQ48" s="847"/>
      <c r="CR48" s="847"/>
      <c r="CS48" s="847"/>
      <c r="CT48" s="847"/>
      <c r="CU48" s="847"/>
      <c r="CV48" s="847"/>
      <c r="CW48" s="847"/>
      <c r="CX48" s="847"/>
      <c r="CY48" s="847"/>
      <c r="CZ48" s="847"/>
      <c r="DA48" s="847"/>
      <c r="DB48" s="847"/>
      <c r="DC48" s="847"/>
      <c r="DD48" s="847"/>
      <c r="DE48" s="847"/>
      <c r="DF48" s="847"/>
      <c r="DG48" s="847"/>
    </row>
    <row r="49" spans="1:111" s="4" customFormat="1" hidden="1">
      <c r="A49" s="129">
        <v>21</v>
      </c>
      <c r="B49" s="128" t="s">
        <v>12</v>
      </c>
      <c r="C49" s="134">
        <v>6</v>
      </c>
      <c r="D49" s="129"/>
      <c r="E49" s="131">
        <v>0</v>
      </c>
      <c r="F49" s="131"/>
      <c r="G49" s="131"/>
      <c r="H49" s="129"/>
      <c r="I49" s="131"/>
      <c r="J49" s="130"/>
      <c r="K49" s="130"/>
      <c r="L49" s="129"/>
      <c r="M49" s="129"/>
      <c r="N49" s="131">
        <v>2</v>
      </c>
      <c r="O49" s="129"/>
      <c r="P49" s="129"/>
      <c r="Q49" s="129">
        <v>51.01</v>
      </c>
      <c r="R49" s="129"/>
      <c r="S49" s="129"/>
      <c r="T49" s="129"/>
      <c r="U49" s="129"/>
      <c r="V49" s="133"/>
      <c r="W49" s="133"/>
      <c r="X49" s="133"/>
      <c r="Y49" s="133"/>
      <c r="Z49" s="129"/>
      <c r="AA49" s="129"/>
      <c r="AB49" s="129"/>
      <c r="AC49" s="129"/>
      <c r="AD49" s="129"/>
      <c r="AE49" s="129"/>
      <c r="AF49" s="129"/>
      <c r="AG49" s="129"/>
      <c r="AH49" s="847"/>
      <c r="AI49" s="847"/>
      <c r="AJ49" s="847"/>
      <c r="AK49" s="847"/>
      <c r="AL49" s="847"/>
      <c r="AM49" s="847"/>
      <c r="AN49" s="847"/>
      <c r="AO49" s="847"/>
      <c r="AP49" s="847"/>
      <c r="AQ49" s="847"/>
      <c r="AR49" s="847"/>
      <c r="AS49" s="847"/>
      <c r="AT49" s="847"/>
      <c r="AU49" s="847"/>
      <c r="AV49" s="847"/>
      <c r="AW49" s="847"/>
      <c r="AX49" s="847"/>
      <c r="AY49" s="847"/>
      <c r="AZ49" s="847"/>
      <c r="BA49" s="847"/>
      <c r="BB49" s="847"/>
      <c r="BC49" s="847"/>
      <c r="BD49" s="847"/>
      <c r="BE49" s="847"/>
      <c r="BF49" s="847"/>
      <c r="BG49" s="847"/>
      <c r="BH49" s="847"/>
      <c r="BI49" s="847"/>
      <c r="BJ49" s="847"/>
      <c r="BK49" s="847"/>
      <c r="BL49" s="847"/>
      <c r="BM49" s="847"/>
      <c r="BN49" s="847"/>
      <c r="BO49" s="847"/>
      <c r="BP49" s="847"/>
      <c r="BQ49" s="847"/>
      <c r="BR49" s="847"/>
      <c r="BS49" s="847"/>
      <c r="BT49" s="847"/>
      <c r="BU49" s="847"/>
      <c r="BV49" s="847"/>
      <c r="BW49" s="847"/>
      <c r="BX49" s="847"/>
      <c r="BY49" s="847"/>
      <c r="BZ49" s="847"/>
      <c r="CA49" s="847"/>
      <c r="CB49" s="847"/>
      <c r="CC49" s="847"/>
      <c r="CD49" s="847"/>
      <c r="CE49" s="847"/>
      <c r="CF49" s="847"/>
      <c r="CG49" s="847"/>
      <c r="CH49" s="847"/>
      <c r="CI49" s="847"/>
      <c r="CJ49" s="847"/>
      <c r="CK49" s="847"/>
      <c r="CL49" s="847"/>
      <c r="CM49" s="847"/>
      <c r="CN49" s="847"/>
      <c r="CO49" s="847"/>
      <c r="CP49" s="847"/>
      <c r="CQ49" s="847"/>
      <c r="CR49" s="847"/>
      <c r="CS49" s="847"/>
      <c r="CT49" s="847"/>
      <c r="CU49" s="847"/>
      <c r="CV49" s="847"/>
      <c r="CW49" s="847"/>
      <c r="CX49" s="847"/>
      <c r="CY49" s="847"/>
      <c r="CZ49" s="847"/>
      <c r="DA49" s="847"/>
      <c r="DB49" s="847"/>
      <c r="DC49" s="847"/>
      <c r="DD49" s="847"/>
      <c r="DE49" s="847"/>
      <c r="DF49" s="847"/>
      <c r="DG49" s="847"/>
    </row>
    <row r="50" spans="1:111" s="27" customFormat="1" ht="12.6" hidden="1" customHeight="1">
      <c r="A50" s="129"/>
      <c r="B50" s="128" t="s">
        <v>12</v>
      </c>
      <c r="C50" s="134"/>
      <c r="D50" s="129"/>
      <c r="E50" s="131">
        <v>10</v>
      </c>
      <c r="F50" s="131"/>
      <c r="G50" s="131"/>
      <c r="H50" s="129"/>
      <c r="I50" s="131"/>
      <c r="J50" s="130"/>
      <c r="K50" s="130"/>
      <c r="L50" s="129"/>
      <c r="M50" s="129"/>
      <c r="N50" s="131"/>
      <c r="O50" s="129"/>
      <c r="P50" s="129"/>
      <c r="Q50" s="129">
        <v>6</v>
      </c>
      <c r="R50" s="129"/>
      <c r="S50" s="129"/>
      <c r="T50" s="129"/>
      <c r="U50" s="129"/>
      <c r="V50" s="131"/>
      <c r="W50" s="131"/>
      <c r="X50" s="131"/>
      <c r="Y50" s="131"/>
      <c r="Z50" s="129"/>
      <c r="AA50" s="129"/>
      <c r="AB50" s="129"/>
      <c r="AC50" s="129"/>
      <c r="AD50" s="129"/>
      <c r="AE50" s="129"/>
      <c r="AF50" s="129">
        <f>SUM(C50:AE50)</f>
        <v>16</v>
      </c>
      <c r="AG50" s="129"/>
      <c r="AH50" s="847"/>
      <c r="AI50" s="847"/>
      <c r="AJ50" s="847"/>
      <c r="AK50" s="847"/>
      <c r="AL50" s="847"/>
      <c r="AM50" s="847"/>
      <c r="AN50" s="847"/>
      <c r="AO50" s="847"/>
      <c r="AP50" s="847"/>
      <c r="AQ50" s="847"/>
      <c r="AR50" s="847"/>
      <c r="AS50" s="847"/>
      <c r="AT50" s="847"/>
      <c r="AU50" s="847"/>
      <c r="AV50" s="847"/>
      <c r="AW50" s="847"/>
      <c r="AX50" s="847"/>
      <c r="AY50" s="847"/>
      <c r="AZ50" s="847"/>
      <c r="BA50" s="847"/>
      <c r="BB50" s="847"/>
      <c r="BC50" s="847"/>
      <c r="BD50" s="847"/>
      <c r="BE50" s="847"/>
      <c r="BF50" s="847"/>
      <c r="BG50" s="847"/>
      <c r="BH50" s="847"/>
      <c r="BI50" s="847"/>
      <c r="BJ50" s="847"/>
      <c r="BK50" s="847"/>
      <c r="BL50" s="847"/>
      <c r="BM50" s="847"/>
      <c r="BN50" s="847"/>
      <c r="BO50" s="847"/>
      <c r="BP50" s="847"/>
      <c r="BQ50" s="847"/>
      <c r="BR50" s="847"/>
      <c r="BS50" s="847"/>
      <c r="BT50" s="847"/>
      <c r="BU50" s="847"/>
      <c r="BV50" s="847"/>
      <c r="BW50" s="847"/>
      <c r="BX50" s="847"/>
      <c r="BY50" s="847"/>
      <c r="BZ50" s="847"/>
      <c r="CA50" s="847"/>
      <c r="CB50" s="847"/>
      <c r="CC50" s="847"/>
      <c r="CD50" s="847"/>
      <c r="CE50" s="847"/>
      <c r="CF50" s="847"/>
      <c r="CG50" s="847"/>
      <c r="CH50" s="847"/>
      <c r="CI50" s="847"/>
      <c r="CJ50" s="847"/>
      <c r="CK50" s="847"/>
      <c r="CL50" s="847"/>
      <c r="CM50" s="847"/>
      <c r="CN50" s="847"/>
      <c r="CO50" s="847"/>
      <c r="CP50" s="847"/>
      <c r="CQ50" s="847"/>
      <c r="CR50" s="847"/>
      <c r="CS50" s="847"/>
      <c r="CT50" s="847"/>
      <c r="CU50" s="847"/>
      <c r="CV50" s="847"/>
      <c r="CW50" s="847"/>
      <c r="CX50" s="847"/>
      <c r="CY50" s="847"/>
      <c r="CZ50" s="847"/>
      <c r="DA50" s="847"/>
      <c r="DB50" s="847"/>
      <c r="DC50" s="847"/>
      <c r="DD50" s="847"/>
      <c r="DE50" s="847"/>
      <c r="DF50" s="847"/>
      <c r="DG50" s="847"/>
    </row>
    <row r="51" spans="1:111" hidden="1">
      <c r="A51" s="129">
        <v>22</v>
      </c>
      <c r="B51" s="128" t="s">
        <v>12</v>
      </c>
      <c r="C51" s="134">
        <v>4</v>
      </c>
      <c r="D51" s="131"/>
      <c r="E51" s="131">
        <v>0</v>
      </c>
      <c r="F51" s="131"/>
      <c r="G51" s="131"/>
      <c r="H51" s="131"/>
      <c r="I51" s="131"/>
      <c r="J51" s="130"/>
      <c r="K51" s="130"/>
      <c r="L51" s="135"/>
      <c r="M51" s="135"/>
      <c r="N51" s="131">
        <v>0</v>
      </c>
      <c r="O51" s="135"/>
      <c r="P51" s="135"/>
      <c r="Q51" s="135">
        <v>100</v>
      </c>
      <c r="R51" s="135"/>
      <c r="S51" s="135"/>
      <c r="T51" s="129"/>
      <c r="U51" s="135"/>
      <c r="V51" s="133"/>
      <c r="W51" s="133"/>
      <c r="X51" s="133"/>
      <c r="Y51" s="133"/>
      <c r="Z51" s="129"/>
      <c r="AA51" s="135"/>
      <c r="AB51" s="135"/>
      <c r="AC51" s="129"/>
      <c r="AD51" s="135"/>
      <c r="AE51" s="135"/>
      <c r="AF51" s="135"/>
      <c r="AG51" s="135"/>
      <c r="AH51" s="847"/>
      <c r="AI51" s="847"/>
      <c r="AJ51" s="847"/>
      <c r="AK51" s="847"/>
      <c r="AL51" s="847"/>
      <c r="AM51" s="847"/>
      <c r="AN51" s="847"/>
      <c r="AO51" s="847"/>
      <c r="AP51" s="847"/>
      <c r="AQ51" s="847"/>
      <c r="AR51" s="847"/>
      <c r="AS51" s="847"/>
      <c r="AT51" s="847"/>
      <c r="AU51" s="847"/>
      <c r="AV51" s="847"/>
      <c r="AW51" s="847"/>
      <c r="AX51" s="847"/>
      <c r="AY51" s="847"/>
      <c r="AZ51" s="847"/>
      <c r="BA51" s="847"/>
      <c r="BB51" s="847"/>
      <c r="BC51" s="847"/>
      <c r="BD51" s="847"/>
      <c r="BE51" s="847"/>
      <c r="BF51" s="847"/>
      <c r="BG51" s="847"/>
      <c r="BH51" s="847"/>
      <c r="BI51" s="847"/>
      <c r="BJ51" s="847"/>
      <c r="BK51" s="847"/>
      <c r="BL51" s="847"/>
      <c r="BM51" s="847"/>
      <c r="BN51" s="847"/>
      <c r="BO51" s="847"/>
      <c r="BP51" s="847"/>
      <c r="BQ51" s="847"/>
      <c r="BR51" s="847"/>
      <c r="BS51" s="847"/>
      <c r="BT51" s="847"/>
      <c r="BU51" s="847"/>
      <c r="BV51" s="847"/>
      <c r="BW51" s="847"/>
      <c r="BX51" s="847"/>
      <c r="BY51" s="847"/>
      <c r="BZ51" s="847"/>
      <c r="CA51" s="847"/>
      <c r="CB51" s="847"/>
      <c r="CC51" s="847"/>
      <c r="CD51" s="847"/>
      <c r="CE51" s="847"/>
      <c r="CF51" s="847"/>
      <c r="CG51" s="847"/>
      <c r="CH51" s="847"/>
      <c r="CI51" s="847"/>
      <c r="CJ51" s="847"/>
      <c r="CK51" s="847"/>
      <c r="CL51" s="847"/>
      <c r="CM51" s="847"/>
      <c r="CN51" s="847"/>
      <c r="CO51" s="847"/>
      <c r="CP51" s="847"/>
      <c r="CQ51" s="847"/>
      <c r="CR51" s="847"/>
      <c r="CS51" s="847"/>
      <c r="CT51" s="847"/>
      <c r="CU51" s="847"/>
      <c r="CV51" s="847"/>
      <c r="CW51" s="847"/>
      <c r="CX51" s="847"/>
      <c r="CY51" s="847"/>
      <c r="CZ51" s="847"/>
      <c r="DA51" s="847"/>
      <c r="DB51" s="847"/>
      <c r="DC51" s="847"/>
      <c r="DD51" s="847"/>
      <c r="DE51" s="847"/>
      <c r="DF51" s="847"/>
      <c r="DG51" s="847"/>
    </row>
    <row r="52" spans="1:111" s="27" customFormat="1" hidden="1">
      <c r="A52" s="129"/>
      <c r="B52" s="128" t="s">
        <v>12</v>
      </c>
      <c r="C52" s="134"/>
      <c r="D52" s="131"/>
      <c r="E52" s="131">
        <v>10</v>
      </c>
      <c r="F52" s="131"/>
      <c r="G52" s="131"/>
      <c r="H52" s="131"/>
      <c r="I52" s="131"/>
      <c r="J52" s="130"/>
      <c r="K52" s="130"/>
      <c r="L52" s="135"/>
      <c r="M52" s="135"/>
      <c r="N52" s="131"/>
      <c r="O52" s="135"/>
      <c r="P52" s="135"/>
      <c r="Q52" s="135">
        <v>10</v>
      </c>
      <c r="R52" s="135"/>
      <c r="S52" s="135"/>
      <c r="T52" s="129"/>
      <c r="U52" s="135"/>
      <c r="V52" s="131"/>
      <c r="W52" s="131"/>
      <c r="X52" s="131"/>
      <c r="Y52" s="131"/>
      <c r="Z52" s="129"/>
      <c r="AA52" s="135"/>
      <c r="AB52" s="135"/>
      <c r="AC52" s="129"/>
      <c r="AD52" s="135"/>
      <c r="AE52" s="135"/>
      <c r="AF52" s="129">
        <f>SUM(C52:AE52)</f>
        <v>20</v>
      </c>
      <c r="AG52" s="129"/>
      <c r="AH52" s="847"/>
      <c r="AI52" s="847"/>
      <c r="AJ52" s="847"/>
      <c r="AK52" s="847"/>
      <c r="AL52" s="847"/>
      <c r="AM52" s="847"/>
      <c r="AN52" s="847"/>
      <c r="AO52" s="847"/>
      <c r="AP52" s="847"/>
      <c r="AQ52" s="847"/>
      <c r="AR52" s="847"/>
      <c r="AS52" s="847"/>
      <c r="AT52" s="847"/>
      <c r="AU52" s="847"/>
      <c r="AV52" s="847"/>
      <c r="AW52" s="847"/>
      <c r="AX52" s="847"/>
      <c r="AY52" s="847"/>
      <c r="AZ52" s="847"/>
      <c r="BA52" s="847"/>
      <c r="BB52" s="847"/>
      <c r="BC52" s="847"/>
      <c r="BD52" s="847"/>
      <c r="BE52" s="847"/>
      <c r="BF52" s="847"/>
      <c r="BG52" s="847"/>
      <c r="BH52" s="847"/>
      <c r="BI52" s="847"/>
      <c r="BJ52" s="847"/>
      <c r="BK52" s="847"/>
      <c r="BL52" s="847"/>
      <c r="BM52" s="847"/>
      <c r="BN52" s="847"/>
      <c r="BO52" s="847"/>
      <c r="BP52" s="847"/>
      <c r="BQ52" s="847"/>
      <c r="BR52" s="847"/>
      <c r="BS52" s="847"/>
      <c r="BT52" s="847"/>
      <c r="BU52" s="847"/>
      <c r="BV52" s="847"/>
      <c r="BW52" s="847"/>
      <c r="BX52" s="847"/>
      <c r="BY52" s="847"/>
      <c r="BZ52" s="847"/>
      <c r="CA52" s="847"/>
      <c r="CB52" s="847"/>
      <c r="CC52" s="847"/>
      <c r="CD52" s="847"/>
      <c r="CE52" s="847"/>
      <c r="CF52" s="847"/>
      <c r="CG52" s="847"/>
      <c r="CH52" s="847"/>
      <c r="CI52" s="847"/>
      <c r="CJ52" s="847"/>
      <c r="CK52" s="847"/>
      <c r="CL52" s="847"/>
      <c r="CM52" s="847"/>
      <c r="CN52" s="847"/>
      <c r="CO52" s="847"/>
      <c r="CP52" s="847"/>
      <c r="CQ52" s="847"/>
      <c r="CR52" s="847"/>
      <c r="CS52" s="847"/>
      <c r="CT52" s="847"/>
      <c r="CU52" s="847"/>
      <c r="CV52" s="847"/>
      <c r="CW52" s="847"/>
      <c r="CX52" s="847"/>
      <c r="CY52" s="847"/>
      <c r="CZ52" s="847"/>
      <c r="DA52" s="847"/>
      <c r="DB52" s="847"/>
      <c r="DC52" s="847"/>
      <c r="DD52" s="847"/>
      <c r="DE52" s="847"/>
      <c r="DF52" s="847"/>
      <c r="DG52" s="847"/>
    </row>
    <row r="53" spans="1:111" s="3" customFormat="1" hidden="1">
      <c r="A53" s="129">
        <v>23</v>
      </c>
      <c r="B53" s="128" t="s">
        <v>12</v>
      </c>
      <c r="C53" s="134">
        <v>1</v>
      </c>
      <c r="D53" s="135"/>
      <c r="E53" s="131"/>
      <c r="F53" s="131"/>
      <c r="G53" s="131"/>
      <c r="H53" s="135"/>
      <c r="I53" s="131"/>
      <c r="J53" s="130"/>
      <c r="K53" s="130"/>
      <c r="L53" s="129"/>
      <c r="M53" s="129"/>
      <c r="N53" s="131">
        <v>0</v>
      </c>
      <c r="O53" s="135"/>
      <c r="P53" s="135"/>
      <c r="Q53" s="135">
        <v>100</v>
      </c>
      <c r="R53" s="135"/>
      <c r="S53" s="135"/>
      <c r="T53" s="129"/>
      <c r="U53" s="129"/>
      <c r="V53" s="133"/>
      <c r="W53" s="133"/>
      <c r="X53" s="133"/>
      <c r="Y53" s="133"/>
      <c r="Z53" s="129"/>
      <c r="AA53" s="129"/>
      <c r="AB53" s="129"/>
      <c r="AC53" s="129"/>
      <c r="AD53" s="129"/>
      <c r="AE53" s="129"/>
      <c r="AF53" s="129"/>
      <c r="AG53" s="129"/>
      <c r="AH53" s="847"/>
      <c r="AI53" s="847"/>
      <c r="AJ53" s="847"/>
      <c r="AK53" s="847"/>
      <c r="AL53" s="847"/>
      <c r="AM53" s="847"/>
      <c r="AN53" s="847"/>
      <c r="AO53" s="847"/>
      <c r="AP53" s="847"/>
      <c r="AQ53" s="847"/>
      <c r="AR53" s="847"/>
      <c r="AS53" s="847"/>
      <c r="AT53" s="847"/>
      <c r="AU53" s="847"/>
      <c r="AV53" s="847"/>
      <c r="AW53" s="847"/>
      <c r="AX53" s="847"/>
      <c r="AY53" s="847"/>
      <c r="AZ53" s="847"/>
      <c r="BA53" s="847"/>
      <c r="BB53" s="847"/>
      <c r="BC53" s="847"/>
      <c r="BD53" s="847"/>
      <c r="BE53" s="847"/>
      <c r="BF53" s="847"/>
      <c r="BG53" s="847"/>
      <c r="BH53" s="847"/>
      <c r="BI53" s="847"/>
      <c r="BJ53" s="847"/>
      <c r="BK53" s="847"/>
      <c r="BL53" s="847"/>
      <c r="BM53" s="847"/>
      <c r="BN53" s="847"/>
      <c r="BO53" s="847"/>
      <c r="BP53" s="847"/>
      <c r="BQ53" s="847"/>
      <c r="BR53" s="847"/>
      <c r="BS53" s="847"/>
      <c r="BT53" s="847"/>
      <c r="BU53" s="847"/>
      <c r="BV53" s="847"/>
      <c r="BW53" s="847"/>
      <c r="BX53" s="847"/>
      <c r="BY53" s="847"/>
      <c r="BZ53" s="847"/>
      <c r="CA53" s="847"/>
      <c r="CB53" s="847"/>
      <c r="CC53" s="847"/>
      <c r="CD53" s="847"/>
      <c r="CE53" s="847"/>
      <c r="CF53" s="847"/>
      <c r="CG53" s="847"/>
      <c r="CH53" s="847"/>
      <c r="CI53" s="847"/>
      <c r="CJ53" s="847"/>
      <c r="CK53" s="847"/>
      <c r="CL53" s="847"/>
      <c r="CM53" s="847"/>
      <c r="CN53" s="847"/>
      <c r="CO53" s="847"/>
      <c r="CP53" s="847"/>
      <c r="CQ53" s="847"/>
      <c r="CR53" s="847"/>
      <c r="CS53" s="847"/>
      <c r="CT53" s="847"/>
      <c r="CU53" s="847"/>
      <c r="CV53" s="847"/>
      <c r="CW53" s="847"/>
      <c r="CX53" s="847"/>
      <c r="CY53" s="847"/>
      <c r="CZ53" s="847"/>
      <c r="DA53" s="847"/>
      <c r="DB53" s="847"/>
      <c r="DC53" s="847"/>
      <c r="DD53" s="847"/>
      <c r="DE53" s="847"/>
      <c r="DF53" s="847"/>
      <c r="DG53" s="847"/>
    </row>
    <row r="54" spans="1:111" s="31" customFormat="1" ht="12.6" hidden="1" customHeight="1">
      <c r="A54" s="129"/>
      <c r="B54" s="128" t="s">
        <v>12</v>
      </c>
      <c r="C54" s="134"/>
      <c r="D54" s="135"/>
      <c r="E54" s="131"/>
      <c r="F54" s="131"/>
      <c r="G54" s="131"/>
      <c r="H54" s="135"/>
      <c r="I54" s="131"/>
      <c r="J54" s="130"/>
      <c r="K54" s="130"/>
      <c r="L54" s="129"/>
      <c r="M54" s="129"/>
      <c r="N54" s="131"/>
      <c r="O54" s="135"/>
      <c r="P54" s="135"/>
      <c r="Q54" s="135">
        <v>10</v>
      </c>
      <c r="R54" s="135"/>
      <c r="S54" s="135"/>
      <c r="T54" s="129"/>
      <c r="U54" s="129"/>
      <c r="V54" s="131"/>
      <c r="W54" s="131"/>
      <c r="X54" s="131"/>
      <c r="Y54" s="131"/>
      <c r="Z54" s="129"/>
      <c r="AA54" s="129"/>
      <c r="AB54" s="129"/>
      <c r="AC54" s="129"/>
      <c r="AD54" s="129"/>
      <c r="AE54" s="129"/>
      <c r="AF54" s="129">
        <f>SUM(C54:AE54)</f>
        <v>10</v>
      </c>
      <c r="AG54" s="129"/>
      <c r="AH54" s="847"/>
      <c r="AI54" s="847"/>
      <c r="AJ54" s="847"/>
      <c r="AK54" s="847"/>
      <c r="AL54" s="847"/>
      <c r="AM54" s="847"/>
      <c r="AN54" s="847"/>
      <c r="AO54" s="847"/>
      <c r="AP54" s="847"/>
      <c r="AQ54" s="847"/>
      <c r="AR54" s="847"/>
      <c r="AS54" s="847"/>
      <c r="AT54" s="847"/>
      <c r="AU54" s="847"/>
      <c r="AV54" s="847"/>
      <c r="AW54" s="847"/>
      <c r="AX54" s="847"/>
      <c r="AY54" s="847"/>
      <c r="AZ54" s="847"/>
      <c r="BA54" s="847"/>
      <c r="BB54" s="847"/>
      <c r="BC54" s="847"/>
      <c r="BD54" s="847"/>
      <c r="BE54" s="847"/>
      <c r="BF54" s="847"/>
      <c r="BG54" s="847"/>
      <c r="BH54" s="847"/>
      <c r="BI54" s="847"/>
      <c r="BJ54" s="847"/>
      <c r="BK54" s="847"/>
      <c r="BL54" s="847"/>
      <c r="BM54" s="847"/>
      <c r="BN54" s="847"/>
      <c r="BO54" s="847"/>
      <c r="BP54" s="847"/>
      <c r="BQ54" s="847"/>
      <c r="BR54" s="847"/>
      <c r="BS54" s="847"/>
      <c r="BT54" s="847"/>
      <c r="BU54" s="847"/>
      <c r="BV54" s="847"/>
      <c r="BW54" s="847"/>
      <c r="BX54" s="847"/>
      <c r="BY54" s="847"/>
      <c r="BZ54" s="847"/>
      <c r="CA54" s="847"/>
      <c r="CB54" s="847"/>
      <c r="CC54" s="847"/>
      <c r="CD54" s="847"/>
      <c r="CE54" s="847"/>
      <c r="CF54" s="847"/>
      <c r="CG54" s="847"/>
      <c r="CH54" s="847"/>
      <c r="CI54" s="847"/>
      <c r="CJ54" s="847"/>
      <c r="CK54" s="847"/>
      <c r="CL54" s="847"/>
      <c r="CM54" s="847"/>
      <c r="CN54" s="847"/>
      <c r="CO54" s="847"/>
      <c r="CP54" s="847"/>
      <c r="CQ54" s="847"/>
      <c r="CR54" s="847"/>
      <c r="CS54" s="847"/>
      <c r="CT54" s="847"/>
      <c r="CU54" s="847"/>
      <c r="CV54" s="847"/>
      <c r="CW54" s="847"/>
      <c r="CX54" s="847"/>
      <c r="CY54" s="847"/>
      <c r="CZ54" s="847"/>
      <c r="DA54" s="847"/>
      <c r="DB54" s="847"/>
      <c r="DC54" s="847"/>
      <c r="DD54" s="847"/>
      <c r="DE54" s="847"/>
      <c r="DF54" s="847"/>
      <c r="DG54" s="847"/>
    </row>
    <row r="55" spans="1:111" s="4" customFormat="1" hidden="1">
      <c r="A55" s="129">
        <v>24</v>
      </c>
      <c r="B55" s="128" t="s">
        <v>12</v>
      </c>
      <c r="C55" s="134">
        <v>62</v>
      </c>
      <c r="D55" s="129"/>
      <c r="E55" s="131">
        <v>2</v>
      </c>
      <c r="F55" s="131">
        <v>6</v>
      </c>
      <c r="G55" s="131">
        <v>0</v>
      </c>
      <c r="H55" s="129"/>
      <c r="I55" s="131">
        <v>2</v>
      </c>
      <c r="J55" s="130">
        <v>0</v>
      </c>
      <c r="K55" s="130"/>
      <c r="L55" s="129"/>
      <c r="M55" s="129"/>
      <c r="N55" s="131">
        <v>23</v>
      </c>
      <c r="O55" s="129"/>
      <c r="P55" s="129"/>
      <c r="Q55" s="129">
        <v>11.54</v>
      </c>
      <c r="R55" s="129"/>
      <c r="S55" s="129">
        <v>1.61</v>
      </c>
      <c r="T55" s="129"/>
      <c r="U55" s="129"/>
      <c r="V55" s="133">
        <v>0.02</v>
      </c>
      <c r="W55" s="133">
        <v>0</v>
      </c>
      <c r="X55" s="133">
        <v>0</v>
      </c>
      <c r="Y55" s="133">
        <v>0.12</v>
      </c>
      <c r="Z55" s="129"/>
      <c r="AA55" s="129"/>
      <c r="AB55" s="129"/>
      <c r="AC55" s="129"/>
      <c r="AD55" s="129"/>
      <c r="AE55" s="129"/>
      <c r="AF55" s="129"/>
      <c r="AG55" s="129"/>
      <c r="AH55" s="847"/>
      <c r="AI55" s="847"/>
      <c r="AJ55" s="847"/>
      <c r="AK55" s="847"/>
      <c r="AL55" s="847"/>
      <c r="AM55" s="847"/>
      <c r="AN55" s="847"/>
      <c r="AO55" s="847"/>
      <c r="AP55" s="847"/>
      <c r="AQ55" s="847"/>
      <c r="AR55" s="847"/>
      <c r="AS55" s="847"/>
      <c r="AT55" s="847"/>
      <c r="AU55" s="847"/>
      <c r="AV55" s="847"/>
      <c r="AW55" s="847"/>
      <c r="AX55" s="847"/>
      <c r="AY55" s="847"/>
      <c r="AZ55" s="847"/>
      <c r="BA55" s="847"/>
      <c r="BB55" s="847"/>
      <c r="BC55" s="847"/>
      <c r="BD55" s="847"/>
      <c r="BE55" s="847"/>
      <c r="BF55" s="847"/>
      <c r="BG55" s="847"/>
      <c r="BH55" s="847"/>
      <c r="BI55" s="847"/>
      <c r="BJ55" s="847"/>
      <c r="BK55" s="847"/>
      <c r="BL55" s="847"/>
      <c r="BM55" s="847"/>
      <c r="BN55" s="847"/>
      <c r="BO55" s="847"/>
      <c r="BP55" s="847"/>
      <c r="BQ55" s="847"/>
      <c r="BR55" s="847"/>
      <c r="BS55" s="847"/>
      <c r="BT55" s="847"/>
      <c r="BU55" s="847"/>
      <c r="BV55" s="847"/>
      <c r="BW55" s="847"/>
      <c r="BX55" s="847"/>
      <c r="BY55" s="847"/>
      <c r="BZ55" s="847"/>
      <c r="CA55" s="847"/>
      <c r="CB55" s="847"/>
      <c r="CC55" s="847"/>
      <c r="CD55" s="847"/>
      <c r="CE55" s="847"/>
      <c r="CF55" s="847"/>
      <c r="CG55" s="847"/>
      <c r="CH55" s="847"/>
      <c r="CI55" s="847"/>
      <c r="CJ55" s="847"/>
      <c r="CK55" s="847"/>
      <c r="CL55" s="847"/>
      <c r="CM55" s="847"/>
      <c r="CN55" s="847"/>
      <c r="CO55" s="847"/>
      <c r="CP55" s="847"/>
      <c r="CQ55" s="847"/>
      <c r="CR55" s="847"/>
      <c r="CS55" s="847"/>
      <c r="CT55" s="847"/>
      <c r="CU55" s="847"/>
      <c r="CV55" s="847"/>
      <c r="CW55" s="847"/>
      <c r="CX55" s="847"/>
      <c r="CY55" s="847"/>
      <c r="CZ55" s="847"/>
      <c r="DA55" s="847"/>
      <c r="DB55" s="847"/>
      <c r="DC55" s="847"/>
      <c r="DD55" s="847"/>
      <c r="DE55" s="847"/>
      <c r="DF55" s="847"/>
      <c r="DG55" s="847"/>
    </row>
    <row r="56" spans="1:111" s="4" customFormat="1" ht="12.75" customHeight="1">
      <c r="A56" s="129">
        <v>15</v>
      </c>
      <c r="B56" s="128" t="s">
        <v>76</v>
      </c>
      <c r="C56" s="134"/>
      <c r="D56" s="129"/>
      <c r="E56" s="131"/>
      <c r="F56" s="131"/>
      <c r="G56" s="131"/>
      <c r="H56" s="129"/>
      <c r="I56" s="131"/>
      <c r="J56" s="130"/>
      <c r="K56" s="130"/>
      <c r="L56" s="129"/>
      <c r="M56" s="129"/>
      <c r="N56" s="131"/>
      <c r="O56" s="129"/>
      <c r="P56" s="129"/>
      <c r="Q56" s="129"/>
      <c r="R56" s="129"/>
      <c r="S56" s="129"/>
      <c r="T56" s="129"/>
      <c r="U56" s="129"/>
      <c r="V56" s="133"/>
      <c r="W56" s="133"/>
      <c r="X56" s="133"/>
      <c r="Y56" s="133"/>
      <c r="Z56" s="129"/>
      <c r="AA56" s="129"/>
      <c r="AB56" s="129"/>
      <c r="AC56" s="129"/>
      <c r="AD56" s="129"/>
      <c r="AE56" s="129"/>
      <c r="AF56" s="129"/>
      <c r="AG56" s="129">
        <v>28.5</v>
      </c>
      <c r="AH56" s="847"/>
      <c r="AI56" s="847"/>
      <c r="AJ56" s="847"/>
      <c r="AK56" s="847"/>
      <c r="AL56" s="847"/>
      <c r="AM56" s="847"/>
      <c r="AN56" s="847"/>
      <c r="AO56" s="847"/>
      <c r="AP56" s="847"/>
      <c r="AQ56" s="847"/>
      <c r="AR56" s="847"/>
      <c r="AS56" s="847"/>
      <c r="AT56" s="847"/>
      <c r="AU56" s="847"/>
      <c r="AV56" s="847"/>
      <c r="AW56" s="847"/>
      <c r="AX56" s="847"/>
      <c r="AY56" s="847"/>
      <c r="AZ56" s="847"/>
      <c r="BA56" s="847"/>
      <c r="BB56" s="847"/>
      <c r="BC56" s="847"/>
      <c r="BD56" s="847"/>
      <c r="BE56" s="847"/>
      <c r="BF56" s="847"/>
      <c r="BG56" s="847"/>
      <c r="BH56" s="847"/>
      <c r="BI56" s="847"/>
      <c r="BJ56" s="847"/>
      <c r="BK56" s="847"/>
      <c r="BL56" s="847"/>
      <c r="BM56" s="847"/>
      <c r="BN56" s="847"/>
      <c r="BO56" s="847"/>
      <c r="BP56" s="847"/>
      <c r="BQ56" s="847"/>
      <c r="BR56" s="847"/>
      <c r="BS56" s="847"/>
      <c r="BT56" s="847"/>
      <c r="BU56" s="847"/>
      <c r="BV56" s="847"/>
      <c r="BW56" s="847"/>
      <c r="BX56" s="847"/>
      <c r="BY56" s="847"/>
      <c r="BZ56" s="847"/>
      <c r="CA56" s="847"/>
      <c r="CB56" s="847"/>
      <c r="CC56" s="847"/>
      <c r="CD56" s="847"/>
      <c r="CE56" s="847"/>
      <c r="CF56" s="847"/>
      <c r="CG56" s="847"/>
      <c r="CH56" s="847"/>
      <c r="CI56" s="847"/>
      <c r="CJ56" s="847"/>
      <c r="CK56" s="847"/>
      <c r="CL56" s="847"/>
      <c r="CM56" s="847"/>
      <c r="CN56" s="847"/>
      <c r="CO56" s="847"/>
      <c r="CP56" s="847"/>
      <c r="CQ56" s="847"/>
      <c r="CR56" s="847"/>
      <c r="CS56" s="847"/>
      <c r="CT56" s="847"/>
      <c r="CU56" s="847"/>
      <c r="CV56" s="847"/>
      <c r="CW56" s="847"/>
      <c r="CX56" s="847"/>
      <c r="CY56" s="847"/>
      <c r="CZ56" s="847"/>
      <c r="DA56" s="847"/>
      <c r="DB56" s="847"/>
      <c r="DC56" s="847"/>
      <c r="DD56" s="847"/>
      <c r="DE56" s="847"/>
      <c r="DF56" s="847"/>
      <c r="DG56" s="847"/>
    </row>
    <row r="57" spans="1:111" s="4" customFormat="1">
      <c r="A57" s="129">
        <v>16</v>
      </c>
      <c r="B57" s="128" t="s">
        <v>19</v>
      </c>
      <c r="C57" s="134"/>
      <c r="D57" s="129"/>
      <c r="E57" s="131"/>
      <c r="F57" s="131"/>
      <c r="G57" s="131"/>
      <c r="H57" s="129"/>
      <c r="I57" s="131"/>
      <c r="J57" s="130"/>
      <c r="K57" s="130"/>
      <c r="L57" s="129"/>
      <c r="M57" s="129"/>
      <c r="N57" s="131"/>
      <c r="O57" s="129"/>
      <c r="P57" s="129"/>
      <c r="Q57" s="129"/>
      <c r="R57" s="129"/>
      <c r="S57" s="129"/>
      <c r="T57" s="129"/>
      <c r="U57" s="129"/>
      <c r="V57" s="133"/>
      <c r="W57" s="133"/>
      <c r="X57" s="133"/>
      <c r="Y57" s="133"/>
      <c r="Z57" s="129"/>
      <c r="AA57" s="129"/>
      <c r="AB57" s="129"/>
      <c r="AC57" s="129"/>
      <c r="AD57" s="129"/>
      <c r="AE57" s="129"/>
      <c r="AF57" s="129"/>
      <c r="AG57" s="129">
        <v>28</v>
      </c>
      <c r="AH57" s="847"/>
      <c r="AI57" s="847"/>
      <c r="AJ57" s="847"/>
      <c r="AK57" s="847"/>
      <c r="AL57" s="847"/>
      <c r="AM57" s="847"/>
      <c r="AN57" s="847"/>
      <c r="AO57" s="847"/>
      <c r="AP57" s="847"/>
      <c r="AQ57" s="847"/>
      <c r="AR57" s="847"/>
      <c r="AS57" s="847"/>
      <c r="AT57" s="847"/>
      <c r="AU57" s="847"/>
      <c r="AV57" s="847"/>
      <c r="AW57" s="847"/>
      <c r="AX57" s="847"/>
      <c r="AY57" s="847"/>
      <c r="AZ57" s="847"/>
      <c r="BA57" s="847"/>
      <c r="BB57" s="847"/>
      <c r="BC57" s="847"/>
      <c r="BD57" s="847"/>
      <c r="BE57" s="847"/>
      <c r="BF57" s="847"/>
      <c r="BG57" s="847"/>
      <c r="BH57" s="847"/>
      <c r="BI57" s="847"/>
      <c r="BJ57" s="847"/>
      <c r="BK57" s="847"/>
      <c r="BL57" s="847"/>
      <c r="BM57" s="847"/>
      <c r="BN57" s="847"/>
      <c r="BO57" s="847"/>
      <c r="BP57" s="847"/>
      <c r="BQ57" s="847"/>
      <c r="BR57" s="847"/>
      <c r="BS57" s="847"/>
      <c r="BT57" s="847"/>
      <c r="BU57" s="847"/>
      <c r="BV57" s="847"/>
      <c r="BW57" s="847"/>
      <c r="BX57" s="847"/>
      <c r="BY57" s="847"/>
      <c r="BZ57" s="847"/>
      <c r="CA57" s="847"/>
      <c r="CB57" s="847"/>
      <c r="CC57" s="847"/>
      <c r="CD57" s="847"/>
      <c r="CE57" s="847"/>
      <c r="CF57" s="847"/>
      <c r="CG57" s="847"/>
      <c r="CH57" s="847"/>
      <c r="CI57" s="847"/>
      <c r="CJ57" s="847"/>
      <c r="CK57" s="847"/>
      <c r="CL57" s="847"/>
      <c r="CM57" s="847"/>
      <c r="CN57" s="847"/>
      <c r="CO57" s="847"/>
      <c r="CP57" s="847"/>
      <c r="CQ57" s="847"/>
      <c r="CR57" s="847"/>
      <c r="CS57" s="847"/>
      <c r="CT57" s="847"/>
      <c r="CU57" s="847"/>
      <c r="CV57" s="847"/>
      <c r="CW57" s="847"/>
      <c r="CX57" s="847"/>
      <c r="CY57" s="847"/>
      <c r="CZ57" s="847"/>
      <c r="DA57" s="847"/>
      <c r="DB57" s="847"/>
      <c r="DC57" s="847"/>
      <c r="DD57" s="847"/>
      <c r="DE57" s="847"/>
      <c r="DF57" s="847"/>
      <c r="DG57" s="847"/>
    </row>
    <row r="58" spans="1:111" s="4" customFormat="1">
      <c r="A58" s="129">
        <v>17</v>
      </c>
      <c r="B58" s="128" t="s">
        <v>77</v>
      </c>
      <c r="C58" s="134"/>
      <c r="D58" s="129"/>
      <c r="E58" s="131"/>
      <c r="F58" s="131"/>
      <c r="G58" s="131"/>
      <c r="H58" s="129"/>
      <c r="I58" s="131"/>
      <c r="J58" s="130"/>
      <c r="K58" s="130"/>
      <c r="L58" s="129"/>
      <c r="M58" s="129"/>
      <c r="N58" s="131"/>
      <c r="O58" s="129"/>
      <c r="P58" s="129"/>
      <c r="Q58" s="129"/>
      <c r="R58" s="129"/>
      <c r="S58" s="129"/>
      <c r="T58" s="129"/>
      <c r="U58" s="129"/>
      <c r="V58" s="133"/>
      <c r="W58" s="133"/>
      <c r="X58" s="133"/>
      <c r="Y58" s="133"/>
      <c r="Z58" s="129"/>
      <c r="AA58" s="129"/>
      <c r="AB58" s="129"/>
      <c r="AC58" s="129"/>
      <c r="AD58" s="129"/>
      <c r="AE58" s="129"/>
      <c r="AF58" s="129"/>
      <c r="AG58" s="129">
        <v>27.6</v>
      </c>
      <c r="AH58" s="847"/>
      <c r="AI58" s="847"/>
      <c r="AJ58" s="847"/>
      <c r="AK58" s="847"/>
      <c r="AL58" s="847"/>
      <c r="AM58" s="847"/>
      <c r="AN58" s="847"/>
      <c r="AO58" s="847"/>
      <c r="AP58" s="847"/>
      <c r="AQ58" s="847"/>
      <c r="AR58" s="847"/>
      <c r="AS58" s="847"/>
      <c r="AT58" s="847"/>
      <c r="AU58" s="847"/>
      <c r="AV58" s="847"/>
      <c r="AW58" s="847"/>
      <c r="AX58" s="847"/>
      <c r="AY58" s="847"/>
      <c r="AZ58" s="847"/>
      <c r="BA58" s="847"/>
      <c r="BB58" s="847"/>
      <c r="BC58" s="847"/>
      <c r="BD58" s="847"/>
      <c r="BE58" s="847"/>
      <c r="BF58" s="847"/>
      <c r="BG58" s="847"/>
      <c r="BH58" s="847"/>
      <c r="BI58" s="847"/>
      <c r="BJ58" s="847"/>
      <c r="BK58" s="847"/>
      <c r="BL58" s="847"/>
      <c r="BM58" s="847"/>
      <c r="BN58" s="847"/>
      <c r="BO58" s="847"/>
      <c r="BP58" s="847"/>
      <c r="BQ58" s="847"/>
      <c r="BR58" s="847"/>
      <c r="BS58" s="847"/>
      <c r="BT58" s="847"/>
      <c r="BU58" s="847"/>
      <c r="BV58" s="847"/>
      <c r="BW58" s="847"/>
      <c r="BX58" s="847"/>
      <c r="BY58" s="847"/>
      <c r="BZ58" s="847"/>
      <c r="CA58" s="847"/>
      <c r="CB58" s="847"/>
      <c r="CC58" s="847"/>
      <c r="CD58" s="847"/>
      <c r="CE58" s="847"/>
      <c r="CF58" s="847"/>
      <c r="CG58" s="847"/>
      <c r="CH58" s="847"/>
      <c r="CI58" s="847"/>
      <c r="CJ58" s="847"/>
      <c r="CK58" s="847"/>
      <c r="CL58" s="847"/>
      <c r="CM58" s="847"/>
      <c r="CN58" s="847"/>
      <c r="CO58" s="847"/>
      <c r="CP58" s="847"/>
      <c r="CQ58" s="847"/>
      <c r="CR58" s="847"/>
      <c r="CS58" s="847"/>
      <c r="CT58" s="847"/>
      <c r="CU58" s="847"/>
      <c r="CV58" s="847"/>
      <c r="CW58" s="847"/>
      <c r="CX58" s="847"/>
      <c r="CY58" s="847"/>
      <c r="CZ58" s="847"/>
      <c r="DA58" s="847"/>
      <c r="DB58" s="847"/>
      <c r="DC58" s="847"/>
      <c r="DD58" s="847"/>
      <c r="DE58" s="847"/>
      <c r="DF58" s="847"/>
      <c r="DG58" s="847"/>
    </row>
    <row r="59" spans="1:111" s="4" customFormat="1">
      <c r="A59" s="129">
        <v>18</v>
      </c>
      <c r="B59" s="128" t="s">
        <v>13</v>
      </c>
      <c r="C59" s="134"/>
      <c r="D59" s="129"/>
      <c r="E59" s="131"/>
      <c r="F59" s="131"/>
      <c r="G59" s="131"/>
      <c r="H59" s="129"/>
      <c r="I59" s="131"/>
      <c r="J59" s="130"/>
      <c r="K59" s="130"/>
      <c r="L59" s="129"/>
      <c r="M59" s="129"/>
      <c r="N59" s="131"/>
      <c r="O59" s="129"/>
      <c r="P59" s="129"/>
      <c r="Q59" s="129"/>
      <c r="R59" s="129"/>
      <c r="S59" s="129"/>
      <c r="T59" s="129"/>
      <c r="U59" s="129"/>
      <c r="V59" s="133"/>
      <c r="W59" s="133"/>
      <c r="X59" s="133"/>
      <c r="Y59" s="133"/>
      <c r="Z59" s="129"/>
      <c r="AA59" s="129"/>
      <c r="AB59" s="129"/>
      <c r="AC59" s="129"/>
      <c r="AD59" s="129"/>
      <c r="AE59" s="129"/>
      <c r="AF59" s="129"/>
      <c r="AG59" s="129">
        <v>26.4</v>
      </c>
      <c r="AH59" s="847"/>
      <c r="AI59" s="847"/>
      <c r="AJ59" s="847"/>
      <c r="AK59" s="847"/>
      <c r="AL59" s="847"/>
      <c r="AM59" s="847"/>
      <c r="AN59" s="847"/>
      <c r="AO59" s="847"/>
      <c r="AP59" s="847"/>
      <c r="AQ59" s="847"/>
      <c r="AR59" s="847"/>
      <c r="AS59" s="847"/>
      <c r="AT59" s="847"/>
      <c r="AU59" s="847"/>
      <c r="AV59" s="847"/>
      <c r="AW59" s="847"/>
      <c r="AX59" s="847"/>
      <c r="AY59" s="847"/>
      <c r="AZ59" s="847"/>
      <c r="BA59" s="847"/>
      <c r="BB59" s="847"/>
      <c r="BC59" s="847"/>
      <c r="BD59" s="847"/>
      <c r="BE59" s="847"/>
      <c r="BF59" s="847"/>
      <c r="BG59" s="847"/>
      <c r="BH59" s="847"/>
      <c r="BI59" s="847"/>
      <c r="BJ59" s="847"/>
      <c r="BK59" s="847"/>
      <c r="BL59" s="847"/>
      <c r="BM59" s="847"/>
      <c r="BN59" s="847"/>
      <c r="BO59" s="847"/>
      <c r="BP59" s="847"/>
      <c r="BQ59" s="847"/>
      <c r="BR59" s="847"/>
      <c r="BS59" s="847"/>
      <c r="BT59" s="847"/>
      <c r="BU59" s="847"/>
      <c r="BV59" s="847"/>
      <c r="BW59" s="847"/>
      <c r="BX59" s="847"/>
      <c r="BY59" s="847"/>
      <c r="BZ59" s="847"/>
      <c r="CA59" s="847"/>
      <c r="CB59" s="847"/>
      <c r="CC59" s="847"/>
      <c r="CD59" s="847"/>
      <c r="CE59" s="847"/>
      <c r="CF59" s="847"/>
      <c r="CG59" s="847"/>
      <c r="CH59" s="847"/>
      <c r="CI59" s="847"/>
      <c r="CJ59" s="847"/>
      <c r="CK59" s="847"/>
      <c r="CL59" s="847"/>
      <c r="CM59" s="847"/>
      <c r="CN59" s="847"/>
      <c r="CO59" s="847"/>
      <c r="CP59" s="847"/>
      <c r="CQ59" s="847"/>
      <c r="CR59" s="847"/>
      <c r="CS59" s="847"/>
      <c r="CT59" s="847"/>
      <c r="CU59" s="847"/>
      <c r="CV59" s="847"/>
      <c r="CW59" s="847"/>
      <c r="CX59" s="847"/>
      <c r="CY59" s="847"/>
      <c r="CZ59" s="847"/>
      <c r="DA59" s="847"/>
      <c r="DB59" s="847"/>
      <c r="DC59" s="847"/>
      <c r="DD59" s="847"/>
      <c r="DE59" s="847"/>
      <c r="DF59" s="847"/>
      <c r="DG59" s="847"/>
    </row>
    <row r="60" spans="1:111" s="4" customFormat="1">
      <c r="A60" s="129">
        <v>19</v>
      </c>
      <c r="B60" s="128" t="s">
        <v>18</v>
      </c>
      <c r="C60" s="134"/>
      <c r="D60" s="129"/>
      <c r="E60" s="131"/>
      <c r="F60" s="131"/>
      <c r="G60" s="131"/>
      <c r="H60" s="129"/>
      <c r="I60" s="131"/>
      <c r="J60" s="130"/>
      <c r="K60" s="130"/>
      <c r="L60" s="129"/>
      <c r="M60" s="129"/>
      <c r="N60" s="131"/>
      <c r="O60" s="129"/>
      <c r="P60" s="129"/>
      <c r="Q60" s="129"/>
      <c r="R60" s="129"/>
      <c r="S60" s="129"/>
      <c r="T60" s="129"/>
      <c r="U60" s="129"/>
      <c r="V60" s="133"/>
      <c r="W60" s="133"/>
      <c r="X60" s="133"/>
      <c r="Y60" s="133"/>
      <c r="Z60" s="129"/>
      <c r="AA60" s="129"/>
      <c r="AB60" s="129"/>
      <c r="AC60" s="129"/>
      <c r="AD60" s="129"/>
      <c r="AE60" s="129"/>
      <c r="AF60" s="129"/>
      <c r="AG60" s="129">
        <v>25.3</v>
      </c>
      <c r="AH60" s="847"/>
      <c r="AI60" s="847"/>
      <c r="AJ60" s="847"/>
      <c r="AK60" s="847"/>
      <c r="AL60" s="847"/>
      <c r="AM60" s="847"/>
      <c r="AN60" s="847"/>
      <c r="AO60" s="847"/>
      <c r="AP60" s="847"/>
      <c r="AQ60" s="847"/>
      <c r="AR60" s="847"/>
      <c r="AS60" s="847"/>
      <c r="AT60" s="847"/>
      <c r="AU60" s="847"/>
      <c r="AV60" s="847"/>
      <c r="AW60" s="847"/>
      <c r="AX60" s="847"/>
      <c r="AY60" s="847"/>
      <c r="AZ60" s="847"/>
      <c r="BA60" s="847"/>
      <c r="BB60" s="847"/>
      <c r="BC60" s="847"/>
      <c r="BD60" s="847"/>
      <c r="BE60" s="847"/>
      <c r="BF60" s="847"/>
      <c r="BG60" s="847"/>
      <c r="BH60" s="847"/>
      <c r="BI60" s="847"/>
      <c r="BJ60" s="847"/>
      <c r="BK60" s="847"/>
      <c r="BL60" s="847"/>
      <c r="BM60" s="847"/>
      <c r="BN60" s="847"/>
      <c r="BO60" s="847"/>
      <c r="BP60" s="847"/>
      <c r="BQ60" s="847"/>
      <c r="BR60" s="847"/>
      <c r="BS60" s="847"/>
      <c r="BT60" s="847"/>
      <c r="BU60" s="847"/>
      <c r="BV60" s="847"/>
      <c r="BW60" s="847"/>
      <c r="BX60" s="847"/>
      <c r="BY60" s="847"/>
      <c r="BZ60" s="847"/>
      <c r="CA60" s="847"/>
      <c r="CB60" s="847"/>
      <c r="CC60" s="847"/>
      <c r="CD60" s="847"/>
      <c r="CE60" s="847"/>
      <c r="CF60" s="847"/>
      <c r="CG60" s="847"/>
      <c r="CH60" s="847"/>
      <c r="CI60" s="847"/>
      <c r="CJ60" s="847"/>
      <c r="CK60" s="847"/>
      <c r="CL60" s="847"/>
      <c r="CM60" s="847"/>
      <c r="CN60" s="847"/>
      <c r="CO60" s="847"/>
      <c r="CP60" s="847"/>
      <c r="CQ60" s="847"/>
      <c r="CR60" s="847"/>
      <c r="CS60" s="847"/>
      <c r="CT60" s="847"/>
      <c r="CU60" s="847"/>
      <c r="CV60" s="847"/>
      <c r="CW60" s="847"/>
      <c r="CX60" s="847"/>
      <c r="CY60" s="847"/>
      <c r="CZ60" s="847"/>
      <c r="DA60" s="847"/>
      <c r="DB60" s="847"/>
      <c r="DC60" s="847"/>
      <c r="DD60" s="847"/>
      <c r="DE60" s="847"/>
      <c r="DF60" s="847"/>
      <c r="DG60" s="847"/>
    </row>
    <row r="61" spans="1:111" s="27" customFormat="1" ht="12.75" customHeight="1">
      <c r="A61" s="129">
        <v>20</v>
      </c>
      <c r="B61" s="128" t="s">
        <v>17</v>
      </c>
      <c r="C61" s="134"/>
      <c r="D61" s="135"/>
      <c r="E61" s="131">
        <v>9</v>
      </c>
      <c r="F61" s="131">
        <v>0</v>
      </c>
      <c r="G61" s="131">
        <v>3</v>
      </c>
      <c r="H61" s="135"/>
      <c r="I61" s="131">
        <v>0</v>
      </c>
      <c r="J61" s="130">
        <v>10</v>
      </c>
      <c r="K61" s="130"/>
      <c r="L61" s="129">
        <v>0</v>
      </c>
      <c r="M61" s="129"/>
      <c r="N61" s="131">
        <v>3</v>
      </c>
      <c r="O61" s="135"/>
      <c r="P61" s="135"/>
      <c r="Q61" s="135">
        <v>0</v>
      </c>
      <c r="R61" s="135"/>
      <c r="S61" s="135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>
        <f>SUM(C61:AE61)</f>
        <v>25</v>
      </c>
      <c r="AG61" s="129">
        <f>AF61-0.9</f>
        <v>24.1</v>
      </c>
      <c r="AH61" s="847"/>
      <c r="AI61" s="847"/>
      <c r="AJ61" s="847"/>
      <c r="AK61" s="847"/>
      <c r="AL61" s="847"/>
      <c r="AM61" s="847"/>
      <c r="AN61" s="847"/>
      <c r="AO61" s="847"/>
      <c r="AP61" s="847"/>
      <c r="AQ61" s="847"/>
      <c r="AR61" s="847"/>
      <c r="AS61" s="847"/>
      <c r="AT61" s="847"/>
      <c r="AU61" s="847"/>
      <c r="AV61" s="847"/>
      <c r="AW61" s="847"/>
      <c r="AX61" s="847"/>
      <c r="AY61" s="847"/>
      <c r="AZ61" s="847"/>
      <c r="BA61" s="847"/>
      <c r="BB61" s="847"/>
      <c r="BC61" s="847"/>
      <c r="BD61" s="847"/>
      <c r="BE61" s="847"/>
      <c r="BF61" s="847"/>
      <c r="BG61" s="847"/>
      <c r="BH61" s="847"/>
      <c r="BI61" s="847"/>
      <c r="BJ61" s="847"/>
      <c r="BK61" s="847"/>
      <c r="BL61" s="847"/>
      <c r="BM61" s="847"/>
      <c r="BN61" s="847"/>
      <c r="BO61" s="847"/>
      <c r="BP61" s="847"/>
      <c r="BQ61" s="847"/>
      <c r="BR61" s="847"/>
      <c r="BS61" s="847"/>
      <c r="BT61" s="847"/>
      <c r="BU61" s="847"/>
      <c r="BV61" s="847"/>
      <c r="BW61" s="847"/>
      <c r="BX61" s="847"/>
      <c r="BY61" s="847"/>
      <c r="BZ61" s="847"/>
      <c r="CA61" s="847"/>
      <c r="CB61" s="847"/>
      <c r="CC61" s="847"/>
      <c r="CD61" s="847"/>
      <c r="CE61" s="847"/>
      <c r="CF61" s="847"/>
      <c r="CG61" s="847"/>
      <c r="CH61" s="847"/>
      <c r="CI61" s="847"/>
      <c r="CJ61" s="847"/>
      <c r="CK61" s="847"/>
      <c r="CL61" s="847"/>
      <c r="CM61" s="847"/>
      <c r="CN61" s="847"/>
      <c r="CO61" s="847"/>
      <c r="CP61" s="847"/>
      <c r="CQ61" s="847"/>
      <c r="CR61" s="847"/>
      <c r="CS61" s="847"/>
      <c r="CT61" s="847"/>
      <c r="CU61" s="847"/>
      <c r="CV61" s="847"/>
      <c r="CW61" s="847"/>
      <c r="CX61" s="847"/>
      <c r="CY61" s="847"/>
      <c r="CZ61" s="847"/>
      <c r="DA61" s="847"/>
      <c r="DB61" s="847"/>
      <c r="DC61" s="847"/>
      <c r="DD61" s="847"/>
      <c r="DE61" s="847"/>
      <c r="DF61" s="847"/>
      <c r="DG61" s="847"/>
    </row>
    <row r="62" spans="1:111" hidden="1">
      <c r="A62" s="129">
        <v>25</v>
      </c>
      <c r="B62" s="128" t="s">
        <v>67</v>
      </c>
      <c r="C62" s="134">
        <v>2</v>
      </c>
      <c r="D62" s="129"/>
      <c r="E62" s="131">
        <v>0</v>
      </c>
      <c r="F62" s="131"/>
      <c r="G62" s="131"/>
      <c r="H62" s="129"/>
      <c r="I62" s="131"/>
      <c r="J62" s="130"/>
      <c r="K62" s="130"/>
      <c r="L62" s="129"/>
      <c r="M62" s="129"/>
      <c r="N62" s="131">
        <v>0</v>
      </c>
      <c r="O62" s="129"/>
      <c r="P62" s="129"/>
      <c r="Q62" s="129">
        <v>100</v>
      </c>
      <c r="R62" s="129"/>
      <c r="S62" s="129"/>
      <c r="T62" s="129"/>
      <c r="U62" s="129"/>
      <c r="V62" s="133"/>
      <c r="W62" s="133"/>
      <c r="X62" s="133"/>
      <c r="Y62" s="133"/>
      <c r="Z62" s="129"/>
      <c r="AA62" s="129"/>
      <c r="AB62" s="129"/>
      <c r="AC62" s="129"/>
      <c r="AD62" s="129"/>
      <c r="AE62" s="129"/>
      <c r="AF62" s="129"/>
      <c r="AG62" s="129"/>
      <c r="AH62" s="847"/>
      <c r="AI62" s="847"/>
      <c r="AJ62" s="847"/>
      <c r="AK62" s="847"/>
      <c r="AL62" s="847"/>
      <c r="AM62" s="847"/>
      <c r="AN62" s="847"/>
      <c r="AO62" s="847"/>
      <c r="AP62" s="847"/>
      <c r="AQ62" s="847"/>
      <c r="AR62" s="847"/>
      <c r="AS62" s="847"/>
      <c r="AT62" s="847"/>
      <c r="AU62" s="847"/>
      <c r="AV62" s="847"/>
      <c r="AW62" s="847"/>
      <c r="AX62" s="847"/>
      <c r="AY62" s="847"/>
      <c r="AZ62" s="847"/>
      <c r="BA62" s="847"/>
      <c r="BB62" s="847"/>
      <c r="BC62" s="847"/>
      <c r="BD62" s="847"/>
      <c r="BE62" s="847"/>
      <c r="BF62" s="847"/>
      <c r="BG62" s="847"/>
      <c r="BH62" s="847"/>
      <c r="BI62" s="847"/>
      <c r="BJ62" s="847"/>
      <c r="BK62" s="847"/>
      <c r="BL62" s="847"/>
      <c r="BM62" s="847"/>
      <c r="BN62" s="847"/>
      <c r="BO62" s="847"/>
      <c r="BP62" s="847"/>
      <c r="BQ62" s="847"/>
      <c r="BR62" s="847"/>
      <c r="BS62" s="847"/>
      <c r="BT62" s="847"/>
      <c r="BU62" s="847"/>
      <c r="BV62" s="847"/>
      <c r="BW62" s="847"/>
      <c r="BX62" s="847"/>
      <c r="BY62" s="847"/>
      <c r="BZ62" s="847"/>
      <c r="CA62" s="847"/>
      <c r="CB62" s="847"/>
      <c r="CC62" s="847"/>
      <c r="CD62" s="847"/>
      <c r="CE62" s="847"/>
      <c r="CF62" s="847"/>
      <c r="CG62" s="847"/>
      <c r="CH62" s="847"/>
      <c r="CI62" s="847"/>
      <c r="CJ62" s="847"/>
      <c r="CK62" s="847"/>
      <c r="CL62" s="847"/>
      <c r="CM62" s="847"/>
      <c r="CN62" s="847"/>
      <c r="CO62" s="847"/>
      <c r="CP62" s="847"/>
      <c r="CQ62" s="847"/>
      <c r="CR62" s="847"/>
      <c r="CS62" s="847"/>
      <c r="CT62" s="847"/>
      <c r="CU62" s="847"/>
      <c r="CV62" s="847"/>
      <c r="CW62" s="847"/>
      <c r="CX62" s="847"/>
      <c r="CY62" s="847"/>
      <c r="CZ62" s="847"/>
      <c r="DA62" s="847"/>
      <c r="DB62" s="847"/>
      <c r="DC62" s="847"/>
      <c r="DD62" s="847"/>
      <c r="DE62" s="847"/>
      <c r="DF62" s="847"/>
      <c r="DG62" s="847"/>
    </row>
    <row r="63" spans="1:111" s="27" customFormat="1" ht="12.6" hidden="1" customHeight="1">
      <c r="A63" s="129"/>
      <c r="B63" s="128"/>
      <c r="C63" s="134"/>
      <c r="D63" s="129"/>
      <c r="E63" s="131">
        <v>10</v>
      </c>
      <c r="F63" s="131"/>
      <c r="G63" s="131"/>
      <c r="H63" s="129"/>
      <c r="I63" s="131"/>
      <c r="J63" s="130"/>
      <c r="K63" s="130"/>
      <c r="L63" s="129"/>
      <c r="M63" s="129"/>
      <c r="N63" s="131"/>
      <c r="O63" s="129"/>
      <c r="P63" s="129"/>
      <c r="Q63" s="129">
        <v>10</v>
      </c>
      <c r="R63" s="129"/>
      <c r="S63" s="129"/>
      <c r="T63" s="129"/>
      <c r="U63" s="129"/>
      <c r="V63" s="131"/>
      <c r="W63" s="131"/>
      <c r="X63" s="131"/>
      <c r="Y63" s="131"/>
      <c r="Z63" s="129"/>
      <c r="AA63" s="129"/>
      <c r="AB63" s="129"/>
      <c r="AC63" s="129"/>
      <c r="AD63" s="129"/>
      <c r="AE63" s="129"/>
      <c r="AF63" s="129">
        <f>SUM(C63:AE63)</f>
        <v>20</v>
      </c>
      <c r="AG63" s="129"/>
      <c r="AH63" s="847"/>
      <c r="AI63" s="847"/>
      <c r="AJ63" s="847"/>
      <c r="AK63" s="847"/>
      <c r="AL63" s="847"/>
      <c r="AM63" s="847"/>
      <c r="AN63" s="847"/>
      <c r="AO63" s="847"/>
      <c r="AP63" s="847"/>
      <c r="AQ63" s="847"/>
      <c r="AR63" s="847"/>
      <c r="AS63" s="847"/>
      <c r="AT63" s="847"/>
      <c r="AU63" s="847"/>
      <c r="AV63" s="847"/>
      <c r="AW63" s="847"/>
      <c r="AX63" s="847"/>
      <c r="AY63" s="847"/>
      <c r="AZ63" s="847"/>
      <c r="BA63" s="847"/>
      <c r="BB63" s="847"/>
      <c r="BC63" s="847"/>
      <c r="BD63" s="847"/>
      <c r="BE63" s="847"/>
      <c r="BF63" s="847"/>
      <c r="BG63" s="847"/>
      <c r="BH63" s="847"/>
      <c r="BI63" s="847"/>
      <c r="BJ63" s="847"/>
      <c r="BK63" s="847"/>
      <c r="BL63" s="847"/>
      <c r="BM63" s="847"/>
      <c r="BN63" s="847"/>
      <c r="BO63" s="847"/>
      <c r="BP63" s="847"/>
      <c r="BQ63" s="847"/>
      <c r="BR63" s="847"/>
      <c r="BS63" s="847"/>
      <c r="BT63" s="847"/>
      <c r="BU63" s="847"/>
      <c r="BV63" s="847"/>
      <c r="BW63" s="847"/>
      <c r="BX63" s="847"/>
      <c r="BY63" s="847"/>
      <c r="BZ63" s="847"/>
      <c r="CA63" s="847"/>
      <c r="CB63" s="847"/>
      <c r="CC63" s="847"/>
      <c r="CD63" s="847"/>
      <c r="CE63" s="847"/>
      <c r="CF63" s="847"/>
      <c r="CG63" s="847"/>
      <c r="CH63" s="847"/>
      <c r="CI63" s="847"/>
      <c r="CJ63" s="847"/>
      <c r="CK63" s="847"/>
      <c r="CL63" s="847"/>
      <c r="CM63" s="847"/>
      <c r="CN63" s="847"/>
      <c r="CO63" s="847"/>
      <c r="CP63" s="847"/>
      <c r="CQ63" s="847"/>
      <c r="CR63" s="847"/>
      <c r="CS63" s="847"/>
      <c r="CT63" s="847"/>
      <c r="CU63" s="847"/>
      <c r="CV63" s="847"/>
      <c r="CW63" s="847"/>
      <c r="CX63" s="847"/>
      <c r="CY63" s="847"/>
      <c r="CZ63" s="847"/>
      <c r="DA63" s="847"/>
      <c r="DB63" s="847"/>
      <c r="DC63" s="847"/>
      <c r="DD63" s="847"/>
      <c r="DE63" s="847"/>
      <c r="DF63" s="847"/>
      <c r="DG63" s="847"/>
    </row>
    <row r="64" spans="1:111" ht="12.6" hidden="1" customHeight="1">
      <c r="A64" s="129">
        <v>26</v>
      </c>
      <c r="B64" s="128" t="s">
        <v>16</v>
      </c>
      <c r="C64" s="134">
        <v>188</v>
      </c>
      <c r="D64" s="129"/>
      <c r="E64" s="131">
        <v>5</v>
      </c>
      <c r="F64" s="131">
        <v>32</v>
      </c>
      <c r="G64" s="131">
        <v>7</v>
      </c>
      <c r="H64" s="135"/>
      <c r="I64" s="131">
        <v>32</v>
      </c>
      <c r="J64" s="130">
        <v>0</v>
      </c>
      <c r="K64" s="130"/>
      <c r="L64" s="129"/>
      <c r="M64" s="129"/>
      <c r="N64" s="131">
        <v>0</v>
      </c>
      <c r="O64" s="135"/>
      <c r="P64" s="135"/>
      <c r="Q64" s="135">
        <v>0</v>
      </c>
      <c r="R64" s="135"/>
      <c r="S64" s="135"/>
      <c r="T64" s="129"/>
      <c r="U64" s="129"/>
      <c r="V64" s="133"/>
      <c r="W64" s="133"/>
      <c r="X64" s="133"/>
      <c r="Y64" s="133"/>
      <c r="Z64" s="129"/>
      <c r="AA64" s="129"/>
      <c r="AB64" s="129"/>
      <c r="AC64" s="129"/>
      <c r="AD64" s="129"/>
      <c r="AE64" s="129"/>
      <c r="AF64" s="129"/>
      <c r="AG64" s="129"/>
      <c r="AH64" s="847"/>
      <c r="AI64" s="847"/>
      <c r="AJ64" s="847"/>
      <c r="AK64" s="847"/>
      <c r="AL64" s="847"/>
      <c r="AM64" s="847"/>
      <c r="AN64" s="847"/>
      <c r="AO64" s="847"/>
      <c r="AP64" s="847"/>
      <c r="AQ64" s="847"/>
      <c r="AR64" s="847"/>
      <c r="AS64" s="847"/>
      <c r="AT64" s="847"/>
      <c r="AU64" s="847"/>
      <c r="AV64" s="847"/>
      <c r="AW64" s="847"/>
      <c r="AX64" s="847"/>
      <c r="AY64" s="847"/>
      <c r="AZ64" s="847"/>
      <c r="BA64" s="847"/>
      <c r="BB64" s="847"/>
      <c r="BC64" s="847"/>
      <c r="BD64" s="847"/>
      <c r="BE64" s="847"/>
      <c r="BF64" s="847"/>
      <c r="BG64" s="847"/>
      <c r="BH64" s="847"/>
      <c r="BI64" s="847"/>
      <c r="BJ64" s="847"/>
      <c r="BK64" s="847"/>
      <c r="BL64" s="847"/>
      <c r="BM64" s="847"/>
      <c r="BN64" s="847"/>
      <c r="BO64" s="847"/>
      <c r="BP64" s="847"/>
      <c r="BQ64" s="847"/>
      <c r="BR64" s="847"/>
      <c r="BS64" s="847"/>
      <c r="BT64" s="847"/>
      <c r="BU64" s="847"/>
      <c r="BV64" s="847"/>
      <c r="BW64" s="847"/>
      <c r="BX64" s="847"/>
      <c r="BY64" s="847"/>
      <c r="BZ64" s="847"/>
      <c r="CA64" s="847"/>
      <c r="CB64" s="847"/>
      <c r="CC64" s="847"/>
      <c r="CD64" s="847"/>
      <c r="CE64" s="847"/>
      <c r="CF64" s="847"/>
      <c r="CG64" s="847"/>
      <c r="CH64" s="847"/>
      <c r="CI64" s="847"/>
      <c r="CJ64" s="847"/>
      <c r="CK64" s="847"/>
      <c r="CL64" s="847"/>
      <c r="CM64" s="847"/>
      <c r="CN64" s="847"/>
      <c r="CO64" s="847"/>
      <c r="CP64" s="847"/>
      <c r="CQ64" s="847"/>
      <c r="CR64" s="847"/>
      <c r="CS64" s="847"/>
      <c r="CT64" s="847"/>
      <c r="CU64" s="847"/>
      <c r="CV64" s="847"/>
      <c r="CW64" s="847"/>
      <c r="CX64" s="847"/>
      <c r="CY64" s="847"/>
      <c r="CZ64" s="847"/>
      <c r="DA64" s="847"/>
      <c r="DB64" s="847"/>
      <c r="DC64" s="847"/>
      <c r="DD64" s="847"/>
      <c r="DE64" s="847"/>
      <c r="DF64" s="847"/>
      <c r="DG64" s="847"/>
    </row>
    <row r="65" spans="1:111" s="27" customFormat="1" ht="12.75" customHeight="1">
      <c r="A65" s="129">
        <v>21</v>
      </c>
      <c r="B65" s="128" t="s">
        <v>16</v>
      </c>
      <c r="C65" s="134"/>
      <c r="D65" s="129"/>
      <c r="E65" s="131">
        <v>7</v>
      </c>
      <c r="F65" s="131">
        <v>0</v>
      </c>
      <c r="G65" s="131">
        <v>6</v>
      </c>
      <c r="H65" s="135"/>
      <c r="I65" s="131">
        <v>0</v>
      </c>
      <c r="J65" s="130">
        <v>10</v>
      </c>
      <c r="K65" s="130"/>
      <c r="L65" s="129"/>
      <c r="M65" s="129"/>
      <c r="N65" s="131"/>
      <c r="O65" s="135"/>
      <c r="P65" s="135"/>
      <c r="Q65" s="135"/>
      <c r="R65" s="135"/>
      <c r="S65" s="135"/>
      <c r="T65" s="129"/>
      <c r="U65" s="129"/>
      <c r="V65" s="131"/>
      <c r="W65" s="131"/>
      <c r="X65" s="131"/>
      <c r="Y65" s="131"/>
      <c r="Z65" s="129"/>
      <c r="AA65" s="129"/>
      <c r="AB65" s="129"/>
      <c r="AC65" s="129"/>
      <c r="AD65" s="129"/>
      <c r="AE65" s="129"/>
      <c r="AF65" s="129">
        <f>SUM(C65:AE65)</f>
        <v>23</v>
      </c>
      <c r="AG65" s="129">
        <f>AF65-0.7</f>
        <v>22.3</v>
      </c>
      <c r="AH65" s="847"/>
      <c r="AI65" s="847"/>
      <c r="AJ65" s="847"/>
      <c r="AK65" s="847"/>
      <c r="AL65" s="847"/>
      <c r="AM65" s="847"/>
      <c r="AN65" s="847"/>
      <c r="AO65" s="847"/>
      <c r="AP65" s="847"/>
      <c r="AQ65" s="847"/>
      <c r="AR65" s="847"/>
      <c r="AS65" s="847"/>
      <c r="AT65" s="847"/>
      <c r="AU65" s="847"/>
      <c r="AV65" s="847"/>
      <c r="AW65" s="847"/>
      <c r="AX65" s="847"/>
      <c r="AY65" s="847"/>
      <c r="AZ65" s="847"/>
      <c r="BA65" s="847"/>
      <c r="BB65" s="847"/>
      <c r="BC65" s="847"/>
      <c r="BD65" s="847"/>
      <c r="BE65" s="847"/>
      <c r="BF65" s="847"/>
      <c r="BG65" s="847"/>
      <c r="BH65" s="847"/>
      <c r="BI65" s="847"/>
      <c r="BJ65" s="847"/>
      <c r="BK65" s="847"/>
      <c r="BL65" s="847"/>
      <c r="BM65" s="847"/>
      <c r="BN65" s="847"/>
      <c r="BO65" s="847"/>
      <c r="BP65" s="847"/>
      <c r="BQ65" s="847"/>
      <c r="BR65" s="847"/>
      <c r="BS65" s="847"/>
      <c r="BT65" s="847"/>
      <c r="BU65" s="847"/>
      <c r="BV65" s="847"/>
      <c r="BW65" s="847"/>
      <c r="BX65" s="847"/>
      <c r="BY65" s="847"/>
      <c r="BZ65" s="847"/>
      <c r="CA65" s="847"/>
      <c r="CB65" s="847"/>
      <c r="CC65" s="847"/>
      <c r="CD65" s="847"/>
      <c r="CE65" s="847"/>
      <c r="CF65" s="847"/>
      <c r="CG65" s="847"/>
      <c r="CH65" s="847"/>
      <c r="CI65" s="847"/>
      <c r="CJ65" s="847"/>
      <c r="CK65" s="847"/>
      <c r="CL65" s="847"/>
      <c r="CM65" s="847"/>
      <c r="CN65" s="847"/>
      <c r="CO65" s="847"/>
      <c r="CP65" s="847"/>
      <c r="CQ65" s="847"/>
      <c r="CR65" s="847"/>
      <c r="CS65" s="847"/>
      <c r="CT65" s="847"/>
      <c r="CU65" s="847"/>
      <c r="CV65" s="847"/>
      <c r="CW65" s="847"/>
      <c r="CX65" s="847"/>
      <c r="CY65" s="847"/>
      <c r="CZ65" s="847"/>
      <c r="DA65" s="847"/>
      <c r="DB65" s="847"/>
      <c r="DC65" s="847"/>
      <c r="DD65" s="847"/>
      <c r="DE65" s="847"/>
      <c r="DF65" s="847"/>
      <c r="DG65" s="847"/>
    </row>
    <row r="66" spans="1:111" s="3" customFormat="1" hidden="1">
      <c r="A66" s="140">
        <v>27</v>
      </c>
      <c r="B66" s="141" t="s">
        <v>68</v>
      </c>
      <c r="C66" s="142">
        <v>1</v>
      </c>
      <c r="D66" s="143"/>
      <c r="E66" s="144"/>
      <c r="F66" s="144"/>
      <c r="G66" s="144"/>
      <c r="H66" s="143"/>
      <c r="I66" s="144"/>
      <c r="J66" s="145"/>
      <c r="K66" s="145"/>
      <c r="L66" s="143"/>
      <c r="M66" s="143"/>
      <c r="N66" s="146">
        <v>0</v>
      </c>
      <c r="O66" s="147"/>
      <c r="P66" s="147"/>
      <c r="Q66" s="147">
        <v>0</v>
      </c>
      <c r="R66" s="147"/>
      <c r="S66" s="147"/>
      <c r="T66" s="148"/>
      <c r="U66" s="149"/>
      <c r="V66" s="150"/>
      <c r="W66" s="150"/>
      <c r="X66" s="150"/>
      <c r="Y66" s="150"/>
      <c r="Z66" s="151"/>
      <c r="AA66" s="147"/>
      <c r="AB66" s="147"/>
      <c r="AC66" s="151"/>
      <c r="AD66" s="147"/>
      <c r="AE66" s="149"/>
      <c r="AF66" s="152"/>
      <c r="AG66" s="153"/>
      <c r="AH66" s="847"/>
      <c r="AI66" s="847"/>
      <c r="AJ66" s="847"/>
      <c r="AK66" s="847"/>
      <c r="AL66" s="847"/>
      <c r="AM66" s="847"/>
      <c r="AN66" s="847"/>
      <c r="AO66" s="847"/>
      <c r="AP66" s="847"/>
      <c r="AQ66" s="847"/>
      <c r="AR66" s="847"/>
      <c r="AS66" s="847"/>
      <c r="AT66" s="847"/>
      <c r="AU66" s="847"/>
      <c r="AV66" s="847"/>
      <c r="AW66" s="847"/>
      <c r="AX66" s="847"/>
      <c r="AY66" s="847"/>
      <c r="AZ66" s="847"/>
      <c r="BA66" s="847"/>
      <c r="BB66" s="847"/>
      <c r="BC66" s="847"/>
      <c r="BD66" s="847"/>
      <c r="BE66" s="847"/>
      <c r="BF66" s="847"/>
      <c r="BG66" s="847"/>
      <c r="BH66" s="847"/>
      <c r="BI66" s="847"/>
      <c r="BJ66" s="847"/>
      <c r="BK66" s="847"/>
      <c r="BL66" s="847"/>
      <c r="BM66" s="847"/>
      <c r="BN66" s="847"/>
      <c r="BO66" s="847"/>
      <c r="BP66" s="847"/>
      <c r="BQ66" s="847"/>
      <c r="BR66" s="847"/>
      <c r="BS66" s="847"/>
      <c r="BT66" s="847"/>
      <c r="BU66" s="847"/>
      <c r="BV66" s="847"/>
      <c r="BW66" s="847"/>
      <c r="BX66" s="847"/>
      <c r="BY66" s="847"/>
      <c r="BZ66" s="847"/>
      <c r="CA66" s="847"/>
      <c r="CB66" s="847"/>
      <c r="CC66" s="847"/>
      <c r="CD66" s="847"/>
      <c r="CE66" s="847"/>
      <c r="CF66" s="847"/>
      <c r="CG66" s="847"/>
      <c r="CH66" s="847"/>
      <c r="CI66" s="847"/>
      <c r="CJ66" s="847"/>
      <c r="CK66" s="847"/>
      <c r="CL66" s="847"/>
      <c r="CM66" s="847"/>
      <c r="CN66" s="847"/>
      <c r="CO66" s="847"/>
      <c r="CP66" s="847"/>
      <c r="CQ66" s="847"/>
      <c r="CR66" s="847"/>
      <c r="CS66" s="847"/>
      <c r="CT66" s="847"/>
      <c r="CU66" s="847"/>
      <c r="CV66" s="847"/>
      <c r="CW66" s="847"/>
      <c r="CX66" s="847"/>
      <c r="CY66" s="847"/>
      <c r="CZ66" s="847"/>
      <c r="DA66" s="847"/>
      <c r="DB66" s="847"/>
      <c r="DC66" s="847"/>
      <c r="DD66" s="847"/>
      <c r="DE66" s="847"/>
      <c r="DF66" s="847"/>
      <c r="DG66" s="847"/>
    </row>
    <row r="67" spans="1:111" s="31" customFormat="1" ht="17.25" hidden="1" customHeight="1" thickBot="1">
      <c r="A67" s="154"/>
      <c r="B67" s="155"/>
      <c r="C67" s="156"/>
      <c r="D67" s="157"/>
      <c r="E67" s="158"/>
      <c r="F67" s="158"/>
      <c r="G67" s="158"/>
      <c r="H67" s="157"/>
      <c r="I67" s="158"/>
      <c r="J67" s="159"/>
      <c r="K67" s="159"/>
      <c r="L67" s="157"/>
      <c r="M67" s="157"/>
      <c r="N67" s="160"/>
      <c r="O67" s="161"/>
      <c r="P67" s="161"/>
      <c r="Q67" s="161"/>
      <c r="R67" s="161"/>
      <c r="S67" s="161"/>
      <c r="T67" s="162"/>
      <c r="U67" s="163"/>
      <c r="V67" s="160"/>
      <c r="W67" s="160"/>
      <c r="X67" s="160"/>
      <c r="Y67" s="160"/>
      <c r="Z67" s="164"/>
      <c r="AA67" s="161"/>
      <c r="AB67" s="161"/>
      <c r="AC67" s="164"/>
      <c r="AD67" s="161"/>
      <c r="AE67" s="163"/>
      <c r="AF67" s="165">
        <f>SUM(C67:AE67)</f>
        <v>0</v>
      </c>
      <c r="AG67" s="166"/>
      <c r="AH67" s="847"/>
      <c r="AI67" s="847"/>
      <c r="AJ67" s="847"/>
      <c r="AK67" s="847"/>
      <c r="AL67" s="847"/>
      <c r="AM67" s="847"/>
      <c r="AN67" s="847"/>
      <c r="AO67" s="847"/>
      <c r="AP67" s="847"/>
      <c r="AQ67" s="847"/>
      <c r="AR67" s="847"/>
      <c r="AS67" s="847"/>
      <c r="AT67" s="847"/>
      <c r="AU67" s="847"/>
      <c r="AV67" s="847"/>
      <c r="AW67" s="847"/>
      <c r="AX67" s="847"/>
      <c r="AY67" s="847"/>
      <c r="AZ67" s="847"/>
      <c r="BA67" s="847"/>
      <c r="BB67" s="847"/>
      <c r="BC67" s="847"/>
      <c r="BD67" s="847"/>
      <c r="BE67" s="847"/>
      <c r="BF67" s="847"/>
      <c r="BG67" s="847"/>
      <c r="BH67" s="847"/>
      <c r="BI67" s="847"/>
      <c r="BJ67" s="847"/>
      <c r="BK67" s="847"/>
      <c r="BL67" s="847"/>
      <c r="BM67" s="847"/>
      <c r="BN67" s="847"/>
      <c r="BO67" s="847"/>
      <c r="BP67" s="847"/>
      <c r="BQ67" s="847"/>
      <c r="BR67" s="847"/>
      <c r="BS67" s="847"/>
      <c r="BT67" s="847"/>
      <c r="BU67" s="847"/>
      <c r="BV67" s="847"/>
      <c r="BW67" s="847"/>
      <c r="BX67" s="847"/>
      <c r="BY67" s="847"/>
      <c r="BZ67" s="847"/>
      <c r="CA67" s="847"/>
      <c r="CB67" s="847"/>
      <c r="CC67" s="847"/>
      <c r="CD67" s="847"/>
      <c r="CE67" s="847"/>
      <c r="CF67" s="847"/>
      <c r="CG67" s="847"/>
      <c r="CH67" s="847"/>
      <c r="CI67" s="847"/>
      <c r="CJ67" s="847"/>
      <c r="CK67" s="847"/>
      <c r="CL67" s="847"/>
      <c r="CM67" s="847"/>
      <c r="CN67" s="847"/>
      <c r="CO67" s="847"/>
      <c r="CP67" s="847"/>
      <c r="CQ67" s="847"/>
      <c r="CR67" s="847"/>
      <c r="CS67" s="847"/>
      <c r="CT67" s="847"/>
      <c r="CU67" s="847"/>
      <c r="CV67" s="847"/>
      <c r="CW67" s="847"/>
      <c r="CX67" s="847"/>
      <c r="CY67" s="847"/>
      <c r="CZ67" s="847"/>
      <c r="DA67" s="847"/>
      <c r="DB67" s="847"/>
      <c r="DC67" s="847"/>
      <c r="DD67" s="847"/>
      <c r="DE67" s="847"/>
      <c r="DF67" s="847"/>
      <c r="DG67" s="847"/>
    </row>
    <row r="68" spans="1:111" hidden="1">
      <c r="A68" s="167">
        <v>28</v>
      </c>
      <c r="B68" s="168" t="s">
        <v>69</v>
      </c>
      <c r="C68" s="169">
        <v>2</v>
      </c>
      <c r="D68" s="170"/>
      <c r="E68" s="171">
        <v>0</v>
      </c>
      <c r="F68" s="171">
        <v>0</v>
      </c>
      <c r="G68" s="171">
        <v>0</v>
      </c>
      <c r="H68" s="170"/>
      <c r="I68" s="171">
        <v>0</v>
      </c>
      <c r="J68" s="172">
        <v>0</v>
      </c>
      <c r="K68" s="172"/>
      <c r="L68" s="170"/>
      <c r="M68" s="170"/>
      <c r="N68" s="171">
        <v>2</v>
      </c>
      <c r="O68" s="170"/>
      <c r="P68" s="170"/>
      <c r="Q68" s="170">
        <v>0</v>
      </c>
      <c r="R68" s="170"/>
      <c r="S68" s="170"/>
      <c r="T68" s="170"/>
      <c r="U68" s="173"/>
      <c r="V68" s="174"/>
      <c r="W68" s="174"/>
      <c r="X68" s="174"/>
      <c r="Y68" s="174"/>
      <c r="Z68" s="175"/>
      <c r="AA68" s="170"/>
      <c r="AB68" s="170"/>
      <c r="AC68" s="175"/>
      <c r="AD68" s="170"/>
      <c r="AE68" s="173"/>
      <c r="AF68" s="176"/>
      <c r="AG68" s="177"/>
      <c r="AH68" s="847"/>
      <c r="AI68" s="847"/>
      <c r="AJ68" s="847"/>
      <c r="AK68" s="847"/>
      <c r="AL68" s="847"/>
      <c r="AM68" s="847"/>
      <c r="AN68" s="847"/>
      <c r="AO68" s="847"/>
      <c r="AP68" s="847"/>
      <c r="AQ68" s="847"/>
      <c r="AR68" s="847"/>
      <c r="AS68" s="847"/>
      <c r="AT68" s="847"/>
      <c r="AU68" s="847"/>
      <c r="AV68" s="847"/>
      <c r="AW68" s="847"/>
      <c r="AX68" s="847"/>
      <c r="AY68" s="847"/>
      <c r="AZ68" s="847"/>
      <c r="BA68" s="847"/>
      <c r="BB68" s="847"/>
      <c r="BC68" s="847"/>
      <c r="BD68" s="847"/>
      <c r="BE68" s="847"/>
      <c r="BF68" s="847"/>
      <c r="BG68" s="847"/>
      <c r="BH68" s="847"/>
      <c r="BI68" s="847"/>
      <c r="BJ68" s="847"/>
      <c r="BK68" s="847"/>
      <c r="BL68" s="847"/>
      <c r="BM68" s="847"/>
      <c r="BN68" s="847"/>
      <c r="BO68" s="847"/>
      <c r="BP68" s="847"/>
      <c r="BQ68" s="847"/>
      <c r="BR68" s="847"/>
      <c r="BS68" s="847"/>
      <c r="BT68" s="847"/>
      <c r="BU68" s="847"/>
      <c r="BV68" s="847"/>
      <c r="BW68" s="847"/>
      <c r="BX68" s="847"/>
      <c r="BY68" s="847"/>
      <c r="BZ68" s="847"/>
      <c r="CA68" s="847"/>
      <c r="CB68" s="847"/>
      <c r="CC68" s="847"/>
      <c r="CD68" s="847"/>
      <c r="CE68" s="847"/>
      <c r="CF68" s="847"/>
      <c r="CG68" s="847"/>
      <c r="CH68" s="847"/>
      <c r="CI68" s="847"/>
      <c r="CJ68" s="847"/>
      <c r="CK68" s="847"/>
      <c r="CL68" s="847"/>
      <c r="CM68" s="847"/>
      <c r="CN68" s="847"/>
      <c r="CO68" s="847"/>
      <c r="CP68" s="847"/>
      <c r="CQ68" s="847"/>
      <c r="CR68" s="847"/>
      <c r="CS68" s="847"/>
      <c r="CT68" s="847"/>
      <c r="CU68" s="847"/>
      <c r="CV68" s="847"/>
      <c r="CW68" s="847"/>
      <c r="CX68" s="847"/>
      <c r="CY68" s="847"/>
      <c r="CZ68" s="847"/>
      <c r="DA68" s="847"/>
      <c r="DB68" s="847"/>
      <c r="DC68" s="847"/>
      <c r="DD68" s="847"/>
      <c r="DE68" s="847"/>
      <c r="DF68" s="847"/>
      <c r="DG68" s="847"/>
    </row>
    <row r="69" spans="1:111" s="27" customFormat="1" ht="16.5" hidden="1" customHeight="1" thickBot="1">
      <c r="A69" s="154"/>
      <c r="B69" s="155"/>
      <c r="C69" s="156"/>
      <c r="D69" s="162"/>
      <c r="E69" s="160">
        <v>10</v>
      </c>
      <c r="F69" s="160">
        <v>10</v>
      </c>
      <c r="G69" s="160">
        <v>10</v>
      </c>
      <c r="H69" s="162"/>
      <c r="I69" s="160">
        <v>10</v>
      </c>
      <c r="J69" s="178">
        <v>10</v>
      </c>
      <c r="K69" s="178"/>
      <c r="L69" s="162"/>
      <c r="M69" s="162"/>
      <c r="N69" s="160"/>
      <c r="O69" s="162"/>
      <c r="P69" s="162"/>
      <c r="Q69" s="162"/>
      <c r="R69" s="162"/>
      <c r="S69" s="162"/>
      <c r="T69" s="162"/>
      <c r="U69" s="179"/>
      <c r="V69" s="160"/>
      <c r="W69" s="160"/>
      <c r="X69" s="160"/>
      <c r="Y69" s="160"/>
      <c r="Z69" s="164"/>
      <c r="AA69" s="162"/>
      <c r="AB69" s="162"/>
      <c r="AC69" s="164"/>
      <c r="AD69" s="162"/>
      <c r="AE69" s="179"/>
      <c r="AF69" s="180">
        <f>SUM(C69:AE69)</f>
        <v>50</v>
      </c>
      <c r="AG69" s="181"/>
      <c r="AH69" s="847"/>
      <c r="AI69" s="847"/>
      <c r="AJ69" s="847"/>
      <c r="AK69" s="847"/>
      <c r="AL69" s="847"/>
      <c r="AM69" s="847"/>
      <c r="AN69" s="847"/>
      <c r="AO69" s="847"/>
      <c r="AP69" s="847"/>
      <c r="AQ69" s="847"/>
      <c r="AR69" s="847"/>
      <c r="AS69" s="847"/>
      <c r="AT69" s="847"/>
      <c r="AU69" s="847"/>
      <c r="AV69" s="847"/>
      <c r="AW69" s="847"/>
      <c r="AX69" s="847"/>
      <c r="AY69" s="847"/>
      <c r="AZ69" s="847"/>
      <c r="BA69" s="847"/>
      <c r="BB69" s="847"/>
      <c r="BC69" s="847"/>
      <c r="BD69" s="847"/>
      <c r="BE69" s="847"/>
      <c r="BF69" s="847"/>
      <c r="BG69" s="847"/>
      <c r="BH69" s="847"/>
      <c r="BI69" s="847"/>
      <c r="BJ69" s="847"/>
      <c r="BK69" s="847"/>
      <c r="BL69" s="847"/>
      <c r="BM69" s="847"/>
      <c r="BN69" s="847"/>
      <c r="BO69" s="847"/>
      <c r="BP69" s="847"/>
      <c r="BQ69" s="847"/>
      <c r="BR69" s="847"/>
      <c r="BS69" s="847"/>
      <c r="BT69" s="847"/>
      <c r="BU69" s="847"/>
      <c r="BV69" s="847"/>
      <c r="BW69" s="847"/>
      <c r="BX69" s="847"/>
      <c r="BY69" s="847"/>
      <c r="BZ69" s="847"/>
      <c r="CA69" s="847"/>
      <c r="CB69" s="847"/>
      <c r="CC69" s="847"/>
      <c r="CD69" s="847"/>
      <c r="CE69" s="847"/>
      <c r="CF69" s="847"/>
      <c r="CG69" s="847"/>
      <c r="CH69" s="847"/>
      <c r="CI69" s="847"/>
      <c r="CJ69" s="847"/>
      <c r="CK69" s="847"/>
      <c r="CL69" s="847"/>
      <c r="CM69" s="847"/>
      <c r="CN69" s="847"/>
      <c r="CO69" s="847"/>
      <c r="CP69" s="847"/>
      <c r="CQ69" s="847"/>
      <c r="CR69" s="847"/>
      <c r="CS69" s="847"/>
      <c r="CT69" s="847"/>
      <c r="CU69" s="847"/>
      <c r="CV69" s="847"/>
      <c r="CW69" s="847"/>
      <c r="CX69" s="847"/>
      <c r="CY69" s="847"/>
      <c r="CZ69" s="847"/>
      <c r="DA69" s="847"/>
      <c r="DB69" s="847"/>
      <c r="DC69" s="847"/>
      <c r="DD69" s="847"/>
      <c r="DE69" s="847"/>
      <c r="DF69" s="847"/>
      <c r="DG69" s="847"/>
    </row>
    <row r="70" spans="1:111" hidden="1">
      <c r="A70" s="167">
        <v>29</v>
      </c>
      <c r="B70" s="168" t="s">
        <v>70</v>
      </c>
      <c r="C70" s="169">
        <v>145</v>
      </c>
      <c r="D70" s="182"/>
      <c r="E70" s="171"/>
      <c r="F70" s="171"/>
      <c r="G70" s="171"/>
      <c r="H70" s="182"/>
      <c r="I70" s="171"/>
      <c r="J70" s="182"/>
      <c r="K70" s="182"/>
      <c r="L70" s="182"/>
      <c r="M70" s="182"/>
      <c r="N70" s="171">
        <v>0</v>
      </c>
      <c r="O70" s="182"/>
      <c r="P70" s="182"/>
      <c r="Q70" s="182">
        <v>0</v>
      </c>
      <c r="R70" s="182"/>
      <c r="S70" s="182"/>
      <c r="T70" s="182"/>
      <c r="U70" s="183"/>
      <c r="V70" s="174"/>
      <c r="W70" s="174"/>
      <c r="X70" s="174"/>
      <c r="Y70" s="174"/>
      <c r="Z70" s="175"/>
      <c r="AA70" s="182"/>
      <c r="AB70" s="182"/>
      <c r="AC70" s="175"/>
      <c r="AD70" s="182"/>
      <c r="AE70" s="183"/>
      <c r="AF70" s="152"/>
      <c r="AG70" s="153"/>
      <c r="AH70" s="847"/>
      <c r="AI70" s="847"/>
      <c r="AJ70" s="847"/>
      <c r="AK70" s="847"/>
      <c r="AL70" s="847"/>
      <c r="AM70" s="847"/>
      <c r="AN70" s="847"/>
      <c r="AO70" s="847"/>
      <c r="AP70" s="847"/>
      <c r="AQ70" s="847"/>
      <c r="AR70" s="847"/>
      <c r="AS70" s="847"/>
      <c r="AT70" s="847"/>
      <c r="AU70" s="847"/>
      <c r="AV70" s="847"/>
      <c r="AW70" s="847"/>
      <c r="AX70" s="847"/>
      <c r="AY70" s="847"/>
      <c r="AZ70" s="847"/>
      <c r="BA70" s="847"/>
      <c r="BB70" s="847"/>
      <c r="BC70" s="847"/>
      <c r="BD70" s="847"/>
      <c r="BE70" s="847"/>
      <c r="BF70" s="847"/>
      <c r="BG70" s="847"/>
      <c r="BH70" s="847"/>
      <c r="BI70" s="847"/>
      <c r="BJ70" s="847"/>
      <c r="BK70" s="847"/>
      <c r="BL70" s="847"/>
      <c r="BM70" s="847"/>
      <c r="BN70" s="847"/>
      <c r="BO70" s="847"/>
      <c r="BP70" s="847"/>
      <c r="BQ70" s="847"/>
      <c r="BR70" s="847"/>
      <c r="BS70" s="847"/>
      <c r="BT70" s="847"/>
      <c r="BU70" s="847"/>
      <c r="BV70" s="847"/>
      <c r="BW70" s="847"/>
      <c r="BX70" s="847"/>
      <c r="BY70" s="847"/>
      <c r="BZ70" s="847"/>
      <c r="CA70" s="847"/>
      <c r="CB70" s="847"/>
      <c r="CC70" s="847"/>
      <c r="CD70" s="847"/>
      <c r="CE70" s="847"/>
      <c r="CF70" s="847"/>
      <c r="CG70" s="847"/>
      <c r="CH70" s="847"/>
      <c r="CI70" s="847"/>
      <c r="CJ70" s="847"/>
      <c r="CK70" s="847"/>
      <c r="CL70" s="847"/>
      <c r="CM70" s="847"/>
      <c r="CN70" s="847"/>
      <c r="CO70" s="847"/>
      <c r="CP70" s="847"/>
      <c r="CQ70" s="847"/>
      <c r="CR70" s="847"/>
      <c r="CS70" s="847"/>
      <c r="CT70" s="847"/>
      <c r="CU70" s="847"/>
      <c r="CV70" s="847"/>
      <c r="CW70" s="847"/>
      <c r="CX70" s="847"/>
      <c r="CY70" s="847"/>
      <c r="CZ70" s="847"/>
      <c r="DA70" s="847"/>
      <c r="DB70" s="847"/>
      <c r="DC70" s="847"/>
      <c r="DD70" s="847"/>
      <c r="DE70" s="847"/>
      <c r="DF70" s="847"/>
      <c r="DG70" s="847"/>
    </row>
    <row r="71" spans="1:111" s="31" customFormat="1" ht="16.5" hidden="1" customHeight="1" thickBot="1">
      <c r="A71" s="154"/>
      <c r="B71" s="155"/>
      <c r="C71" s="157"/>
      <c r="D71" s="184"/>
      <c r="E71" s="158"/>
      <c r="F71" s="158"/>
      <c r="G71" s="158"/>
      <c r="H71" s="157"/>
      <c r="I71" s="158"/>
      <c r="J71" s="157"/>
      <c r="K71" s="157"/>
      <c r="L71" s="157"/>
      <c r="M71" s="157"/>
      <c r="N71" s="160"/>
      <c r="O71" s="162"/>
      <c r="P71" s="162"/>
      <c r="Q71" s="161"/>
      <c r="R71" s="161"/>
      <c r="S71" s="161"/>
      <c r="T71" s="162"/>
      <c r="U71" s="179"/>
      <c r="V71" s="160"/>
      <c r="W71" s="160"/>
      <c r="X71" s="160"/>
      <c r="Y71" s="160"/>
      <c r="Z71" s="164"/>
      <c r="AA71" s="162"/>
      <c r="AB71" s="162"/>
      <c r="AC71" s="164"/>
      <c r="AD71" s="162"/>
      <c r="AE71" s="179"/>
      <c r="AF71" s="180">
        <f>SUM(C71:AE71)</f>
        <v>0</v>
      </c>
      <c r="AG71" s="181"/>
      <c r="AH71" s="847"/>
      <c r="AI71" s="847"/>
      <c r="AJ71" s="847"/>
      <c r="AK71" s="847"/>
      <c r="AL71" s="847"/>
      <c r="AM71" s="847"/>
      <c r="AN71" s="847"/>
      <c r="AO71" s="847"/>
      <c r="AP71" s="847"/>
      <c r="AQ71" s="847"/>
      <c r="AR71" s="847"/>
      <c r="AS71" s="847"/>
      <c r="AT71" s="847"/>
      <c r="AU71" s="847"/>
      <c r="AV71" s="847"/>
      <c r="AW71" s="847"/>
      <c r="AX71" s="847"/>
      <c r="AY71" s="847"/>
      <c r="AZ71" s="847"/>
      <c r="BA71" s="847"/>
      <c r="BB71" s="847"/>
      <c r="BC71" s="847"/>
      <c r="BD71" s="847"/>
      <c r="BE71" s="847"/>
      <c r="BF71" s="847"/>
      <c r="BG71" s="847"/>
      <c r="BH71" s="847"/>
      <c r="BI71" s="847"/>
      <c r="BJ71" s="847"/>
      <c r="BK71" s="847"/>
      <c r="BL71" s="847"/>
      <c r="BM71" s="847"/>
      <c r="BN71" s="847"/>
      <c r="BO71" s="847"/>
      <c r="BP71" s="847"/>
      <c r="BQ71" s="847"/>
      <c r="BR71" s="847"/>
      <c r="BS71" s="847"/>
      <c r="BT71" s="847"/>
      <c r="BU71" s="847"/>
      <c r="BV71" s="847"/>
      <c r="BW71" s="847"/>
      <c r="BX71" s="847"/>
      <c r="BY71" s="847"/>
      <c r="BZ71" s="847"/>
      <c r="CA71" s="847"/>
      <c r="CB71" s="847"/>
      <c r="CC71" s="847"/>
      <c r="CD71" s="847"/>
      <c r="CE71" s="847"/>
      <c r="CF71" s="847"/>
      <c r="CG71" s="847"/>
      <c r="CH71" s="847"/>
      <c r="CI71" s="847"/>
      <c r="CJ71" s="847"/>
      <c r="CK71" s="847"/>
      <c r="CL71" s="847"/>
      <c r="CM71" s="847"/>
      <c r="CN71" s="847"/>
      <c r="CO71" s="847"/>
      <c r="CP71" s="847"/>
      <c r="CQ71" s="847"/>
      <c r="CR71" s="847"/>
      <c r="CS71" s="847"/>
      <c r="CT71" s="847"/>
      <c r="CU71" s="847"/>
      <c r="CV71" s="847"/>
      <c r="CW71" s="847"/>
      <c r="CX71" s="847"/>
      <c r="CY71" s="847"/>
      <c r="CZ71" s="847"/>
      <c r="DA71" s="847"/>
      <c r="DB71" s="847"/>
      <c r="DC71" s="847"/>
      <c r="DD71" s="847"/>
      <c r="DE71" s="847"/>
      <c r="DF71" s="847"/>
      <c r="DG71" s="847"/>
    </row>
    <row r="72" spans="1:111" s="4" customFormat="1">
      <c r="A72" s="882"/>
      <c r="B72" s="883"/>
      <c r="C72" s="883"/>
      <c r="D72" s="883"/>
      <c r="E72" s="883"/>
      <c r="F72" s="883"/>
      <c r="G72" s="883"/>
      <c r="H72" s="883"/>
      <c r="I72" s="883"/>
      <c r="J72" s="883"/>
      <c r="K72" s="883"/>
      <c r="L72" s="883"/>
      <c r="M72" s="883"/>
      <c r="N72" s="883"/>
      <c r="O72" s="883"/>
      <c r="P72" s="883"/>
      <c r="Q72" s="883"/>
      <c r="R72" s="883"/>
      <c r="S72" s="883"/>
      <c r="T72" s="883"/>
      <c r="U72" s="883"/>
      <c r="V72" s="883"/>
      <c r="W72" s="883"/>
      <c r="X72" s="883"/>
      <c r="Y72" s="883"/>
      <c r="Z72" s="883"/>
      <c r="AA72" s="883"/>
      <c r="AB72" s="883"/>
      <c r="AC72" s="883"/>
      <c r="AD72" s="883"/>
      <c r="AE72" s="884"/>
      <c r="AF72" s="185"/>
      <c r="AG72" s="185"/>
      <c r="AH72" s="848"/>
      <c r="AI72" s="848"/>
      <c r="AJ72" s="848"/>
      <c r="AK72" s="848"/>
      <c r="AL72" s="848"/>
      <c r="AM72" s="848"/>
      <c r="AN72" s="848"/>
      <c r="AO72" s="848"/>
      <c r="AP72" s="848"/>
      <c r="AQ72" s="848"/>
      <c r="AR72" s="848"/>
      <c r="AS72" s="848"/>
      <c r="AT72" s="848"/>
      <c r="AU72" s="848"/>
      <c r="AV72" s="848"/>
      <c r="AW72" s="848"/>
      <c r="AX72" s="848"/>
      <c r="AY72" s="848"/>
      <c r="AZ72" s="848"/>
      <c r="BA72" s="848"/>
      <c r="BB72" s="848"/>
      <c r="BC72" s="848"/>
      <c r="BD72" s="848"/>
      <c r="BE72" s="848"/>
      <c r="BF72" s="848"/>
      <c r="BG72" s="848"/>
      <c r="BH72" s="848"/>
      <c r="BI72" s="848"/>
      <c r="BJ72" s="848"/>
      <c r="BK72" s="848"/>
      <c r="BL72" s="848"/>
      <c r="BM72" s="848"/>
      <c r="BN72" s="848"/>
      <c r="BO72" s="848"/>
      <c r="BP72" s="848"/>
      <c r="BQ72" s="848"/>
      <c r="BR72" s="848"/>
      <c r="BS72" s="848"/>
      <c r="BT72" s="848"/>
      <c r="BU72" s="848"/>
      <c r="BV72" s="848"/>
      <c r="BW72" s="848"/>
      <c r="BX72" s="848"/>
      <c r="BY72" s="848"/>
      <c r="BZ72" s="848"/>
      <c r="CA72" s="848"/>
      <c r="CB72" s="848"/>
      <c r="CC72" s="848"/>
      <c r="CD72" s="848"/>
      <c r="CE72" s="848"/>
      <c r="CF72" s="848"/>
      <c r="CG72" s="848"/>
      <c r="CH72" s="848"/>
      <c r="CI72" s="848"/>
      <c r="CJ72" s="848"/>
      <c r="CK72" s="848"/>
      <c r="CL72" s="848"/>
      <c r="CM72" s="848"/>
      <c r="CN72" s="848"/>
      <c r="CO72" s="848"/>
      <c r="CP72" s="848"/>
      <c r="CQ72" s="848"/>
      <c r="CR72" s="848"/>
      <c r="CS72" s="848"/>
      <c r="CT72" s="848"/>
      <c r="CU72" s="848"/>
      <c r="CV72" s="848"/>
      <c r="CW72" s="848"/>
      <c r="CX72" s="848"/>
      <c r="CY72" s="848"/>
      <c r="CZ72" s="848"/>
      <c r="DA72" s="848"/>
      <c r="DB72" s="848"/>
      <c r="DC72" s="848"/>
      <c r="DD72" s="848"/>
      <c r="DE72" s="848"/>
      <c r="DF72" s="848"/>
      <c r="DG72" s="848"/>
    </row>
    <row r="73" spans="1:111">
      <c r="A73" s="885"/>
      <c r="B73" s="883"/>
      <c r="C73" s="883"/>
      <c r="D73" s="883"/>
      <c r="E73" s="883"/>
      <c r="F73" s="883"/>
      <c r="G73" s="883"/>
      <c r="H73" s="883"/>
      <c r="I73" s="883"/>
      <c r="J73" s="883"/>
      <c r="K73" s="883"/>
      <c r="L73" s="883"/>
      <c r="M73" s="883"/>
      <c r="N73" s="883"/>
      <c r="O73" s="883"/>
      <c r="P73" s="883"/>
      <c r="Q73" s="883"/>
      <c r="R73" s="883"/>
      <c r="S73" s="883"/>
      <c r="T73" s="883"/>
      <c r="U73" s="883"/>
      <c r="V73" s="883"/>
      <c r="W73" s="883"/>
      <c r="X73" s="883"/>
      <c r="Y73" s="883"/>
      <c r="Z73" s="883"/>
      <c r="AA73" s="883"/>
      <c r="AB73" s="883"/>
      <c r="AC73" s="883"/>
      <c r="AD73" s="883"/>
      <c r="AE73" s="884"/>
      <c r="AF73" s="185"/>
      <c r="AG73" s="185"/>
      <c r="AH73" s="848"/>
      <c r="AI73" s="848"/>
      <c r="AJ73" s="848"/>
      <c r="AK73" s="848"/>
      <c r="AL73" s="848"/>
      <c r="AM73" s="848"/>
      <c r="AN73" s="848"/>
      <c r="AO73" s="848"/>
      <c r="AP73" s="848"/>
      <c r="AQ73" s="848"/>
      <c r="AR73" s="848"/>
      <c r="AS73" s="848"/>
      <c r="AT73" s="848"/>
      <c r="AU73" s="848"/>
      <c r="AV73" s="848"/>
      <c r="AW73" s="848"/>
      <c r="AX73" s="848"/>
      <c r="AY73" s="848"/>
      <c r="AZ73" s="848"/>
      <c r="BA73" s="848"/>
      <c r="BB73" s="848"/>
      <c r="BC73" s="848"/>
      <c r="BD73" s="848"/>
      <c r="BE73" s="848"/>
      <c r="BF73" s="848"/>
      <c r="BG73" s="848"/>
      <c r="BH73" s="848"/>
      <c r="BI73" s="848"/>
      <c r="BJ73" s="848"/>
      <c r="BK73" s="848"/>
      <c r="BL73" s="848"/>
      <c r="BM73" s="848"/>
      <c r="BN73" s="848"/>
      <c r="BO73" s="848"/>
      <c r="BP73" s="848"/>
      <c r="BQ73" s="848"/>
      <c r="BR73" s="848"/>
      <c r="BS73" s="848"/>
      <c r="BT73" s="848"/>
      <c r="BU73" s="848"/>
      <c r="BV73" s="848"/>
      <c r="BW73" s="848"/>
      <c r="BX73" s="848"/>
      <c r="BY73" s="848"/>
      <c r="BZ73" s="848"/>
      <c r="CA73" s="848"/>
      <c r="CB73" s="848"/>
      <c r="CC73" s="848"/>
      <c r="CD73" s="848"/>
      <c r="CE73" s="848"/>
      <c r="CF73" s="848"/>
      <c r="CG73" s="848"/>
      <c r="CH73" s="848"/>
      <c r="CI73" s="848"/>
      <c r="CJ73" s="848"/>
      <c r="CK73" s="848"/>
      <c r="CL73" s="848"/>
      <c r="CM73" s="848"/>
      <c r="CN73" s="848"/>
      <c r="CO73" s="848"/>
      <c r="CP73" s="848"/>
      <c r="CQ73" s="848"/>
      <c r="CR73" s="848"/>
      <c r="CS73" s="848"/>
      <c r="CT73" s="848"/>
      <c r="CU73" s="848"/>
      <c r="CV73" s="848"/>
      <c r="CW73" s="848"/>
      <c r="CX73" s="848"/>
      <c r="CY73" s="848"/>
      <c r="CZ73" s="848"/>
      <c r="DA73" s="848"/>
      <c r="DB73" s="848"/>
      <c r="DC73" s="848"/>
      <c r="DD73" s="848"/>
      <c r="DE73" s="848"/>
      <c r="DF73" s="848"/>
      <c r="DG73" s="848"/>
    </row>
    <row r="74" spans="1:111">
      <c r="A74" s="885"/>
      <c r="B74" s="883"/>
      <c r="C74" s="883"/>
      <c r="D74" s="883"/>
      <c r="E74" s="883"/>
      <c r="F74" s="883"/>
      <c r="G74" s="883"/>
      <c r="H74" s="883"/>
      <c r="I74" s="883"/>
      <c r="J74" s="883"/>
      <c r="K74" s="883"/>
      <c r="L74" s="883"/>
      <c r="M74" s="883"/>
      <c r="N74" s="883"/>
      <c r="O74" s="883"/>
      <c r="P74" s="883"/>
      <c r="Q74" s="883"/>
      <c r="R74" s="883"/>
      <c r="S74" s="883"/>
      <c r="T74" s="883"/>
      <c r="U74" s="883"/>
      <c r="V74" s="883"/>
      <c r="W74" s="883"/>
      <c r="X74" s="883"/>
      <c r="Y74" s="883"/>
      <c r="Z74" s="883"/>
      <c r="AA74" s="883"/>
      <c r="AB74" s="883"/>
      <c r="AC74" s="883"/>
      <c r="AD74" s="883"/>
      <c r="AE74" s="884"/>
      <c r="AF74" s="185"/>
      <c r="AG74" s="185"/>
      <c r="AH74" s="848"/>
      <c r="AI74" s="848"/>
      <c r="AJ74" s="848"/>
      <c r="AK74" s="848"/>
      <c r="AL74" s="848"/>
      <c r="AM74" s="848"/>
      <c r="AN74" s="848"/>
      <c r="AO74" s="848"/>
      <c r="AP74" s="848"/>
      <c r="AQ74" s="848"/>
      <c r="AR74" s="848"/>
      <c r="AS74" s="848"/>
      <c r="AT74" s="848"/>
      <c r="AU74" s="848"/>
      <c r="AV74" s="848"/>
      <c r="AW74" s="848"/>
      <c r="AX74" s="848"/>
      <c r="AY74" s="848"/>
      <c r="AZ74" s="848"/>
      <c r="BA74" s="848"/>
      <c r="BB74" s="848"/>
      <c r="BC74" s="848"/>
      <c r="BD74" s="848"/>
      <c r="BE74" s="848"/>
      <c r="BF74" s="848"/>
      <c r="BG74" s="848"/>
      <c r="BH74" s="848"/>
      <c r="BI74" s="848"/>
      <c r="BJ74" s="848"/>
      <c r="BK74" s="848"/>
      <c r="BL74" s="848"/>
      <c r="BM74" s="848"/>
      <c r="BN74" s="848"/>
      <c r="BO74" s="848"/>
      <c r="BP74" s="848"/>
      <c r="BQ74" s="848"/>
      <c r="BR74" s="848"/>
      <c r="BS74" s="848"/>
      <c r="BT74" s="848"/>
      <c r="BU74" s="848"/>
      <c r="BV74" s="848"/>
      <c r="BW74" s="848"/>
      <c r="BX74" s="848"/>
      <c r="BY74" s="848"/>
      <c r="BZ74" s="848"/>
      <c r="CA74" s="848"/>
      <c r="CB74" s="848"/>
      <c r="CC74" s="848"/>
      <c r="CD74" s="848"/>
      <c r="CE74" s="848"/>
      <c r="CF74" s="848"/>
      <c r="CG74" s="848"/>
      <c r="CH74" s="848"/>
      <c r="CI74" s="848"/>
      <c r="CJ74" s="848"/>
      <c r="CK74" s="848"/>
      <c r="CL74" s="848"/>
      <c r="CM74" s="848"/>
      <c r="CN74" s="848"/>
      <c r="CO74" s="848"/>
      <c r="CP74" s="848"/>
      <c r="CQ74" s="848"/>
      <c r="CR74" s="848"/>
      <c r="CS74" s="848"/>
      <c r="CT74" s="848"/>
      <c r="CU74" s="848"/>
      <c r="CV74" s="848"/>
      <c r="CW74" s="848"/>
      <c r="CX74" s="848"/>
      <c r="CY74" s="848"/>
      <c r="CZ74" s="848"/>
      <c r="DA74" s="848"/>
      <c r="DB74" s="848"/>
      <c r="DC74" s="848"/>
      <c r="DD74" s="848"/>
      <c r="DE74" s="848"/>
      <c r="DF74" s="848"/>
      <c r="DG74" s="848"/>
    </row>
    <row r="75" spans="1:111" s="3" customFormat="1">
      <c r="A75" s="885"/>
      <c r="B75" s="883"/>
      <c r="C75" s="883"/>
      <c r="D75" s="883"/>
      <c r="E75" s="883"/>
      <c r="F75" s="883"/>
      <c r="G75" s="883"/>
      <c r="H75" s="883"/>
      <c r="I75" s="883"/>
      <c r="J75" s="883"/>
      <c r="K75" s="883"/>
      <c r="L75" s="883"/>
      <c r="M75" s="883"/>
      <c r="N75" s="883"/>
      <c r="O75" s="883"/>
      <c r="P75" s="883"/>
      <c r="Q75" s="883"/>
      <c r="R75" s="883"/>
      <c r="S75" s="883"/>
      <c r="T75" s="883"/>
      <c r="U75" s="883"/>
      <c r="V75" s="883"/>
      <c r="W75" s="883"/>
      <c r="X75" s="883"/>
      <c r="Y75" s="883"/>
      <c r="Z75" s="883"/>
      <c r="AA75" s="883"/>
      <c r="AB75" s="883"/>
      <c r="AC75" s="883"/>
      <c r="AD75" s="883"/>
      <c r="AE75" s="884"/>
      <c r="AF75" s="185"/>
      <c r="AG75" s="185"/>
      <c r="AH75" s="848"/>
      <c r="AI75" s="848"/>
      <c r="AJ75" s="848"/>
      <c r="AK75" s="848"/>
      <c r="AL75" s="848"/>
      <c r="AM75" s="848"/>
      <c r="AN75" s="848"/>
      <c r="AO75" s="848"/>
      <c r="AP75" s="848"/>
      <c r="AQ75" s="848"/>
      <c r="AR75" s="848"/>
      <c r="AS75" s="848"/>
      <c r="AT75" s="848"/>
      <c r="AU75" s="848"/>
      <c r="AV75" s="848"/>
      <c r="AW75" s="848"/>
      <c r="AX75" s="848"/>
      <c r="AY75" s="848"/>
      <c r="AZ75" s="848"/>
      <c r="BA75" s="848"/>
      <c r="BB75" s="848"/>
      <c r="BC75" s="848"/>
      <c r="BD75" s="848"/>
      <c r="BE75" s="848"/>
      <c r="BF75" s="848"/>
      <c r="BG75" s="848"/>
      <c r="BH75" s="848"/>
      <c r="BI75" s="848"/>
      <c r="BJ75" s="848"/>
      <c r="BK75" s="848"/>
      <c r="BL75" s="848"/>
      <c r="BM75" s="848"/>
      <c r="BN75" s="848"/>
      <c r="BO75" s="848"/>
      <c r="BP75" s="848"/>
      <c r="BQ75" s="848"/>
      <c r="BR75" s="848"/>
      <c r="BS75" s="848"/>
      <c r="BT75" s="848"/>
      <c r="BU75" s="848"/>
      <c r="BV75" s="848"/>
      <c r="BW75" s="848"/>
      <c r="BX75" s="848"/>
      <c r="BY75" s="848"/>
      <c r="BZ75" s="848"/>
      <c r="CA75" s="848"/>
      <c r="CB75" s="848"/>
      <c r="CC75" s="848"/>
      <c r="CD75" s="848"/>
      <c r="CE75" s="848"/>
      <c r="CF75" s="848"/>
      <c r="CG75" s="848"/>
      <c r="CH75" s="848"/>
      <c r="CI75" s="848"/>
      <c r="CJ75" s="848"/>
      <c r="CK75" s="848"/>
      <c r="CL75" s="848"/>
      <c r="CM75" s="848"/>
      <c r="CN75" s="848"/>
      <c r="CO75" s="848"/>
      <c r="CP75" s="848"/>
      <c r="CQ75" s="848"/>
      <c r="CR75" s="848"/>
      <c r="CS75" s="848"/>
      <c r="CT75" s="848"/>
      <c r="CU75" s="848"/>
      <c r="CV75" s="848"/>
      <c r="CW75" s="848"/>
      <c r="CX75" s="848"/>
      <c r="CY75" s="848"/>
      <c r="CZ75" s="848"/>
      <c r="DA75" s="848"/>
      <c r="DB75" s="848"/>
      <c r="DC75" s="848"/>
      <c r="DD75" s="848"/>
      <c r="DE75" s="848"/>
      <c r="DF75" s="848"/>
      <c r="DG75" s="848"/>
    </row>
    <row r="76" spans="1:111" s="4" customFormat="1">
      <c r="A76" s="885"/>
      <c r="B76" s="883"/>
      <c r="C76" s="883"/>
      <c r="D76" s="883"/>
      <c r="E76" s="883"/>
      <c r="F76" s="883"/>
      <c r="G76" s="883"/>
      <c r="H76" s="883"/>
      <c r="I76" s="883"/>
      <c r="J76" s="883"/>
      <c r="K76" s="883"/>
      <c r="L76" s="883"/>
      <c r="M76" s="883"/>
      <c r="N76" s="883"/>
      <c r="O76" s="883"/>
      <c r="P76" s="883"/>
      <c r="Q76" s="883"/>
      <c r="R76" s="883"/>
      <c r="S76" s="883"/>
      <c r="T76" s="883"/>
      <c r="U76" s="883"/>
      <c r="V76" s="883"/>
      <c r="W76" s="883"/>
      <c r="X76" s="883"/>
      <c r="Y76" s="883"/>
      <c r="Z76" s="883"/>
      <c r="AA76" s="883"/>
      <c r="AB76" s="883"/>
      <c r="AC76" s="883"/>
      <c r="AD76" s="883"/>
      <c r="AE76" s="884"/>
      <c r="AF76" s="185"/>
      <c r="AG76" s="185"/>
      <c r="AH76" s="848"/>
      <c r="AI76" s="848"/>
      <c r="AJ76" s="848"/>
      <c r="AK76" s="848"/>
      <c r="AL76" s="848"/>
      <c r="AM76" s="848"/>
      <c r="AN76" s="848"/>
      <c r="AO76" s="848"/>
      <c r="AP76" s="848"/>
      <c r="AQ76" s="848"/>
      <c r="AR76" s="848"/>
      <c r="AS76" s="848"/>
      <c r="AT76" s="848"/>
      <c r="AU76" s="848"/>
      <c r="AV76" s="848"/>
      <c r="AW76" s="848"/>
      <c r="AX76" s="848"/>
      <c r="AY76" s="848"/>
      <c r="AZ76" s="848"/>
      <c r="BA76" s="848"/>
      <c r="BB76" s="848"/>
      <c r="BC76" s="848"/>
      <c r="BD76" s="848"/>
      <c r="BE76" s="848"/>
      <c r="BF76" s="848"/>
      <c r="BG76" s="848"/>
      <c r="BH76" s="848"/>
      <c r="BI76" s="848"/>
      <c r="BJ76" s="848"/>
      <c r="BK76" s="848"/>
      <c r="BL76" s="848"/>
      <c r="BM76" s="848"/>
      <c r="BN76" s="848"/>
      <c r="BO76" s="848"/>
      <c r="BP76" s="848"/>
      <c r="BQ76" s="848"/>
      <c r="BR76" s="848"/>
      <c r="BS76" s="848"/>
      <c r="BT76" s="848"/>
      <c r="BU76" s="848"/>
      <c r="BV76" s="848"/>
      <c r="BW76" s="848"/>
      <c r="BX76" s="848"/>
      <c r="BY76" s="848"/>
      <c r="BZ76" s="848"/>
      <c r="CA76" s="848"/>
      <c r="CB76" s="848"/>
      <c r="CC76" s="848"/>
      <c r="CD76" s="848"/>
      <c r="CE76" s="848"/>
      <c r="CF76" s="848"/>
      <c r="CG76" s="848"/>
      <c r="CH76" s="848"/>
      <c r="CI76" s="848"/>
      <c r="CJ76" s="848"/>
      <c r="CK76" s="848"/>
      <c r="CL76" s="848"/>
      <c r="CM76" s="848"/>
      <c r="CN76" s="848"/>
      <c r="CO76" s="848"/>
      <c r="CP76" s="848"/>
      <c r="CQ76" s="848"/>
      <c r="CR76" s="848"/>
      <c r="CS76" s="848"/>
      <c r="CT76" s="848"/>
      <c r="CU76" s="848"/>
      <c r="CV76" s="848"/>
      <c r="CW76" s="848"/>
      <c r="CX76" s="848"/>
      <c r="CY76" s="848"/>
      <c r="CZ76" s="848"/>
      <c r="DA76" s="848"/>
      <c r="DB76" s="848"/>
      <c r="DC76" s="848"/>
      <c r="DD76" s="848"/>
      <c r="DE76" s="848"/>
      <c r="DF76" s="848"/>
      <c r="DG76" s="848"/>
    </row>
    <row r="77" spans="1:111">
      <c r="A77" s="885"/>
      <c r="B77" s="883"/>
      <c r="C77" s="883"/>
      <c r="D77" s="883"/>
      <c r="E77" s="883"/>
      <c r="F77" s="883"/>
      <c r="G77" s="883"/>
      <c r="H77" s="883"/>
      <c r="I77" s="883"/>
      <c r="J77" s="883"/>
      <c r="K77" s="883"/>
      <c r="L77" s="883"/>
      <c r="M77" s="883"/>
      <c r="N77" s="883"/>
      <c r="O77" s="883"/>
      <c r="P77" s="883"/>
      <c r="Q77" s="883"/>
      <c r="R77" s="883"/>
      <c r="S77" s="883"/>
      <c r="T77" s="883"/>
      <c r="U77" s="883"/>
      <c r="V77" s="883"/>
      <c r="W77" s="883"/>
      <c r="X77" s="883"/>
      <c r="Y77" s="883"/>
      <c r="Z77" s="883"/>
      <c r="AA77" s="883"/>
      <c r="AB77" s="883"/>
      <c r="AC77" s="883"/>
      <c r="AD77" s="883"/>
      <c r="AE77" s="884"/>
      <c r="AF77" s="185"/>
      <c r="AG77" s="185"/>
      <c r="AH77" s="848"/>
      <c r="AI77" s="848"/>
      <c r="AJ77" s="848"/>
      <c r="AK77" s="848"/>
      <c r="AL77" s="848"/>
      <c r="AM77" s="848"/>
      <c r="AN77" s="848"/>
      <c r="AO77" s="848"/>
      <c r="AP77" s="848"/>
      <c r="AQ77" s="848"/>
      <c r="AR77" s="848"/>
      <c r="AS77" s="848"/>
      <c r="AT77" s="848"/>
      <c r="AU77" s="848"/>
      <c r="AV77" s="848"/>
      <c r="AW77" s="848"/>
      <c r="AX77" s="848"/>
      <c r="AY77" s="848"/>
      <c r="AZ77" s="848"/>
      <c r="BA77" s="848"/>
      <c r="BB77" s="848"/>
      <c r="BC77" s="848"/>
      <c r="BD77" s="848"/>
      <c r="BE77" s="848"/>
      <c r="BF77" s="848"/>
      <c r="BG77" s="848"/>
      <c r="BH77" s="848"/>
      <c r="BI77" s="848"/>
      <c r="BJ77" s="848"/>
      <c r="BK77" s="848"/>
      <c r="BL77" s="848"/>
      <c r="BM77" s="848"/>
      <c r="BN77" s="848"/>
      <c r="BO77" s="848"/>
      <c r="BP77" s="848"/>
      <c r="BQ77" s="848"/>
      <c r="BR77" s="848"/>
      <c r="BS77" s="848"/>
      <c r="BT77" s="848"/>
      <c r="BU77" s="848"/>
      <c r="BV77" s="848"/>
      <c r="BW77" s="848"/>
      <c r="BX77" s="848"/>
      <c r="BY77" s="848"/>
      <c r="BZ77" s="848"/>
      <c r="CA77" s="848"/>
      <c r="CB77" s="848"/>
      <c r="CC77" s="848"/>
      <c r="CD77" s="848"/>
      <c r="CE77" s="848"/>
      <c r="CF77" s="848"/>
      <c r="CG77" s="848"/>
      <c r="CH77" s="848"/>
      <c r="CI77" s="848"/>
      <c r="CJ77" s="848"/>
      <c r="CK77" s="848"/>
      <c r="CL77" s="848"/>
      <c r="CM77" s="848"/>
      <c r="CN77" s="848"/>
      <c r="CO77" s="848"/>
      <c r="CP77" s="848"/>
      <c r="CQ77" s="848"/>
      <c r="CR77" s="848"/>
      <c r="CS77" s="848"/>
      <c r="CT77" s="848"/>
      <c r="CU77" s="848"/>
      <c r="CV77" s="848"/>
      <c r="CW77" s="848"/>
      <c r="CX77" s="848"/>
      <c r="CY77" s="848"/>
      <c r="CZ77" s="848"/>
      <c r="DA77" s="848"/>
      <c r="DB77" s="848"/>
      <c r="DC77" s="848"/>
      <c r="DD77" s="848"/>
      <c r="DE77" s="848"/>
      <c r="DF77" s="848"/>
      <c r="DG77" s="848"/>
    </row>
    <row r="78" spans="1:111">
      <c r="A78" s="885"/>
      <c r="B78" s="883"/>
      <c r="C78" s="883"/>
      <c r="D78" s="883"/>
      <c r="E78" s="883"/>
      <c r="F78" s="883"/>
      <c r="G78" s="883"/>
      <c r="H78" s="883"/>
      <c r="I78" s="883"/>
      <c r="J78" s="883"/>
      <c r="K78" s="883"/>
      <c r="L78" s="883"/>
      <c r="M78" s="883"/>
      <c r="N78" s="883"/>
      <c r="O78" s="883"/>
      <c r="P78" s="883"/>
      <c r="Q78" s="883"/>
      <c r="R78" s="883"/>
      <c r="S78" s="883"/>
      <c r="T78" s="883"/>
      <c r="U78" s="883"/>
      <c r="V78" s="883"/>
      <c r="W78" s="883"/>
      <c r="X78" s="883"/>
      <c r="Y78" s="883"/>
      <c r="Z78" s="883"/>
      <c r="AA78" s="883"/>
      <c r="AB78" s="883"/>
      <c r="AC78" s="883"/>
      <c r="AD78" s="883"/>
      <c r="AE78" s="884"/>
      <c r="AF78" s="185"/>
      <c r="AG78" s="185"/>
      <c r="AH78" s="848"/>
      <c r="AI78" s="848"/>
      <c r="AJ78" s="848"/>
      <c r="AK78" s="848"/>
      <c r="AL78" s="848"/>
      <c r="AM78" s="848"/>
      <c r="AN78" s="848"/>
      <c r="AO78" s="848"/>
      <c r="AP78" s="848"/>
      <c r="AQ78" s="848"/>
      <c r="AR78" s="848"/>
      <c r="AS78" s="848"/>
      <c r="AT78" s="848"/>
      <c r="AU78" s="848"/>
      <c r="AV78" s="848"/>
      <c r="AW78" s="848"/>
      <c r="AX78" s="848"/>
      <c r="AY78" s="848"/>
      <c r="AZ78" s="848"/>
      <c r="BA78" s="848"/>
      <c r="BB78" s="848"/>
      <c r="BC78" s="848"/>
      <c r="BD78" s="848"/>
      <c r="BE78" s="848"/>
      <c r="BF78" s="848"/>
      <c r="BG78" s="848"/>
      <c r="BH78" s="848"/>
      <c r="BI78" s="848"/>
      <c r="BJ78" s="848"/>
      <c r="BK78" s="848"/>
      <c r="BL78" s="848"/>
      <c r="BM78" s="848"/>
      <c r="BN78" s="848"/>
      <c r="BO78" s="848"/>
      <c r="BP78" s="848"/>
      <c r="BQ78" s="848"/>
      <c r="BR78" s="848"/>
      <c r="BS78" s="848"/>
      <c r="BT78" s="848"/>
      <c r="BU78" s="848"/>
      <c r="BV78" s="848"/>
      <c r="BW78" s="848"/>
      <c r="BX78" s="848"/>
      <c r="BY78" s="848"/>
      <c r="BZ78" s="848"/>
      <c r="CA78" s="848"/>
      <c r="CB78" s="848"/>
      <c r="CC78" s="848"/>
      <c r="CD78" s="848"/>
      <c r="CE78" s="848"/>
      <c r="CF78" s="848"/>
      <c r="CG78" s="848"/>
      <c r="CH78" s="848"/>
      <c r="CI78" s="848"/>
      <c r="CJ78" s="848"/>
      <c r="CK78" s="848"/>
      <c r="CL78" s="848"/>
      <c r="CM78" s="848"/>
      <c r="CN78" s="848"/>
      <c r="CO78" s="848"/>
      <c r="CP78" s="848"/>
      <c r="CQ78" s="848"/>
      <c r="CR78" s="848"/>
      <c r="CS78" s="848"/>
      <c r="CT78" s="848"/>
      <c r="CU78" s="848"/>
      <c r="CV78" s="848"/>
      <c r="CW78" s="848"/>
      <c r="CX78" s="848"/>
      <c r="CY78" s="848"/>
      <c r="CZ78" s="848"/>
      <c r="DA78" s="848"/>
      <c r="DB78" s="848"/>
      <c r="DC78" s="848"/>
      <c r="DD78" s="848"/>
      <c r="DE78" s="848"/>
      <c r="DF78" s="848"/>
      <c r="DG78" s="848"/>
    </row>
    <row r="79" spans="1:111" s="3" customFormat="1">
      <c r="A79" s="885"/>
      <c r="B79" s="883"/>
      <c r="C79" s="883"/>
      <c r="D79" s="883"/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  <c r="P79" s="883"/>
      <c r="Q79" s="883"/>
      <c r="R79" s="883"/>
      <c r="S79" s="883"/>
      <c r="T79" s="883"/>
      <c r="U79" s="883"/>
      <c r="V79" s="883"/>
      <c r="W79" s="883"/>
      <c r="X79" s="883"/>
      <c r="Y79" s="883"/>
      <c r="Z79" s="883"/>
      <c r="AA79" s="883"/>
      <c r="AB79" s="883"/>
      <c r="AC79" s="883"/>
      <c r="AD79" s="883"/>
      <c r="AE79" s="884"/>
      <c r="AF79" s="185"/>
      <c r="AG79" s="185"/>
      <c r="AH79" s="848"/>
      <c r="AI79" s="848"/>
      <c r="AJ79" s="848"/>
      <c r="AK79" s="848"/>
      <c r="AL79" s="848"/>
      <c r="AM79" s="848"/>
      <c r="AN79" s="848"/>
      <c r="AO79" s="848"/>
      <c r="AP79" s="848"/>
      <c r="AQ79" s="848"/>
      <c r="AR79" s="848"/>
      <c r="AS79" s="848"/>
      <c r="AT79" s="848"/>
      <c r="AU79" s="848"/>
      <c r="AV79" s="848"/>
      <c r="AW79" s="848"/>
      <c r="AX79" s="848"/>
      <c r="AY79" s="848"/>
      <c r="AZ79" s="848"/>
      <c r="BA79" s="848"/>
      <c r="BB79" s="848"/>
      <c r="BC79" s="848"/>
      <c r="BD79" s="848"/>
      <c r="BE79" s="848"/>
      <c r="BF79" s="848"/>
      <c r="BG79" s="848"/>
      <c r="BH79" s="848"/>
      <c r="BI79" s="848"/>
      <c r="BJ79" s="848"/>
      <c r="BK79" s="848"/>
      <c r="BL79" s="848"/>
      <c r="BM79" s="848"/>
      <c r="BN79" s="848"/>
      <c r="BO79" s="848"/>
      <c r="BP79" s="848"/>
      <c r="BQ79" s="848"/>
      <c r="BR79" s="848"/>
      <c r="BS79" s="848"/>
      <c r="BT79" s="848"/>
      <c r="BU79" s="848"/>
      <c r="BV79" s="848"/>
      <c r="BW79" s="848"/>
      <c r="BX79" s="848"/>
      <c r="BY79" s="848"/>
      <c r="BZ79" s="848"/>
      <c r="CA79" s="848"/>
      <c r="CB79" s="848"/>
      <c r="CC79" s="848"/>
      <c r="CD79" s="848"/>
      <c r="CE79" s="848"/>
      <c r="CF79" s="848"/>
      <c r="CG79" s="848"/>
      <c r="CH79" s="848"/>
      <c r="CI79" s="848"/>
      <c r="CJ79" s="848"/>
      <c r="CK79" s="848"/>
      <c r="CL79" s="848"/>
      <c r="CM79" s="848"/>
      <c r="CN79" s="848"/>
      <c r="CO79" s="848"/>
      <c r="CP79" s="848"/>
      <c r="CQ79" s="848"/>
      <c r="CR79" s="848"/>
      <c r="CS79" s="848"/>
      <c r="CT79" s="848"/>
      <c r="CU79" s="848"/>
      <c r="CV79" s="848"/>
      <c r="CW79" s="848"/>
      <c r="CX79" s="848"/>
      <c r="CY79" s="848"/>
      <c r="CZ79" s="848"/>
      <c r="DA79" s="848"/>
      <c r="DB79" s="848"/>
      <c r="DC79" s="848"/>
      <c r="DD79" s="848"/>
      <c r="DE79" s="848"/>
      <c r="DF79" s="848"/>
      <c r="DG79" s="848"/>
    </row>
    <row r="80" spans="1:111" s="4" customFormat="1">
      <c r="A80" s="885"/>
      <c r="B80" s="883"/>
      <c r="C80" s="883"/>
      <c r="D80" s="883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  <c r="Y80" s="883"/>
      <c r="Z80" s="883"/>
      <c r="AA80" s="883"/>
      <c r="AB80" s="883"/>
      <c r="AC80" s="883"/>
      <c r="AD80" s="883"/>
      <c r="AE80" s="884"/>
      <c r="AF80" s="185"/>
      <c r="AG80" s="185"/>
      <c r="AH80" s="848"/>
      <c r="AI80" s="848"/>
      <c r="AJ80" s="848"/>
      <c r="AK80" s="848"/>
      <c r="AL80" s="848"/>
      <c r="AM80" s="848"/>
      <c r="AN80" s="848"/>
      <c r="AO80" s="848"/>
      <c r="AP80" s="848"/>
      <c r="AQ80" s="848"/>
      <c r="AR80" s="848"/>
      <c r="AS80" s="848"/>
      <c r="AT80" s="848"/>
      <c r="AU80" s="848"/>
      <c r="AV80" s="848"/>
      <c r="AW80" s="848"/>
      <c r="AX80" s="848"/>
      <c r="AY80" s="848"/>
      <c r="AZ80" s="848"/>
      <c r="BA80" s="848"/>
      <c r="BB80" s="848"/>
      <c r="BC80" s="848"/>
      <c r="BD80" s="848"/>
      <c r="BE80" s="848"/>
      <c r="BF80" s="848"/>
      <c r="BG80" s="848"/>
      <c r="BH80" s="848"/>
      <c r="BI80" s="848"/>
      <c r="BJ80" s="848"/>
      <c r="BK80" s="848"/>
      <c r="BL80" s="848"/>
      <c r="BM80" s="848"/>
      <c r="BN80" s="848"/>
      <c r="BO80" s="848"/>
      <c r="BP80" s="848"/>
      <c r="BQ80" s="848"/>
      <c r="BR80" s="848"/>
      <c r="BS80" s="848"/>
      <c r="BT80" s="848"/>
      <c r="BU80" s="848"/>
      <c r="BV80" s="848"/>
      <c r="BW80" s="848"/>
      <c r="BX80" s="848"/>
      <c r="BY80" s="848"/>
      <c r="BZ80" s="848"/>
      <c r="CA80" s="848"/>
      <c r="CB80" s="848"/>
      <c r="CC80" s="848"/>
      <c r="CD80" s="848"/>
      <c r="CE80" s="848"/>
      <c r="CF80" s="848"/>
      <c r="CG80" s="848"/>
      <c r="CH80" s="848"/>
      <c r="CI80" s="848"/>
      <c r="CJ80" s="848"/>
      <c r="CK80" s="848"/>
      <c r="CL80" s="848"/>
      <c r="CM80" s="848"/>
      <c r="CN80" s="848"/>
      <c r="CO80" s="848"/>
      <c r="CP80" s="848"/>
      <c r="CQ80" s="848"/>
      <c r="CR80" s="848"/>
      <c r="CS80" s="848"/>
      <c r="CT80" s="848"/>
      <c r="CU80" s="848"/>
      <c r="CV80" s="848"/>
      <c r="CW80" s="848"/>
      <c r="CX80" s="848"/>
      <c r="CY80" s="848"/>
      <c r="CZ80" s="848"/>
      <c r="DA80" s="848"/>
      <c r="DB80" s="848"/>
      <c r="DC80" s="848"/>
      <c r="DD80" s="848"/>
      <c r="DE80" s="848"/>
      <c r="DF80" s="848"/>
      <c r="DG80" s="848"/>
    </row>
    <row r="81" spans="1:111">
      <c r="A81" s="885"/>
      <c r="B81" s="883"/>
      <c r="C81" s="883"/>
      <c r="D81" s="883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883"/>
      <c r="AE81" s="884"/>
      <c r="AF81" s="185"/>
      <c r="AG81" s="185"/>
      <c r="AH81" s="848"/>
      <c r="AI81" s="848"/>
      <c r="AJ81" s="848"/>
      <c r="AK81" s="848"/>
      <c r="AL81" s="848"/>
      <c r="AM81" s="848"/>
      <c r="AN81" s="848"/>
      <c r="AO81" s="848"/>
      <c r="AP81" s="848"/>
      <c r="AQ81" s="848"/>
      <c r="AR81" s="848"/>
      <c r="AS81" s="848"/>
      <c r="AT81" s="848"/>
      <c r="AU81" s="848"/>
      <c r="AV81" s="848"/>
      <c r="AW81" s="848"/>
      <c r="AX81" s="848"/>
      <c r="AY81" s="848"/>
      <c r="AZ81" s="848"/>
      <c r="BA81" s="848"/>
      <c r="BB81" s="848"/>
      <c r="BC81" s="848"/>
      <c r="BD81" s="848"/>
      <c r="BE81" s="848"/>
      <c r="BF81" s="848"/>
      <c r="BG81" s="848"/>
      <c r="BH81" s="848"/>
      <c r="BI81" s="848"/>
      <c r="BJ81" s="848"/>
      <c r="BK81" s="848"/>
      <c r="BL81" s="848"/>
      <c r="BM81" s="848"/>
      <c r="BN81" s="848"/>
      <c r="BO81" s="848"/>
      <c r="BP81" s="848"/>
      <c r="BQ81" s="848"/>
      <c r="BR81" s="848"/>
      <c r="BS81" s="848"/>
      <c r="BT81" s="848"/>
      <c r="BU81" s="848"/>
      <c r="BV81" s="848"/>
      <c r="BW81" s="848"/>
      <c r="BX81" s="848"/>
      <c r="BY81" s="848"/>
      <c r="BZ81" s="848"/>
      <c r="CA81" s="848"/>
      <c r="CB81" s="848"/>
      <c r="CC81" s="848"/>
      <c r="CD81" s="848"/>
      <c r="CE81" s="848"/>
      <c r="CF81" s="848"/>
      <c r="CG81" s="848"/>
      <c r="CH81" s="848"/>
      <c r="CI81" s="848"/>
      <c r="CJ81" s="848"/>
      <c r="CK81" s="848"/>
      <c r="CL81" s="848"/>
      <c r="CM81" s="848"/>
      <c r="CN81" s="848"/>
      <c r="CO81" s="848"/>
      <c r="CP81" s="848"/>
      <c r="CQ81" s="848"/>
      <c r="CR81" s="848"/>
      <c r="CS81" s="848"/>
      <c r="CT81" s="848"/>
      <c r="CU81" s="848"/>
      <c r="CV81" s="848"/>
      <c r="CW81" s="848"/>
      <c r="CX81" s="848"/>
      <c r="CY81" s="848"/>
      <c r="CZ81" s="848"/>
      <c r="DA81" s="848"/>
      <c r="DB81" s="848"/>
      <c r="DC81" s="848"/>
      <c r="DD81" s="848"/>
      <c r="DE81" s="848"/>
      <c r="DF81" s="848"/>
      <c r="DG81" s="848"/>
    </row>
    <row r="82" spans="1:111">
      <c r="A82" s="885"/>
      <c r="B82" s="883"/>
      <c r="C82" s="883"/>
      <c r="D82" s="883"/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3"/>
      <c r="Q82" s="883"/>
      <c r="R82" s="883"/>
      <c r="S82" s="883"/>
      <c r="T82" s="883"/>
      <c r="U82" s="883"/>
      <c r="V82" s="883"/>
      <c r="W82" s="883"/>
      <c r="X82" s="883"/>
      <c r="Y82" s="883"/>
      <c r="Z82" s="883"/>
      <c r="AA82" s="883"/>
      <c r="AB82" s="883"/>
      <c r="AC82" s="883"/>
      <c r="AD82" s="883"/>
      <c r="AE82" s="884"/>
      <c r="AF82" s="185"/>
      <c r="AG82" s="185"/>
      <c r="AH82" s="848"/>
      <c r="AI82" s="848"/>
      <c r="AJ82" s="848"/>
      <c r="AK82" s="848"/>
      <c r="AL82" s="848"/>
      <c r="AM82" s="848"/>
      <c r="AN82" s="848"/>
      <c r="AO82" s="848"/>
      <c r="AP82" s="848"/>
      <c r="AQ82" s="848"/>
      <c r="AR82" s="848"/>
      <c r="AS82" s="848"/>
      <c r="AT82" s="848"/>
      <c r="AU82" s="848"/>
      <c r="AV82" s="848"/>
      <c r="AW82" s="848"/>
      <c r="AX82" s="848"/>
      <c r="AY82" s="848"/>
      <c r="AZ82" s="848"/>
      <c r="BA82" s="848"/>
      <c r="BB82" s="848"/>
      <c r="BC82" s="848"/>
      <c r="BD82" s="848"/>
      <c r="BE82" s="848"/>
      <c r="BF82" s="848"/>
      <c r="BG82" s="848"/>
      <c r="BH82" s="848"/>
      <c r="BI82" s="848"/>
      <c r="BJ82" s="848"/>
      <c r="BK82" s="848"/>
      <c r="BL82" s="848"/>
      <c r="BM82" s="848"/>
      <c r="BN82" s="848"/>
      <c r="BO82" s="848"/>
      <c r="BP82" s="848"/>
      <c r="BQ82" s="848"/>
      <c r="BR82" s="848"/>
      <c r="BS82" s="848"/>
      <c r="BT82" s="848"/>
      <c r="BU82" s="848"/>
      <c r="BV82" s="848"/>
      <c r="BW82" s="848"/>
      <c r="BX82" s="848"/>
      <c r="BY82" s="848"/>
      <c r="BZ82" s="848"/>
      <c r="CA82" s="848"/>
      <c r="CB82" s="848"/>
      <c r="CC82" s="848"/>
      <c r="CD82" s="848"/>
      <c r="CE82" s="848"/>
      <c r="CF82" s="848"/>
      <c r="CG82" s="848"/>
      <c r="CH82" s="848"/>
      <c r="CI82" s="848"/>
      <c r="CJ82" s="848"/>
      <c r="CK82" s="848"/>
      <c r="CL82" s="848"/>
      <c r="CM82" s="848"/>
      <c r="CN82" s="848"/>
      <c r="CO82" s="848"/>
      <c r="CP82" s="848"/>
      <c r="CQ82" s="848"/>
      <c r="CR82" s="848"/>
      <c r="CS82" s="848"/>
      <c r="CT82" s="848"/>
      <c r="CU82" s="848"/>
      <c r="CV82" s="848"/>
      <c r="CW82" s="848"/>
      <c r="CX82" s="848"/>
      <c r="CY82" s="848"/>
      <c r="CZ82" s="848"/>
      <c r="DA82" s="848"/>
      <c r="DB82" s="848"/>
      <c r="DC82" s="848"/>
      <c r="DD82" s="848"/>
      <c r="DE82" s="848"/>
      <c r="DF82" s="848"/>
      <c r="DG82" s="848"/>
    </row>
    <row r="83" spans="1:111">
      <c r="A83" s="885"/>
      <c r="B83" s="883"/>
      <c r="C83" s="883"/>
      <c r="D83" s="883"/>
      <c r="E83" s="883"/>
      <c r="F83" s="883"/>
      <c r="G83" s="883"/>
      <c r="H83" s="883"/>
      <c r="I83" s="883"/>
      <c r="J83" s="883"/>
      <c r="K83" s="883"/>
      <c r="L83" s="883"/>
      <c r="M83" s="883"/>
      <c r="N83" s="883"/>
      <c r="O83" s="883"/>
      <c r="P83" s="883"/>
      <c r="Q83" s="883"/>
      <c r="R83" s="883"/>
      <c r="S83" s="883"/>
      <c r="T83" s="883"/>
      <c r="U83" s="883"/>
      <c r="V83" s="883"/>
      <c r="W83" s="883"/>
      <c r="X83" s="883"/>
      <c r="Y83" s="883"/>
      <c r="Z83" s="883"/>
      <c r="AA83" s="883"/>
      <c r="AB83" s="883"/>
      <c r="AC83" s="883"/>
      <c r="AD83" s="883"/>
      <c r="AE83" s="884"/>
      <c r="AF83" s="185"/>
      <c r="AG83" s="185"/>
      <c r="AH83" s="848"/>
      <c r="AI83" s="848"/>
      <c r="AJ83" s="848"/>
      <c r="AK83" s="848"/>
      <c r="AL83" s="848"/>
      <c r="AM83" s="848"/>
      <c r="AN83" s="848"/>
      <c r="AO83" s="848"/>
      <c r="AP83" s="848"/>
      <c r="AQ83" s="848"/>
      <c r="AR83" s="848"/>
      <c r="AS83" s="848"/>
      <c r="AT83" s="848"/>
      <c r="AU83" s="848"/>
      <c r="AV83" s="848"/>
      <c r="AW83" s="848"/>
      <c r="AX83" s="848"/>
      <c r="AY83" s="848"/>
      <c r="AZ83" s="848"/>
      <c r="BA83" s="848"/>
      <c r="BB83" s="848"/>
      <c r="BC83" s="848"/>
      <c r="BD83" s="848"/>
      <c r="BE83" s="848"/>
      <c r="BF83" s="848"/>
      <c r="BG83" s="848"/>
      <c r="BH83" s="848"/>
      <c r="BI83" s="848"/>
      <c r="BJ83" s="848"/>
      <c r="BK83" s="848"/>
      <c r="BL83" s="848"/>
      <c r="BM83" s="848"/>
      <c r="BN83" s="848"/>
      <c r="BO83" s="848"/>
      <c r="BP83" s="848"/>
      <c r="BQ83" s="848"/>
      <c r="BR83" s="848"/>
      <c r="BS83" s="848"/>
      <c r="BT83" s="848"/>
      <c r="BU83" s="848"/>
      <c r="BV83" s="848"/>
      <c r="BW83" s="848"/>
      <c r="BX83" s="848"/>
      <c r="BY83" s="848"/>
      <c r="BZ83" s="848"/>
      <c r="CA83" s="848"/>
      <c r="CB83" s="848"/>
      <c r="CC83" s="848"/>
      <c r="CD83" s="848"/>
      <c r="CE83" s="848"/>
      <c r="CF83" s="848"/>
      <c r="CG83" s="848"/>
      <c r="CH83" s="848"/>
      <c r="CI83" s="848"/>
      <c r="CJ83" s="848"/>
      <c r="CK83" s="848"/>
      <c r="CL83" s="848"/>
      <c r="CM83" s="848"/>
      <c r="CN83" s="848"/>
      <c r="CO83" s="848"/>
      <c r="CP83" s="848"/>
      <c r="CQ83" s="848"/>
      <c r="CR83" s="848"/>
      <c r="CS83" s="848"/>
      <c r="CT83" s="848"/>
      <c r="CU83" s="848"/>
      <c r="CV83" s="848"/>
      <c r="CW83" s="848"/>
      <c r="CX83" s="848"/>
      <c r="CY83" s="848"/>
      <c r="CZ83" s="848"/>
      <c r="DA83" s="848"/>
      <c r="DB83" s="848"/>
      <c r="DC83" s="848"/>
      <c r="DD83" s="848"/>
      <c r="DE83" s="848"/>
      <c r="DF83" s="848"/>
      <c r="DG83" s="848"/>
    </row>
    <row r="84" spans="1:111" s="3" customFormat="1">
      <c r="A84" s="885"/>
      <c r="B84" s="883"/>
      <c r="C84" s="883"/>
      <c r="D84" s="883"/>
      <c r="E84" s="883"/>
      <c r="F84" s="883"/>
      <c r="G84" s="883"/>
      <c r="H84" s="883"/>
      <c r="I84" s="883"/>
      <c r="J84" s="883"/>
      <c r="K84" s="883"/>
      <c r="L84" s="883"/>
      <c r="M84" s="883"/>
      <c r="N84" s="883"/>
      <c r="O84" s="883"/>
      <c r="P84" s="883"/>
      <c r="Q84" s="883"/>
      <c r="R84" s="883"/>
      <c r="S84" s="883"/>
      <c r="T84" s="883"/>
      <c r="U84" s="883"/>
      <c r="V84" s="883"/>
      <c r="W84" s="883"/>
      <c r="X84" s="883"/>
      <c r="Y84" s="883"/>
      <c r="Z84" s="883"/>
      <c r="AA84" s="883"/>
      <c r="AB84" s="883"/>
      <c r="AC84" s="883"/>
      <c r="AD84" s="883"/>
      <c r="AE84" s="884"/>
      <c r="AF84" s="185"/>
      <c r="AG84" s="185"/>
      <c r="AH84" s="848"/>
      <c r="AI84" s="848"/>
      <c r="AJ84" s="848"/>
      <c r="AK84" s="848"/>
      <c r="AL84" s="848"/>
      <c r="AM84" s="848"/>
      <c r="AN84" s="848"/>
      <c r="AO84" s="848"/>
      <c r="AP84" s="848"/>
      <c r="AQ84" s="848"/>
      <c r="AR84" s="848"/>
      <c r="AS84" s="848"/>
      <c r="AT84" s="848"/>
      <c r="AU84" s="848"/>
      <c r="AV84" s="848"/>
      <c r="AW84" s="848"/>
      <c r="AX84" s="848"/>
      <c r="AY84" s="848"/>
      <c r="AZ84" s="848"/>
      <c r="BA84" s="848"/>
      <c r="BB84" s="848"/>
      <c r="BC84" s="848"/>
      <c r="BD84" s="848"/>
      <c r="BE84" s="848"/>
      <c r="BF84" s="848"/>
      <c r="BG84" s="848"/>
      <c r="BH84" s="848"/>
      <c r="BI84" s="848"/>
      <c r="BJ84" s="848"/>
      <c r="BK84" s="848"/>
      <c r="BL84" s="848"/>
      <c r="BM84" s="848"/>
      <c r="BN84" s="848"/>
      <c r="BO84" s="848"/>
      <c r="BP84" s="848"/>
      <c r="BQ84" s="848"/>
      <c r="BR84" s="848"/>
      <c r="BS84" s="848"/>
      <c r="BT84" s="848"/>
      <c r="BU84" s="848"/>
      <c r="BV84" s="848"/>
      <c r="BW84" s="848"/>
      <c r="BX84" s="848"/>
      <c r="BY84" s="848"/>
      <c r="BZ84" s="848"/>
      <c r="CA84" s="848"/>
      <c r="CB84" s="848"/>
      <c r="CC84" s="848"/>
      <c r="CD84" s="848"/>
      <c r="CE84" s="848"/>
      <c r="CF84" s="848"/>
      <c r="CG84" s="848"/>
      <c r="CH84" s="848"/>
      <c r="CI84" s="848"/>
      <c r="CJ84" s="848"/>
      <c r="CK84" s="848"/>
      <c r="CL84" s="848"/>
      <c r="CM84" s="848"/>
      <c r="CN84" s="848"/>
      <c r="CO84" s="848"/>
      <c r="CP84" s="848"/>
      <c r="CQ84" s="848"/>
      <c r="CR84" s="848"/>
      <c r="CS84" s="848"/>
      <c r="CT84" s="848"/>
      <c r="CU84" s="848"/>
      <c r="CV84" s="848"/>
      <c r="CW84" s="848"/>
      <c r="CX84" s="848"/>
      <c r="CY84" s="848"/>
      <c r="CZ84" s="848"/>
      <c r="DA84" s="848"/>
      <c r="DB84" s="848"/>
      <c r="DC84" s="848"/>
      <c r="DD84" s="848"/>
      <c r="DE84" s="848"/>
      <c r="DF84" s="848"/>
      <c r="DG84" s="848"/>
    </row>
    <row r="85" spans="1:111">
      <c r="A85" s="885"/>
      <c r="B85" s="883"/>
      <c r="C85" s="883"/>
      <c r="D85" s="883"/>
      <c r="E85" s="883"/>
      <c r="F85" s="883"/>
      <c r="G85" s="883"/>
      <c r="H85" s="883"/>
      <c r="I85" s="883"/>
      <c r="J85" s="883"/>
      <c r="K85" s="883"/>
      <c r="L85" s="883"/>
      <c r="M85" s="883"/>
      <c r="N85" s="883"/>
      <c r="O85" s="883"/>
      <c r="P85" s="883"/>
      <c r="Q85" s="883"/>
      <c r="R85" s="883"/>
      <c r="S85" s="883"/>
      <c r="T85" s="883"/>
      <c r="U85" s="883"/>
      <c r="V85" s="883"/>
      <c r="W85" s="883"/>
      <c r="X85" s="883"/>
      <c r="Y85" s="883"/>
      <c r="Z85" s="883"/>
      <c r="AA85" s="883"/>
      <c r="AB85" s="883"/>
      <c r="AC85" s="883"/>
      <c r="AD85" s="883"/>
      <c r="AE85" s="884"/>
      <c r="AF85" s="185"/>
      <c r="AG85" s="185"/>
      <c r="AH85" s="848"/>
      <c r="AI85" s="848"/>
      <c r="AJ85" s="848"/>
      <c r="AK85" s="848"/>
      <c r="AL85" s="848"/>
      <c r="AM85" s="848"/>
      <c r="AN85" s="848"/>
      <c r="AO85" s="848"/>
      <c r="AP85" s="848"/>
      <c r="AQ85" s="848"/>
      <c r="AR85" s="848"/>
      <c r="AS85" s="848"/>
      <c r="AT85" s="848"/>
      <c r="AU85" s="848"/>
      <c r="AV85" s="848"/>
      <c r="AW85" s="848"/>
      <c r="AX85" s="848"/>
      <c r="AY85" s="848"/>
      <c r="AZ85" s="848"/>
      <c r="BA85" s="848"/>
      <c r="BB85" s="848"/>
      <c r="BC85" s="848"/>
      <c r="BD85" s="848"/>
      <c r="BE85" s="848"/>
      <c r="BF85" s="848"/>
      <c r="BG85" s="848"/>
      <c r="BH85" s="848"/>
      <c r="BI85" s="848"/>
      <c r="BJ85" s="848"/>
      <c r="BK85" s="848"/>
      <c r="BL85" s="848"/>
      <c r="BM85" s="848"/>
      <c r="BN85" s="848"/>
      <c r="BO85" s="848"/>
      <c r="BP85" s="848"/>
      <c r="BQ85" s="848"/>
      <c r="BR85" s="848"/>
      <c r="BS85" s="848"/>
      <c r="BT85" s="848"/>
      <c r="BU85" s="848"/>
      <c r="BV85" s="848"/>
      <c r="BW85" s="848"/>
      <c r="BX85" s="848"/>
      <c r="BY85" s="848"/>
      <c r="BZ85" s="848"/>
      <c r="CA85" s="848"/>
      <c r="CB85" s="848"/>
      <c r="CC85" s="848"/>
      <c r="CD85" s="848"/>
      <c r="CE85" s="848"/>
      <c r="CF85" s="848"/>
      <c r="CG85" s="848"/>
      <c r="CH85" s="848"/>
      <c r="CI85" s="848"/>
      <c r="CJ85" s="848"/>
      <c r="CK85" s="848"/>
      <c r="CL85" s="848"/>
      <c r="CM85" s="848"/>
      <c r="CN85" s="848"/>
      <c r="CO85" s="848"/>
      <c r="CP85" s="848"/>
      <c r="CQ85" s="848"/>
      <c r="CR85" s="848"/>
      <c r="CS85" s="848"/>
      <c r="CT85" s="848"/>
      <c r="CU85" s="848"/>
      <c r="CV85" s="848"/>
      <c r="CW85" s="848"/>
      <c r="CX85" s="848"/>
      <c r="CY85" s="848"/>
      <c r="CZ85" s="848"/>
      <c r="DA85" s="848"/>
      <c r="DB85" s="848"/>
      <c r="DC85" s="848"/>
      <c r="DD85" s="848"/>
      <c r="DE85" s="848"/>
      <c r="DF85" s="848"/>
      <c r="DG85" s="848"/>
    </row>
    <row r="86" spans="1:111">
      <c r="A86" s="885"/>
      <c r="B86" s="883"/>
      <c r="C86" s="883"/>
      <c r="D86" s="883"/>
      <c r="E86" s="883"/>
      <c r="F86" s="883"/>
      <c r="G86" s="883"/>
      <c r="H86" s="883"/>
      <c r="I86" s="883"/>
      <c r="J86" s="883"/>
      <c r="K86" s="883"/>
      <c r="L86" s="883"/>
      <c r="M86" s="883"/>
      <c r="N86" s="883"/>
      <c r="O86" s="883"/>
      <c r="P86" s="883"/>
      <c r="Q86" s="883"/>
      <c r="R86" s="883"/>
      <c r="S86" s="883"/>
      <c r="T86" s="883"/>
      <c r="U86" s="883"/>
      <c r="V86" s="883"/>
      <c r="W86" s="883"/>
      <c r="X86" s="883"/>
      <c r="Y86" s="883"/>
      <c r="Z86" s="883"/>
      <c r="AA86" s="883"/>
      <c r="AB86" s="883"/>
      <c r="AC86" s="883"/>
      <c r="AD86" s="883"/>
      <c r="AE86" s="884"/>
      <c r="AF86" s="185"/>
      <c r="AG86" s="185"/>
      <c r="AH86" s="848"/>
      <c r="AI86" s="848"/>
      <c r="AJ86" s="848"/>
      <c r="AK86" s="848"/>
      <c r="AL86" s="848"/>
      <c r="AM86" s="848"/>
      <c r="AN86" s="848"/>
      <c r="AO86" s="848"/>
      <c r="AP86" s="848"/>
      <c r="AQ86" s="848"/>
      <c r="AR86" s="848"/>
      <c r="AS86" s="848"/>
      <c r="AT86" s="848"/>
      <c r="AU86" s="848"/>
      <c r="AV86" s="848"/>
      <c r="AW86" s="848"/>
      <c r="AX86" s="848"/>
      <c r="AY86" s="848"/>
      <c r="AZ86" s="848"/>
      <c r="BA86" s="848"/>
      <c r="BB86" s="848"/>
      <c r="BC86" s="848"/>
      <c r="BD86" s="848"/>
      <c r="BE86" s="848"/>
      <c r="BF86" s="848"/>
      <c r="BG86" s="848"/>
      <c r="BH86" s="848"/>
      <c r="BI86" s="848"/>
      <c r="BJ86" s="848"/>
      <c r="BK86" s="848"/>
      <c r="BL86" s="848"/>
      <c r="BM86" s="848"/>
      <c r="BN86" s="848"/>
      <c r="BO86" s="848"/>
      <c r="BP86" s="848"/>
      <c r="BQ86" s="848"/>
      <c r="BR86" s="848"/>
      <c r="BS86" s="848"/>
      <c r="BT86" s="848"/>
      <c r="BU86" s="848"/>
      <c r="BV86" s="848"/>
      <c r="BW86" s="848"/>
      <c r="BX86" s="848"/>
      <c r="BY86" s="848"/>
      <c r="BZ86" s="848"/>
      <c r="CA86" s="848"/>
      <c r="CB86" s="848"/>
      <c r="CC86" s="848"/>
      <c r="CD86" s="848"/>
      <c r="CE86" s="848"/>
      <c r="CF86" s="848"/>
      <c r="CG86" s="848"/>
      <c r="CH86" s="848"/>
      <c r="CI86" s="848"/>
      <c r="CJ86" s="848"/>
      <c r="CK86" s="848"/>
      <c r="CL86" s="848"/>
      <c r="CM86" s="848"/>
      <c r="CN86" s="848"/>
      <c r="CO86" s="848"/>
      <c r="CP86" s="848"/>
      <c r="CQ86" s="848"/>
      <c r="CR86" s="848"/>
      <c r="CS86" s="848"/>
      <c r="CT86" s="848"/>
      <c r="CU86" s="848"/>
      <c r="CV86" s="848"/>
      <c r="CW86" s="848"/>
      <c r="CX86" s="848"/>
      <c r="CY86" s="848"/>
      <c r="CZ86" s="848"/>
      <c r="DA86" s="848"/>
      <c r="DB86" s="848"/>
      <c r="DC86" s="848"/>
      <c r="DD86" s="848"/>
      <c r="DE86" s="848"/>
      <c r="DF86" s="848"/>
      <c r="DG86" s="848"/>
    </row>
    <row r="87" spans="1:111">
      <c r="A87" s="885"/>
      <c r="B87" s="883"/>
      <c r="C87" s="883"/>
      <c r="D87" s="883"/>
      <c r="E87" s="883"/>
      <c r="F87" s="883"/>
      <c r="G87" s="883"/>
      <c r="H87" s="883"/>
      <c r="I87" s="883"/>
      <c r="J87" s="883"/>
      <c r="K87" s="883"/>
      <c r="L87" s="883"/>
      <c r="M87" s="883"/>
      <c r="N87" s="883"/>
      <c r="O87" s="883"/>
      <c r="P87" s="883"/>
      <c r="Q87" s="883"/>
      <c r="R87" s="883"/>
      <c r="S87" s="883"/>
      <c r="T87" s="883"/>
      <c r="U87" s="883"/>
      <c r="V87" s="883"/>
      <c r="W87" s="883"/>
      <c r="X87" s="883"/>
      <c r="Y87" s="883"/>
      <c r="Z87" s="883"/>
      <c r="AA87" s="883"/>
      <c r="AB87" s="883"/>
      <c r="AC87" s="883"/>
      <c r="AD87" s="883"/>
      <c r="AE87" s="884"/>
      <c r="AF87" s="185"/>
      <c r="AG87" s="185"/>
      <c r="AH87" s="848"/>
      <c r="AI87" s="848"/>
      <c r="AJ87" s="848"/>
      <c r="AK87" s="848"/>
      <c r="AL87" s="848"/>
      <c r="AM87" s="848"/>
      <c r="AN87" s="848"/>
      <c r="AO87" s="848"/>
      <c r="AP87" s="848"/>
      <c r="AQ87" s="848"/>
      <c r="AR87" s="848"/>
      <c r="AS87" s="848"/>
      <c r="AT87" s="848"/>
      <c r="AU87" s="848"/>
      <c r="AV87" s="848"/>
      <c r="AW87" s="848"/>
      <c r="AX87" s="848"/>
      <c r="AY87" s="848"/>
      <c r="AZ87" s="848"/>
      <c r="BA87" s="848"/>
      <c r="BB87" s="848"/>
      <c r="BC87" s="848"/>
      <c r="BD87" s="848"/>
      <c r="BE87" s="848"/>
      <c r="BF87" s="848"/>
      <c r="BG87" s="848"/>
      <c r="BH87" s="848"/>
      <c r="BI87" s="848"/>
      <c r="BJ87" s="848"/>
      <c r="BK87" s="848"/>
      <c r="BL87" s="848"/>
      <c r="BM87" s="848"/>
      <c r="BN87" s="848"/>
      <c r="BO87" s="848"/>
      <c r="BP87" s="848"/>
      <c r="BQ87" s="848"/>
      <c r="BR87" s="848"/>
      <c r="BS87" s="848"/>
      <c r="BT87" s="848"/>
      <c r="BU87" s="848"/>
      <c r="BV87" s="848"/>
      <c r="BW87" s="848"/>
      <c r="BX87" s="848"/>
      <c r="BY87" s="848"/>
      <c r="BZ87" s="848"/>
      <c r="CA87" s="848"/>
      <c r="CB87" s="848"/>
      <c r="CC87" s="848"/>
      <c r="CD87" s="848"/>
      <c r="CE87" s="848"/>
      <c r="CF87" s="848"/>
      <c r="CG87" s="848"/>
      <c r="CH87" s="848"/>
      <c r="CI87" s="848"/>
      <c r="CJ87" s="848"/>
      <c r="CK87" s="848"/>
      <c r="CL87" s="848"/>
      <c r="CM87" s="848"/>
      <c r="CN87" s="848"/>
      <c r="CO87" s="848"/>
      <c r="CP87" s="848"/>
      <c r="CQ87" s="848"/>
      <c r="CR87" s="848"/>
      <c r="CS87" s="848"/>
      <c r="CT87" s="848"/>
      <c r="CU87" s="848"/>
      <c r="CV87" s="848"/>
      <c r="CW87" s="848"/>
      <c r="CX87" s="848"/>
      <c r="CY87" s="848"/>
      <c r="CZ87" s="848"/>
      <c r="DA87" s="848"/>
      <c r="DB87" s="848"/>
      <c r="DC87" s="848"/>
      <c r="DD87" s="848"/>
      <c r="DE87" s="848"/>
      <c r="DF87" s="848"/>
      <c r="DG87" s="848"/>
    </row>
    <row r="88" spans="1:111" s="3" customFormat="1">
      <c r="A88" s="885"/>
      <c r="B88" s="883"/>
      <c r="C88" s="883"/>
      <c r="D88" s="883"/>
      <c r="E88" s="883"/>
      <c r="F88" s="883"/>
      <c r="G88" s="883"/>
      <c r="H88" s="883"/>
      <c r="I88" s="883"/>
      <c r="J88" s="883"/>
      <c r="K88" s="883"/>
      <c r="L88" s="883"/>
      <c r="M88" s="883"/>
      <c r="N88" s="883"/>
      <c r="O88" s="883"/>
      <c r="P88" s="883"/>
      <c r="Q88" s="883"/>
      <c r="R88" s="883"/>
      <c r="S88" s="883"/>
      <c r="T88" s="883"/>
      <c r="U88" s="883"/>
      <c r="V88" s="883"/>
      <c r="W88" s="883"/>
      <c r="X88" s="883"/>
      <c r="Y88" s="883"/>
      <c r="Z88" s="883"/>
      <c r="AA88" s="883"/>
      <c r="AB88" s="883"/>
      <c r="AC88" s="883"/>
      <c r="AD88" s="883"/>
      <c r="AE88" s="884"/>
      <c r="AF88" s="185"/>
      <c r="AG88" s="185"/>
      <c r="AH88" s="848"/>
      <c r="AI88" s="848"/>
      <c r="AJ88" s="848"/>
      <c r="AK88" s="848"/>
      <c r="AL88" s="848"/>
      <c r="AM88" s="848"/>
      <c r="AN88" s="848"/>
      <c r="AO88" s="848"/>
      <c r="AP88" s="848"/>
      <c r="AQ88" s="848"/>
      <c r="AR88" s="848"/>
      <c r="AS88" s="848"/>
      <c r="AT88" s="848"/>
      <c r="AU88" s="848"/>
      <c r="AV88" s="848"/>
      <c r="AW88" s="848"/>
      <c r="AX88" s="848"/>
      <c r="AY88" s="848"/>
      <c r="AZ88" s="848"/>
      <c r="BA88" s="848"/>
      <c r="BB88" s="848"/>
      <c r="BC88" s="848"/>
      <c r="BD88" s="848"/>
      <c r="BE88" s="848"/>
      <c r="BF88" s="848"/>
      <c r="BG88" s="848"/>
      <c r="BH88" s="848"/>
      <c r="BI88" s="848"/>
      <c r="BJ88" s="848"/>
      <c r="BK88" s="848"/>
      <c r="BL88" s="848"/>
      <c r="BM88" s="848"/>
      <c r="BN88" s="848"/>
      <c r="BO88" s="848"/>
      <c r="BP88" s="848"/>
      <c r="BQ88" s="848"/>
      <c r="BR88" s="848"/>
      <c r="BS88" s="848"/>
      <c r="BT88" s="848"/>
      <c r="BU88" s="848"/>
      <c r="BV88" s="848"/>
      <c r="BW88" s="848"/>
      <c r="BX88" s="848"/>
      <c r="BY88" s="848"/>
      <c r="BZ88" s="848"/>
      <c r="CA88" s="848"/>
      <c r="CB88" s="848"/>
      <c r="CC88" s="848"/>
      <c r="CD88" s="848"/>
      <c r="CE88" s="848"/>
      <c r="CF88" s="848"/>
      <c r="CG88" s="848"/>
      <c r="CH88" s="848"/>
      <c r="CI88" s="848"/>
      <c r="CJ88" s="848"/>
      <c r="CK88" s="848"/>
      <c r="CL88" s="848"/>
      <c r="CM88" s="848"/>
      <c r="CN88" s="848"/>
      <c r="CO88" s="848"/>
      <c r="CP88" s="848"/>
      <c r="CQ88" s="848"/>
      <c r="CR88" s="848"/>
      <c r="CS88" s="848"/>
      <c r="CT88" s="848"/>
      <c r="CU88" s="848"/>
      <c r="CV88" s="848"/>
      <c r="CW88" s="848"/>
      <c r="CX88" s="848"/>
      <c r="CY88" s="848"/>
      <c r="CZ88" s="848"/>
      <c r="DA88" s="848"/>
      <c r="DB88" s="848"/>
      <c r="DC88" s="848"/>
      <c r="DD88" s="848"/>
      <c r="DE88" s="848"/>
      <c r="DF88" s="848"/>
      <c r="DG88" s="848"/>
    </row>
    <row r="89" spans="1:111">
      <c r="A89" s="885"/>
      <c r="B89" s="883"/>
      <c r="C89" s="883"/>
      <c r="D89" s="883"/>
      <c r="E89" s="883"/>
      <c r="F89" s="883"/>
      <c r="G89" s="883"/>
      <c r="H89" s="883"/>
      <c r="I89" s="883"/>
      <c r="J89" s="883"/>
      <c r="K89" s="883"/>
      <c r="L89" s="883"/>
      <c r="M89" s="883"/>
      <c r="N89" s="883"/>
      <c r="O89" s="883"/>
      <c r="P89" s="883"/>
      <c r="Q89" s="883"/>
      <c r="R89" s="883"/>
      <c r="S89" s="883"/>
      <c r="T89" s="883"/>
      <c r="U89" s="883"/>
      <c r="V89" s="883"/>
      <c r="W89" s="883"/>
      <c r="X89" s="883"/>
      <c r="Y89" s="883"/>
      <c r="Z89" s="883"/>
      <c r="AA89" s="883"/>
      <c r="AB89" s="883"/>
      <c r="AC89" s="883"/>
      <c r="AD89" s="883"/>
      <c r="AE89" s="884"/>
      <c r="AF89" s="185"/>
      <c r="AG89" s="185"/>
      <c r="AH89" s="848"/>
      <c r="AI89" s="848"/>
      <c r="AJ89" s="848"/>
      <c r="AK89" s="848"/>
      <c r="AL89" s="848"/>
      <c r="AM89" s="848"/>
      <c r="AN89" s="848"/>
      <c r="AO89" s="848"/>
      <c r="AP89" s="848"/>
      <c r="AQ89" s="848"/>
      <c r="AR89" s="848"/>
      <c r="AS89" s="848"/>
      <c r="AT89" s="848"/>
      <c r="AU89" s="848"/>
      <c r="AV89" s="848"/>
      <c r="AW89" s="848"/>
      <c r="AX89" s="848"/>
      <c r="AY89" s="848"/>
      <c r="AZ89" s="848"/>
      <c r="BA89" s="848"/>
      <c r="BB89" s="848"/>
      <c r="BC89" s="848"/>
      <c r="BD89" s="848"/>
      <c r="BE89" s="848"/>
      <c r="BF89" s="848"/>
      <c r="BG89" s="848"/>
      <c r="BH89" s="848"/>
      <c r="BI89" s="848"/>
      <c r="BJ89" s="848"/>
      <c r="BK89" s="848"/>
      <c r="BL89" s="848"/>
      <c r="BM89" s="848"/>
      <c r="BN89" s="848"/>
      <c r="BO89" s="848"/>
      <c r="BP89" s="848"/>
      <c r="BQ89" s="848"/>
      <c r="BR89" s="848"/>
      <c r="BS89" s="848"/>
      <c r="BT89" s="848"/>
      <c r="BU89" s="848"/>
      <c r="BV89" s="848"/>
      <c r="BW89" s="848"/>
      <c r="BX89" s="848"/>
      <c r="BY89" s="848"/>
      <c r="BZ89" s="848"/>
      <c r="CA89" s="848"/>
      <c r="CB89" s="848"/>
      <c r="CC89" s="848"/>
      <c r="CD89" s="848"/>
      <c r="CE89" s="848"/>
      <c r="CF89" s="848"/>
      <c r="CG89" s="848"/>
      <c r="CH89" s="848"/>
      <c r="CI89" s="848"/>
      <c r="CJ89" s="848"/>
      <c r="CK89" s="848"/>
      <c r="CL89" s="848"/>
      <c r="CM89" s="848"/>
      <c r="CN89" s="848"/>
      <c r="CO89" s="848"/>
      <c r="CP89" s="848"/>
      <c r="CQ89" s="848"/>
      <c r="CR89" s="848"/>
      <c r="CS89" s="848"/>
      <c r="CT89" s="848"/>
      <c r="CU89" s="848"/>
      <c r="CV89" s="848"/>
      <c r="CW89" s="848"/>
      <c r="CX89" s="848"/>
      <c r="CY89" s="848"/>
      <c r="CZ89" s="848"/>
      <c r="DA89" s="848"/>
      <c r="DB89" s="848"/>
      <c r="DC89" s="848"/>
      <c r="DD89" s="848"/>
      <c r="DE89" s="848"/>
      <c r="DF89" s="848"/>
      <c r="DG89" s="848"/>
    </row>
    <row r="90" spans="1:111">
      <c r="A90" s="885"/>
      <c r="B90" s="883"/>
      <c r="C90" s="883"/>
      <c r="D90" s="883"/>
      <c r="E90" s="883"/>
      <c r="F90" s="883"/>
      <c r="G90" s="883"/>
      <c r="H90" s="883"/>
      <c r="I90" s="883"/>
      <c r="J90" s="883"/>
      <c r="K90" s="883"/>
      <c r="L90" s="883"/>
      <c r="M90" s="883"/>
      <c r="N90" s="883"/>
      <c r="O90" s="883"/>
      <c r="P90" s="883"/>
      <c r="Q90" s="883"/>
      <c r="R90" s="883"/>
      <c r="S90" s="883"/>
      <c r="T90" s="883"/>
      <c r="U90" s="883"/>
      <c r="V90" s="883"/>
      <c r="W90" s="883"/>
      <c r="X90" s="883"/>
      <c r="Y90" s="883"/>
      <c r="Z90" s="883"/>
      <c r="AA90" s="883"/>
      <c r="AB90" s="883"/>
      <c r="AC90" s="883"/>
      <c r="AD90" s="883"/>
      <c r="AE90" s="884"/>
      <c r="AF90" s="185"/>
      <c r="AG90" s="185"/>
      <c r="AH90" s="848"/>
      <c r="AI90" s="848"/>
      <c r="AJ90" s="848"/>
      <c r="AK90" s="848"/>
      <c r="AL90" s="848"/>
      <c r="AM90" s="848"/>
      <c r="AN90" s="848"/>
      <c r="AO90" s="848"/>
      <c r="AP90" s="848"/>
      <c r="AQ90" s="848"/>
      <c r="AR90" s="848"/>
      <c r="AS90" s="848"/>
      <c r="AT90" s="848"/>
      <c r="AU90" s="848"/>
      <c r="AV90" s="848"/>
      <c r="AW90" s="848"/>
      <c r="AX90" s="848"/>
      <c r="AY90" s="848"/>
      <c r="AZ90" s="848"/>
      <c r="BA90" s="848"/>
      <c r="BB90" s="848"/>
      <c r="BC90" s="848"/>
      <c r="BD90" s="848"/>
      <c r="BE90" s="848"/>
      <c r="BF90" s="848"/>
      <c r="BG90" s="848"/>
      <c r="BH90" s="848"/>
      <c r="BI90" s="848"/>
      <c r="BJ90" s="848"/>
      <c r="BK90" s="848"/>
      <c r="BL90" s="848"/>
      <c r="BM90" s="848"/>
      <c r="BN90" s="848"/>
      <c r="BO90" s="848"/>
      <c r="BP90" s="848"/>
      <c r="BQ90" s="848"/>
      <c r="BR90" s="848"/>
      <c r="BS90" s="848"/>
      <c r="BT90" s="848"/>
      <c r="BU90" s="848"/>
      <c r="BV90" s="848"/>
      <c r="BW90" s="848"/>
      <c r="BX90" s="848"/>
      <c r="BY90" s="848"/>
      <c r="BZ90" s="848"/>
      <c r="CA90" s="848"/>
      <c r="CB90" s="848"/>
      <c r="CC90" s="848"/>
      <c r="CD90" s="848"/>
      <c r="CE90" s="848"/>
      <c r="CF90" s="848"/>
      <c r="CG90" s="848"/>
      <c r="CH90" s="848"/>
      <c r="CI90" s="848"/>
      <c r="CJ90" s="848"/>
      <c r="CK90" s="848"/>
      <c r="CL90" s="848"/>
      <c r="CM90" s="848"/>
      <c r="CN90" s="848"/>
      <c r="CO90" s="848"/>
      <c r="CP90" s="848"/>
      <c r="CQ90" s="848"/>
      <c r="CR90" s="848"/>
      <c r="CS90" s="848"/>
      <c r="CT90" s="848"/>
      <c r="CU90" s="848"/>
      <c r="CV90" s="848"/>
      <c r="CW90" s="848"/>
      <c r="CX90" s="848"/>
      <c r="CY90" s="848"/>
      <c r="CZ90" s="848"/>
      <c r="DA90" s="848"/>
      <c r="DB90" s="848"/>
      <c r="DC90" s="848"/>
      <c r="DD90" s="848"/>
      <c r="DE90" s="848"/>
      <c r="DF90" s="848"/>
      <c r="DG90" s="848"/>
    </row>
    <row r="91" spans="1:111">
      <c r="A91" s="885"/>
      <c r="B91" s="883"/>
      <c r="C91" s="883"/>
      <c r="D91" s="883"/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3"/>
      <c r="V91" s="883"/>
      <c r="W91" s="883"/>
      <c r="X91" s="883"/>
      <c r="Y91" s="883"/>
      <c r="Z91" s="883"/>
      <c r="AA91" s="883"/>
      <c r="AB91" s="883"/>
      <c r="AC91" s="883"/>
      <c r="AD91" s="883"/>
      <c r="AE91" s="884"/>
      <c r="AF91" s="185"/>
      <c r="AG91" s="185"/>
      <c r="AH91" s="848"/>
      <c r="AI91" s="848"/>
      <c r="AJ91" s="848"/>
      <c r="AK91" s="848"/>
      <c r="AL91" s="848"/>
      <c r="AM91" s="848"/>
      <c r="AN91" s="848"/>
      <c r="AO91" s="848"/>
      <c r="AP91" s="848"/>
      <c r="AQ91" s="848"/>
      <c r="AR91" s="848"/>
      <c r="AS91" s="848"/>
      <c r="AT91" s="848"/>
      <c r="AU91" s="848"/>
      <c r="AV91" s="848"/>
      <c r="AW91" s="848"/>
      <c r="AX91" s="848"/>
      <c r="AY91" s="848"/>
      <c r="AZ91" s="848"/>
      <c r="BA91" s="848"/>
      <c r="BB91" s="848"/>
      <c r="BC91" s="848"/>
      <c r="BD91" s="848"/>
      <c r="BE91" s="848"/>
      <c r="BF91" s="848"/>
      <c r="BG91" s="848"/>
      <c r="BH91" s="848"/>
      <c r="BI91" s="848"/>
      <c r="BJ91" s="848"/>
      <c r="BK91" s="848"/>
      <c r="BL91" s="848"/>
      <c r="BM91" s="848"/>
      <c r="BN91" s="848"/>
      <c r="BO91" s="848"/>
      <c r="BP91" s="848"/>
      <c r="BQ91" s="848"/>
      <c r="BR91" s="848"/>
      <c r="BS91" s="848"/>
      <c r="BT91" s="848"/>
      <c r="BU91" s="848"/>
      <c r="BV91" s="848"/>
      <c r="BW91" s="848"/>
      <c r="BX91" s="848"/>
      <c r="BY91" s="848"/>
      <c r="BZ91" s="848"/>
      <c r="CA91" s="848"/>
      <c r="CB91" s="848"/>
      <c r="CC91" s="848"/>
      <c r="CD91" s="848"/>
      <c r="CE91" s="848"/>
      <c r="CF91" s="848"/>
      <c r="CG91" s="848"/>
      <c r="CH91" s="848"/>
      <c r="CI91" s="848"/>
      <c r="CJ91" s="848"/>
      <c r="CK91" s="848"/>
      <c r="CL91" s="848"/>
      <c r="CM91" s="848"/>
      <c r="CN91" s="848"/>
      <c r="CO91" s="848"/>
      <c r="CP91" s="848"/>
      <c r="CQ91" s="848"/>
      <c r="CR91" s="848"/>
      <c r="CS91" s="848"/>
      <c r="CT91" s="848"/>
      <c r="CU91" s="848"/>
      <c r="CV91" s="848"/>
      <c r="CW91" s="848"/>
      <c r="CX91" s="848"/>
      <c r="CY91" s="848"/>
      <c r="CZ91" s="848"/>
      <c r="DA91" s="848"/>
      <c r="DB91" s="848"/>
      <c r="DC91" s="848"/>
      <c r="DD91" s="848"/>
      <c r="DE91" s="848"/>
      <c r="DF91" s="848"/>
      <c r="DG91" s="848"/>
    </row>
    <row r="92" spans="1:111" s="3" customFormat="1">
      <c r="A92" s="885"/>
      <c r="B92" s="883"/>
      <c r="C92" s="883"/>
      <c r="D92" s="883"/>
      <c r="E92" s="883"/>
      <c r="F92" s="883"/>
      <c r="G92" s="883"/>
      <c r="H92" s="883"/>
      <c r="I92" s="883"/>
      <c r="J92" s="883"/>
      <c r="K92" s="883"/>
      <c r="L92" s="883"/>
      <c r="M92" s="883"/>
      <c r="N92" s="883"/>
      <c r="O92" s="883"/>
      <c r="P92" s="883"/>
      <c r="Q92" s="883"/>
      <c r="R92" s="883"/>
      <c r="S92" s="883"/>
      <c r="T92" s="883"/>
      <c r="U92" s="883"/>
      <c r="V92" s="883"/>
      <c r="W92" s="883"/>
      <c r="X92" s="883"/>
      <c r="Y92" s="883"/>
      <c r="Z92" s="883"/>
      <c r="AA92" s="883"/>
      <c r="AB92" s="883"/>
      <c r="AC92" s="883"/>
      <c r="AD92" s="883"/>
      <c r="AE92" s="884"/>
      <c r="AF92" s="185"/>
      <c r="AG92" s="185"/>
      <c r="AH92" s="848"/>
      <c r="AI92" s="848"/>
      <c r="AJ92" s="848"/>
      <c r="AK92" s="848"/>
      <c r="AL92" s="848"/>
      <c r="AM92" s="848"/>
      <c r="AN92" s="848"/>
      <c r="AO92" s="848"/>
      <c r="AP92" s="848"/>
      <c r="AQ92" s="848"/>
      <c r="AR92" s="848"/>
      <c r="AS92" s="848"/>
      <c r="AT92" s="848"/>
      <c r="AU92" s="848"/>
      <c r="AV92" s="848"/>
      <c r="AW92" s="848"/>
      <c r="AX92" s="848"/>
      <c r="AY92" s="848"/>
      <c r="AZ92" s="848"/>
      <c r="BA92" s="848"/>
      <c r="BB92" s="848"/>
      <c r="BC92" s="848"/>
      <c r="BD92" s="848"/>
      <c r="BE92" s="848"/>
      <c r="BF92" s="848"/>
      <c r="BG92" s="848"/>
      <c r="BH92" s="848"/>
      <c r="BI92" s="848"/>
      <c r="BJ92" s="848"/>
      <c r="BK92" s="848"/>
      <c r="BL92" s="848"/>
      <c r="BM92" s="848"/>
      <c r="BN92" s="848"/>
      <c r="BO92" s="848"/>
      <c r="BP92" s="848"/>
      <c r="BQ92" s="848"/>
      <c r="BR92" s="848"/>
      <c r="BS92" s="848"/>
      <c r="BT92" s="848"/>
      <c r="BU92" s="848"/>
      <c r="BV92" s="848"/>
      <c r="BW92" s="848"/>
      <c r="BX92" s="848"/>
      <c r="BY92" s="848"/>
      <c r="BZ92" s="848"/>
      <c r="CA92" s="848"/>
      <c r="CB92" s="848"/>
      <c r="CC92" s="848"/>
      <c r="CD92" s="848"/>
      <c r="CE92" s="848"/>
      <c r="CF92" s="848"/>
      <c r="CG92" s="848"/>
      <c r="CH92" s="848"/>
      <c r="CI92" s="848"/>
      <c r="CJ92" s="848"/>
      <c r="CK92" s="848"/>
      <c r="CL92" s="848"/>
      <c r="CM92" s="848"/>
      <c r="CN92" s="848"/>
      <c r="CO92" s="848"/>
      <c r="CP92" s="848"/>
      <c r="CQ92" s="848"/>
      <c r="CR92" s="848"/>
      <c r="CS92" s="848"/>
      <c r="CT92" s="848"/>
      <c r="CU92" s="848"/>
      <c r="CV92" s="848"/>
      <c r="CW92" s="848"/>
      <c r="CX92" s="848"/>
      <c r="CY92" s="848"/>
      <c r="CZ92" s="848"/>
      <c r="DA92" s="848"/>
      <c r="DB92" s="848"/>
      <c r="DC92" s="848"/>
      <c r="DD92" s="848"/>
      <c r="DE92" s="848"/>
      <c r="DF92" s="848"/>
      <c r="DG92" s="848"/>
    </row>
    <row r="93" spans="1:111" s="4" customFormat="1">
      <c r="A93" s="885"/>
      <c r="B93" s="883"/>
      <c r="C93" s="883"/>
      <c r="D93" s="883"/>
      <c r="E93" s="883"/>
      <c r="F93" s="883"/>
      <c r="G93" s="883"/>
      <c r="H93" s="883"/>
      <c r="I93" s="883"/>
      <c r="J93" s="883"/>
      <c r="K93" s="883"/>
      <c r="L93" s="883"/>
      <c r="M93" s="883"/>
      <c r="N93" s="883"/>
      <c r="O93" s="883"/>
      <c r="P93" s="883"/>
      <c r="Q93" s="883"/>
      <c r="R93" s="883"/>
      <c r="S93" s="883"/>
      <c r="T93" s="883"/>
      <c r="U93" s="883"/>
      <c r="V93" s="883"/>
      <c r="W93" s="883"/>
      <c r="X93" s="883"/>
      <c r="Y93" s="883"/>
      <c r="Z93" s="883"/>
      <c r="AA93" s="883"/>
      <c r="AB93" s="883"/>
      <c r="AC93" s="883"/>
      <c r="AD93" s="883"/>
      <c r="AE93" s="884"/>
      <c r="AF93" s="185"/>
      <c r="AG93" s="185"/>
      <c r="AH93" s="848"/>
      <c r="AI93" s="848"/>
      <c r="AJ93" s="848"/>
      <c r="AK93" s="848"/>
      <c r="AL93" s="848"/>
      <c r="AM93" s="848"/>
      <c r="AN93" s="848"/>
      <c r="AO93" s="848"/>
      <c r="AP93" s="848"/>
      <c r="AQ93" s="848"/>
      <c r="AR93" s="848"/>
      <c r="AS93" s="848"/>
      <c r="AT93" s="848"/>
      <c r="AU93" s="848"/>
      <c r="AV93" s="848"/>
      <c r="AW93" s="848"/>
      <c r="AX93" s="848"/>
      <c r="AY93" s="848"/>
      <c r="AZ93" s="848"/>
      <c r="BA93" s="848"/>
      <c r="BB93" s="848"/>
      <c r="BC93" s="848"/>
      <c r="BD93" s="848"/>
      <c r="BE93" s="848"/>
      <c r="BF93" s="848"/>
      <c r="BG93" s="848"/>
      <c r="BH93" s="848"/>
      <c r="BI93" s="848"/>
      <c r="BJ93" s="848"/>
      <c r="BK93" s="848"/>
      <c r="BL93" s="848"/>
      <c r="BM93" s="848"/>
      <c r="BN93" s="848"/>
      <c r="BO93" s="848"/>
      <c r="BP93" s="848"/>
      <c r="BQ93" s="848"/>
      <c r="BR93" s="848"/>
      <c r="BS93" s="848"/>
      <c r="BT93" s="848"/>
      <c r="BU93" s="848"/>
      <c r="BV93" s="848"/>
      <c r="BW93" s="848"/>
      <c r="BX93" s="848"/>
      <c r="BY93" s="848"/>
      <c r="BZ93" s="848"/>
      <c r="CA93" s="848"/>
      <c r="CB93" s="848"/>
      <c r="CC93" s="848"/>
      <c r="CD93" s="848"/>
      <c r="CE93" s="848"/>
      <c r="CF93" s="848"/>
      <c r="CG93" s="848"/>
      <c r="CH93" s="848"/>
      <c r="CI93" s="848"/>
      <c r="CJ93" s="848"/>
      <c r="CK93" s="848"/>
      <c r="CL93" s="848"/>
      <c r="CM93" s="848"/>
      <c r="CN93" s="848"/>
      <c r="CO93" s="848"/>
      <c r="CP93" s="848"/>
      <c r="CQ93" s="848"/>
      <c r="CR93" s="848"/>
      <c r="CS93" s="848"/>
      <c r="CT93" s="848"/>
      <c r="CU93" s="848"/>
      <c r="CV93" s="848"/>
      <c r="CW93" s="848"/>
      <c r="CX93" s="848"/>
      <c r="CY93" s="848"/>
      <c r="CZ93" s="848"/>
      <c r="DA93" s="848"/>
      <c r="DB93" s="848"/>
      <c r="DC93" s="848"/>
      <c r="DD93" s="848"/>
      <c r="DE93" s="848"/>
      <c r="DF93" s="848"/>
      <c r="DG93" s="848"/>
    </row>
    <row r="94" spans="1:111">
      <c r="A94" s="885"/>
      <c r="B94" s="883"/>
      <c r="C94" s="883"/>
      <c r="D94" s="883"/>
      <c r="E94" s="883"/>
      <c r="F94" s="883"/>
      <c r="G94" s="883"/>
      <c r="H94" s="883"/>
      <c r="I94" s="883"/>
      <c r="J94" s="883"/>
      <c r="K94" s="883"/>
      <c r="L94" s="883"/>
      <c r="M94" s="883"/>
      <c r="N94" s="883"/>
      <c r="O94" s="883"/>
      <c r="P94" s="883"/>
      <c r="Q94" s="883"/>
      <c r="R94" s="883"/>
      <c r="S94" s="883"/>
      <c r="T94" s="883"/>
      <c r="U94" s="883"/>
      <c r="V94" s="883"/>
      <c r="W94" s="883"/>
      <c r="X94" s="883"/>
      <c r="Y94" s="883"/>
      <c r="Z94" s="883"/>
      <c r="AA94" s="883"/>
      <c r="AB94" s="883"/>
      <c r="AC94" s="883"/>
      <c r="AD94" s="883"/>
      <c r="AE94" s="884"/>
      <c r="AF94" s="185"/>
      <c r="AG94" s="185"/>
      <c r="AH94" s="848"/>
      <c r="AI94" s="848"/>
      <c r="AJ94" s="848"/>
      <c r="AK94" s="848"/>
      <c r="AL94" s="848"/>
      <c r="AM94" s="848"/>
      <c r="AN94" s="848"/>
      <c r="AO94" s="848"/>
      <c r="AP94" s="848"/>
      <c r="AQ94" s="848"/>
      <c r="AR94" s="848"/>
      <c r="AS94" s="848"/>
      <c r="AT94" s="848"/>
      <c r="AU94" s="848"/>
      <c r="AV94" s="848"/>
      <c r="AW94" s="848"/>
      <c r="AX94" s="848"/>
      <c r="AY94" s="848"/>
      <c r="AZ94" s="848"/>
      <c r="BA94" s="848"/>
      <c r="BB94" s="848"/>
      <c r="BC94" s="848"/>
      <c r="BD94" s="848"/>
      <c r="BE94" s="848"/>
      <c r="BF94" s="848"/>
      <c r="BG94" s="848"/>
      <c r="BH94" s="848"/>
      <c r="BI94" s="848"/>
      <c r="BJ94" s="848"/>
      <c r="BK94" s="848"/>
      <c r="BL94" s="848"/>
      <c r="BM94" s="848"/>
      <c r="BN94" s="848"/>
      <c r="BO94" s="848"/>
      <c r="BP94" s="848"/>
      <c r="BQ94" s="848"/>
      <c r="BR94" s="848"/>
      <c r="BS94" s="848"/>
      <c r="BT94" s="848"/>
      <c r="BU94" s="848"/>
      <c r="BV94" s="848"/>
      <c r="BW94" s="848"/>
      <c r="BX94" s="848"/>
      <c r="BY94" s="848"/>
      <c r="BZ94" s="848"/>
      <c r="CA94" s="848"/>
      <c r="CB94" s="848"/>
      <c r="CC94" s="848"/>
      <c r="CD94" s="848"/>
      <c r="CE94" s="848"/>
      <c r="CF94" s="848"/>
      <c r="CG94" s="848"/>
      <c r="CH94" s="848"/>
      <c r="CI94" s="848"/>
      <c r="CJ94" s="848"/>
      <c r="CK94" s="848"/>
      <c r="CL94" s="848"/>
      <c r="CM94" s="848"/>
      <c r="CN94" s="848"/>
      <c r="CO94" s="848"/>
      <c r="CP94" s="848"/>
      <c r="CQ94" s="848"/>
      <c r="CR94" s="848"/>
      <c r="CS94" s="848"/>
      <c r="CT94" s="848"/>
      <c r="CU94" s="848"/>
      <c r="CV94" s="848"/>
      <c r="CW94" s="848"/>
      <c r="CX94" s="848"/>
      <c r="CY94" s="848"/>
      <c r="CZ94" s="848"/>
      <c r="DA94" s="848"/>
      <c r="DB94" s="848"/>
      <c r="DC94" s="848"/>
      <c r="DD94" s="848"/>
      <c r="DE94" s="848"/>
      <c r="DF94" s="848"/>
      <c r="DG94" s="848"/>
    </row>
    <row r="95" spans="1:111">
      <c r="A95" s="885"/>
      <c r="B95" s="883"/>
      <c r="C95" s="883"/>
      <c r="D95" s="883"/>
      <c r="E95" s="883"/>
      <c r="F95" s="883"/>
      <c r="G95" s="883"/>
      <c r="H95" s="883"/>
      <c r="I95" s="883"/>
      <c r="J95" s="883"/>
      <c r="K95" s="883"/>
      <c r="L95" s="883"/>
      <c r="M95" s="883"/>
      <c r="N95" s="883"/>
      <c r="O95" s="883"/>
      <c r="P95" s="883"/>
      <c r="Q95" s="883"/>
      <c r="R95" s="883"/>
      <c r="S95" s="883"/>
      <c r="T95" s="883"/>
      <c r="U95" s="883"/>
      <c r="V95" s="883"/>
      <c r="W95" s="883"/>
      <c r="X95" s="883"/>
      <c r="Y95" s="883"/>
      <c r="Z95" s="883"/>
      <c r="AA95" s="883"/>
      <c r="AB95" s="883"/>
      <c r="AC95" s="883"/>
      <c r="AD95" s="883"/>
      <c r="AE95" s="884"/>
      <c r="AF95" s="185"/>
      <c r="AG95" s="185"/>
      <c r="AH95" s="848"/>
      <c r="AI95" s="848"/>
      <c r="AJ95" s="848"/>
      <c r="AK95" s="848"/>
      <c r="AL95" s="848"/>
      <c r="AM95" s="848"/>
      <c r="AN95" s="848"/>
      <c r="AO95" s="848"/>
      <c r="AP95" s="848"/>
      <c r="AQ95" s="848"/>
      <c r="AR95" s="848"/>
      <c r="AS95" s="848"/>
      <c r="AT95" s="848"/>
      <c r="AU95" s="848"/>
      <c r="AV95" s="848"/>
      <c r="AW95" s="848"/>
      <c r="AX95" s="848"/>
      <c r="AY95" s="848"/>
      <c r="AZ95" s="848"/>
      <c r="BA95" s="848"/>
      <c r="BB95" s="848"/>
      <c r="BC95" s="848"/>
      <c r="BD95" s="848"/>
      <c r="BE95" s="848"/>
      <c r="BF95" s="848"/>
      <c r="BG95" s="848"/>
      <c r="BH95" s="848"/>
      <c r="BI95" s="848"/>
      <c r="BJ95" s="848"/>
      <c r="BK95" s="848"/>
      <c r="BL95" s="848"/>
      <c r="BM95" s="848"/>
      <c r="BN95" s="848"/>
      <c r="BO95" s="848"/>
      <c r="BP95" s="848"/>
      <c r="BQ95" s="848"/>
      <c r="BR95" s="848"/>
      <c r="BS95" s="848"/>
      <c r="BT95" s="848"/>
      <c r="BU95" s="848"/>
      <c r="BV95" s="848"/>
      <c r="BW95" s="848"/>
      <c r="BX95" s="848"/>
      <c r="BY95" s="848"/>
      <c r="BZ95" s="848"/>
      <c r="CA95" s="848"/>
      <c r="CB95" s="848"/>
      <c r="CC95" s="848"/>
      <c r="CD95" s="848"/>
      <c r="CE95" s="848"/>
      <c r="CF95" s="848"/>
      <c r="CG95" s="848"/>
      <c r="CH95" s="848"/>
      <c r="CI95" s="848"/>
      <c r="CJ95" s="848"/>
      <c r="CK95" s="848"/>
      <c r="CL95" s="848"/>
      <c r="CM95" s="848"/>
      <c r="CN95" s="848"/>
      <c r="CO95" s="848"/>
      <c r="CP95" s="848"/>
      <c r="CQ95" s="848"/>
      <c r="CR95" s="848"/>
      <c r="CS95" s="848"/>
      <c r="CT95" s="848"/>
      <c r="CU95" s="848"/>
      <c r="CV95" s="848"/>
      <c r="CW95" s="848"/>
      <c r="CX95" s="848"/>
      <c r="CY95" s="848"/>
      <c r="CZ95" s="848"/>
      <c r="DA95" s="848"/>
      <c r="DB95" s="848"/>
      <c r="DC95" s="848"/>
      <c r="DD95" s="848"/>
      <c r="DE95" s="848"/>
      <c r="DF95" s="848"/>
      <c r="DG95" s="848"/>
    </row>
    <row r="96" spans="1:111" s="3" customFormat="1">
      <c r="A96" s="885"/>
      <c r="B96" s="883"/>
      <c r="C96" s="883"/>
      <c r="D96" s="883"/>
      <c r="E96" s="883"/>
      <c r="F96" s="883"/>
      <c r="G96" s="883"/>
      <c r="H96" s="883"/>
      <c r="I96" s="883"/>
      <c r="J96" s="883"/>
      <c r="K96" s="883"/>
      <c r="L96" s="883"/>
      <c r="M96" s="883"/>
      <c r="N96" s="883"/>
      <c r="O96" s="883"/>
      <c r="P96" s="883"/>
      <c r="Q96" s="883"/>
      <c r="R96" s="883"/>
      <c r="S96" s="883"/>
      <c r="T96" s="883"/>
      <c r="U96" s="883"/>
      <c r="V96" s="883"/>
      <c r="W96" s="883"/>
      <c r="X96" s="883"/>
      <c r="Y96" s="883"/>
      <c r="Z96" s="883"/>
      <c r="AA96" s="883"/>
      <c r="AB96" s="883"/>
      <c r="AC96" s="883"/>
      <c r="AD96" s="883"/>
      <c r="AE96" s="884"/>
      <c r="AF96" s="185"/>
      <c r="AG96" s="185"/>
      <c r="AH96" s="848"/>
      <c r="AI96" s="848"/>
      <c r="AJ96" s="848"/>
      <c r="AK96" s="848"/>
      <c r="AL96" s="848"/>
      <c r="AM96" s="848"/>
      <c r="AN96" s="848"/>
      <c r="AO96" s="848"/>
      <c r="AP96" s="848"/>
      <c r="AQ96" s="848"/>
      <c r="AR96" s="848"/>
      <c r="AS96" s="848"/>
      <c r="AT96" s="848"/>
      <c r="AU96" s="848"/>
      <c r="AV96" s="848"/>
      <c r="AW96" s="848"/>
      <c r="AX96" s="848"/>
      <c r="AY96" s="848"/>
      <c r="AZ96" s="848"/>
      <c r="BA96" s="848"/>
      <c r="BB96" s="848"/>
      <c r="BC96" s="848"/>
      <c r="BD96" s="848"/>
      <c r="BE96" s="848"/>
      <c r="BF96" s="848"/>
      <c r="BG96" s="848"/>
      <c r="BH96" s="848"/>
      <c r="BI96" s="848"/>
      <c r="BJ96" s="848"/>
      <c r="BK96" s="848"/>
      <c r="BL96" s="848"/>
      <c r="BM96" s="848"/>
      <c r="BN96" s="848"/>
      <c r="BO96" s="848"/>
      <c r="BP96" s="848"/>
      <c r="BQ96" s="848"/>
      <c r="BR96" s="848"/>
      <c r="BS96" s="848"/>
      <c r="BT96" s="848"/>
      <c r="BU96" s="848"/>
      <c r="BV96" s="848"/>
      <c r="BW96" s="848"/>
      <c r="BX96" s="848"/>
      <c r="BY96" s="848"/>
      <c r="BZ96" s="848"/>
      <c r="CA96" s="848"/>
      <c r="CB96" s="848"/>
      <c r="CC96" s="848"/>
      <c r="CD96" s="848"/>
      <c r="CE96" s="848"/>
      <c r="CF96" s="848"/>
      <c r="CG96" s="848"/>
      <c r="CH96" s="848"/>
      <c r="CI96" s="848"/>
      <c r="CJ96" s="848"/>
      <c r="CK96" s="848"/>
      <c r="CL96" s="848"/>
      <c r="CM96" s="848"/>
      <c r="CN96" s="848"/>
      <c r="CO96" s="848"/>
      <c r="CP96" s="848"/>
      <c r="CQ96" s="848"/>
      <c r="CR96" s="848"/>
      <c r="CS96" s="848"/>
      <c r="CT96" s="848"/>
      <c r="CU96" s="848"/>
      <c r="CV96" s="848"/>
      <c r="CW96" s="848"/>
      <c r="CX96" s="848"/>
      <c r="CY96" s="848"/>
      <c r="CZ96" s="848"/>
      <c r="DA96" s="848"/>
      <c r="DB96" s="848"/>
      <c r="DC96" s="848"/>
      <c r="DD96" s="848"/>
      <c r="DE96" s="848"/>
      <c r="DF96" s="848"/>
      <c r="DG96" s="848"/>
    </row>
    <row r="97" spans="1:111" s="4" customFormat="1">
      <c r="A97" s="885"/>
      <c r="B97" s="883"/>
      <c r="C97" s="883"/>
      <c r="D97" s="883"/>
      <c r="E97" s="883"/>
      <c r="F97" s="883"/>
      <c r="G97" s="883"/>
      <c r="H97" s="883"/>
      <c r="I97" s="883"/>
      <c r="J97" s="883"/>
      <c r="K97" s="883"/>
      <c r="L97" s="883"/>
      <c r="M97" s="883"/>
      <c r="N97" s="883"/>
      <c r="O97" s="883"/>
      <c r="P97" s="883"/>
      <c r="Q97" s="883"/>
      <c r="R97" s="883"/>
      <c r="S97" s="883"/>
      <c r="T97" s="883"/>
      <c r="U97" s="883"/>
      <c r="V97" s="883"/>
      <c r="W97" s="883"/>
      <c r="X97" s="883"/>
      <c r="Y97" s="883"/>
      <c r="Z97" s="883"/>
      <c r="AA97" s="883"/>
      <c r="AB97" s="883"/>
      <c r="AC97" s="883"/>
      <c r="AD97" s="883"/>
      <c r="AE97" s="884"/>
      <c r="AF97" s="185"/>
      <c r="AG97" s="185"/>
      <c r="AH97" s="848"/>
      <c r="AI97" s="848"/>
      <c r="AJ97" s="848"/>
      <c r="AK97" s="848"/>
      <c r="AL97" s="848"/>
      <c r="AM97" s="848"/>
      <c r="AN97" s="848"/>
      <c r="AO97" s="848"/>
      <c r="AP97" s="848"/>
      <c r="AQ97" s="848"/>
      <c r="AR97" s="848"/>
      <c r="AS97" s="848"/>
      <c r="AT97" s="848"/>
      <c r="AU97" s="848"/>
      <c r="AV97" s="848"/>
      <c r="AW97" s="848"/>
      <c r="AX97" s="848"/>
      <c r="AY97" s="848"/>
      <c r="AZ97" s="848"/>
      <c r="BA97" s="848"/>
      <c r="BB97" s="848"/>
      <c r="BC97" s="848"/>
      <c r="BD97" s="848"/>
      <c r="BE97" s="848"/>
      <c r="BF97" s="848"/>
      <c r="BG97" s="848"/>
      <c r="BH97" s="848"/>
      <c r="BI97" s="848"/>
      <c r="BJ97" s="848"/>
      <c r="BK97" s="848"/>
      <c r="BL97" s="848"/>
      <c r="BM97" s="848"/>
      <c r="BN97" s="848"/>
      <c r="BO97" s="848"/>
      <c r="BP97" s="848"/>
      <c r="BQ97" s="848"/>
      <c r="BR97" s="848"/>
      <c r="BS97" s="848"/>
      <c r="BT97" s="848"/>
      <c r="BU97" s="848"/>
      <c r="BV97" s="848"/>
      <c r="BW97" s="848"/>
      <c r="BX97" s="848"/>
      <c r="BY97" s="848"/>
      <c r="BZ97" s="848"/>
      <c r="CA97" s="848"/>
      <c r="CB97" s="848"/>
      <c r="CC97" s="848"/>
      <c r="CD97" s="848"/>
      <c r="CE97" s="848"/>
      <c r="CF97" s="848"/>
      <c r="CG97" s="848"/>
      <c r="CH97" s="848"/>
      <c r="CI97" s="848"/>
      <c r="CJ97" s="848"/>
      <c r="CK97" s="848"/>
      <c r="CL97" s="848"/>
      <c r="CM97" s="848"/>
      <c r="CN97" s="848"/>
      <c r="CO97" s="848"/>
      <c r="CP97" s="848"/>
      <c r="CQ97" s="848"/>
      <c r="CR97" s="848"/>
      <c r="CS97" s="848"/>
      <c r="CT97" s="848"/>
      <c r="CU97" s="848"/>
      <c r="CV97" s="848"/>
      <c r="CW97" s="848"/>
      <c r="CX97" s="848"/>
      <c r="CY97" s="848"/>
      <c r="CZ97" s="848"/>
      <c r="DA97" s="848"/>
      <c r="DB97" s="848"/>
      <c r="DC97" s="848"/>
      <c r="DD97" s="848"/>
      <c r="DE97" s="848"/>
      <c r="DF97" s="848"/>
      <c r="DG97" s="848"/>
    </row>
    <row r="98" spans="1:111">
      <c r="A98" s="885"/>
      <c r="B98" s="883"/>
      <c r="C98" s="883"/>
      <c r="D98" s="883"/>
      <c r="E98" s="883"/>
      <c r="F98" s="883"/>
      <c r="G98" s="883"/>
      <c r="H98" s="883"/>
      <c r="I98" s="883"/>
      <c r="J98" s="883"/>
      <c r="K98" s="883"/>
      <c r="L98" s="883"/>
      <c r="M98" s="883"/>
      <c r="N98" s="883"/>
      <c r="O98" s="883"/>
      <c r="P98" s="883"/>
      <c r="Q98" s="883"/>
      <c r="R98" s="883"/>
      <c r="S98" s="883"/>
      <c r="T98" s="883"/>
      <c r="U98" s="883"/>
      <c r="V98" s="883"/>
      <c r="W98" s="883"/>
      <c r="X98" s="883"/>
      <c r="Y98" s="883"/>
      <c r="Z98" s="883"/>
      <c r="AA98" s="883"/>
      <c r="AB98" s="883"/>
      <c r="AC98" s="883"/>
      <c r="AD98" s="883"/>
      <c r="AE98" s="884"/>
      <c r="AF98" s="185"/>
      <c r="AG98" s="185"/>
      <c r="AH98" s="848"/>
      <c r="AI98" s="848"/>
      <c r="AJ98" s="848"/>
      <c r="AK98" s="848"/>
      <c r="AL98" s="848"/>
      <c r="AM98" s="848"/>
      <c r="AN98" s="848"/>
      <c r="AO98" s="848"/>
      <c r="AP98" s="848"/>
      <c r="AQ98" s="848"/>
      <c r="AR98" s="848"/>
      <c r="AS98" s="848"/>
      <c r="AT98" s="848"/>
      <c r="AU98" s="848"/>
      <c r="AV98" s="848"/>
      <c r="AW98" s="848"/>
      <c r="AX98" s="848"/>
      <c r="AY98" s="848"/>
      <c r="AZ98" s="848"/>
      <c r="BA98" s="848"/>
      <c r="BB98" s="848"/>
      <c r="BC98" s="848"/>
      <c r="BD98" s="848"/>
      <c r="BE98" s="848"/>
      <c r="BF98" s="848"/>
      <c r="BG98" s="848"/>
      <c r="BH98" s="848"/>
      <c r="BI98" s="848"/>
      <c r="BJ98" s="848"/>
      <c r="BK98" s="848"/>
      <c r="BL98" s="848"/>
      <c r="BM98" s="848"/>
      <c r="BN98" s="848"/>
      <c r="BO98" s="848"/>
      <c r="BP98" s="848"/>
      <c r="BQ98" s="848"/>
      <c r="BR98" s="848"/>
      <c r="BS98" s="848"/>
      <c r="BT98" s="848"/>
      <c r="BU98" s="848"/>
      <c r="BV98" s="848"/>
      <c r="BW98" s="848"/>
      <c r="BX98" s="848"/>
      <c r="BY98" s="848"/>
      <c r="BZ98" s="848"/>
      <c r="CA98" s="848"/>
      <c r="CB98" s="848"/>
      <c r="CC98" s="848"/>
      <c r="CD98" s="848"/>
      <c r="CE98" s="848"/>
      <c r="CF98" s="848"/>
      <c r="CG98" s="848"/>
      <c r="CH98" s="848"/>
      <c r="CI98" s="848"/>
      <c r="CJ98" s="848"/>
      <c r="CK98" s="848"/>
      <c r="CL98" s="848"/>
      <c r="CM98" s="848"/>
      <c r="CN98" s="848"/>
      <c r="CO98" s="848"/>
      <c r="CP98" s="848"/>
      <c r="CQ98" s="848"/>
      <c r="CR98" s="848"/>
      <c r="CS98" s="848"/>
      <c r="CT98" s="848"/>
      <c r="CU98" s="848"/>
      <c r="CV98" s="848"/>
      <c r="CW98" s="848"/>
      <c r="CX98" s="848"/>
      <c r="CY98" s="848"/>
      <c r="CZ98" s="848"/>
      <c r="DA98" s="848"/>
      <c r="DB98" s="848"/>
      <c r="DC98" s="848"/>
      <c r="DD98" s="848"/>
      <c r="DE98" s="848"/>
      <c r="DF98" s="848"/>
      <c r="DG98" s="848"/>
    </row>
    <row r="99" spans="1:111">
      <c r="A99" s="885"/>
      <c r="B99" s="883"/>
      <c r="C99" s="883"/>
      <c r="D99" s="883"/>
      <c r="E99" s="883"/>
      <c r="F99" s="883"/>
      <c r="G99" s="883"/>
      <c r="H99" s="883"/>
      <c r="I99" s="883"/>
      <c r="J99" s="883"/>
      <c r="K99" s="883"/>
      <c r="L99" s="883"/>
      <c r="M99" s="883"/>
      <c r="N99" s="883"/>
      <c r="O99" s="883"/>
      <c r="P99" s="883"/>
      <c r="Q99" s="883"/>
      <c r="R99" s="883"/>
      <c r="S99" s="883"/>
      <c r="T99" s="883"/>
      <c r="U99" s="883"/>
      <c r="V99" s="883"/>
      <c r="W99" s="883"/>
      <c r="X99" s="883"/>
      <c r="Y99" s="883"/>
      <c r="Z99" s="883"/>
      <c r="AA99" s="883"/>
      <c r="AB99" s="883"/>
      <c r="AC99" s="883"/>
      <c r="AD99" s="883"/>
      <c r="AE99" s="884"/>
      <c r="AF99" s="185"/>
      <c r="AG99" s="185"/>
      <c r="AH99" s="848"/>
      <c r="AI99" s="848"/>
      <c r="AJ99" s="848"/>
      <c r="AK99" s="848"/>
      <c r="AL99" s="848"/>
      <c r="AM99" s="848"/>
      <c r="AN99" s="848"/>
      <c r="AO99" s="848"/>
      <c r="AP99" s="848"/>
      <c r="AQ99" s="848"/>
      <c r="AR99" s="848"/>
      <c r="AS99" s="848"/>
      <c r="AT99" s="848"/>
      <c r="AU99" s="848"/>
      <c r="AV99" s="848"/>
      <c r="AW99" s="848"/>
      <c r="AX99" s="848"/>
      <c r="AY99" s="848"/>
      <c r="AZ99" s="848"/>
      <c r="BA99" s="848"/>
      <c r="BB99" s="848"/>
      <c r="BC99" s="848"/>
      <c r="BD99" s="848"/>
      <c r="BE99" s="848"/>
      <c r="BF99" s="848"/>
      <c r="BG99" s="848"/>
      <c r="BH99" s="848"/>
      <c r="BI99" s="848"/>
      <c r="BJ99" s="848"/>
      <c r="BK99" s="848"/>
      <c r="BL99" s="848"/>
      <c r="BM99" s="848"/>
      <c r="BN99" s="848"/>
      <c r="BO99" s="848"/>
      <c r="BP99" s="848"/>
      <c r="BQ99" s="848"/>
      <c r="BR99" s="848"/>
      <c r="BS99" s="848"/>
      <c r="BT99" s="848"/>
      <c r="BU99" s="848"/>
      <c r="BV99" s="848"/>
      <c r="BW99" s="848"/>
      <c r="BX99" s="848"/>
      <c r="BY99" s="848"/>
      <c r="BZ99" s="848"/>
      <c r="CA99" s="848"/>
      <c r="CB99" s="848"/>
      <c r="CC99" s="848"/>
      <c r="CD99" s="848"/>
      <c r="CE99" s="848"/>
      <c r="CF99" s="848"/>
      <c r="CG99" s="848"/>
      <c r="CH99" s="848"/>
      <c r="CI99" s="848"/>
      <c r="CJ99" s="848"/>
      <c r="CK99" s="848"/>
      <c r="CL99" s="848"/>
      <c r="CM99" s="848"/>
      <c r="CN99" s="848"/>
      <c r="CO99" s="848"/>
      <c r="CP99" s="848"/>
      <c r="CQ99" s="848"/>
      <c r="CR99" s="848"/>
      <c r="CS99" s="848"/>
      <c r="CT99" s="848"/>
      <c r="CU99" s="848"/>
      <c r="CV99" s="848"/>
      <c r="CW99" s="848"/>
      <c r="CX99" s="848"/>
      <c r="CY99" s="848"/>
      <c r="CZ99" s="848"/>
      <c r="DA99" s="848"/>
      <c r="DB99" s="848"/>
      <c r="DC99" s="848"/>
      <c r="DD99" s="848"/>
      <c r="DE99" s="848"/>
      <c r="DF99" s="848"/>
      <c r="DG99" s="848"/>
    </row>
    <row r="100" spans="1:111" s="3" customFormat="1">
      <c r="A100" s="885"/>
      <c r="B100" s="883"/>
      <c r="C100" s="883"/>
      <c r="D100" s="883"/>
      <c r="E100" s="883"/>
      <c r="F100" s="883"/>
      <c r="G100" s="883"/>
      <c r="H100" s="883"/>
      <c r="I100" s="883"/>
      <c r="J100" s="883"/>
      <c r="K100" s="883"/>
      <c r="L100" s="883"/>
      <c r="M100" s="883"/>
      <c r="N100" s="883"/>
      <c r="O100" s="883"/>
      <c r="P100" s="883"/>
      <c r="Q100" s="883"/>
      <c r="R100" s="883"/>
      <c r="S100" s="883"/>
      <c r="T100" s="883"/>
      <c r="U100" s="883"/>
      <c r="V100" s="883"/>
      <c r="W100" s="883"/>
      <c r="X100" s="883"/>
      <c r="Y100" s="883"/>
      <c r="Z100" s="883"/>
      <c r="AA100" s="883"/>
      <c r="AB100" s="883"/>
      <c r="AC100" s="883"/>
      <c r="AD100" s="883"/>
      <c r="AE100" s="884"/>
      <c r="AF100" s="185"/>
      <c r="AG100" s="185"/>
      <c r="AH100" s="848"/>
      <c r="AI100" s="848"/>
      <c r="AJ100" s="848"/>
      <c r="AK100" s="848"/>
      <c r="AL100" s="848"/>
      <c r="AM100" s="848"/>
      <c r="AN100" s="848"/>
      <c r="AO100" s="848"/>
      <c r="AP100" s="848"/>
      <c r="AQ100" s="848"/>
      <c r="AR100" s="848"/>
      <c r="AS100" s="848"/>
      <c r="AT100" s="848"/>
      <c r="AU100" s="848"/>
      <c r="AV100" s="848"/>
      <c r="AW100" s="848"/>
      <c r="AX100" s="848"/>
      <c r="AY100" s="848"/>
      <c r="AZ100" s="848"/>
      <c r="BA100" s="848"/>
      <c r="BB100" s="848"/>
      <c r="BC100" s="848"/>
      <c r="BD100" s="848"/>
      <c r="BE100" s="848"/>
      <c r="BF100" s="848"/>
      <c r="BG100" s="848"/>
      <c r="BH100" s="848"/>
      <c r="BI100" s="848"/>
      <c r="BJ100" s="848"/>
      <c r="BK100" s="848"/>
      <c r="BL100" s="848"/>
      <c r="BM100" s="848"/>
      <c r="BN100" s="848"/>
      <c r="BO100" s="848"/>
      <c r="BP100" s="848"/>
      <c r="BQ100" s="848"/>
      <c r="BR100" s="848"/>
      <c r="BS100" s="848"/>
      <c r="BT100" s="848"/>
      <c r="BU100" s="848"/>
      <c r="BV100" s="848"/>
      <c r="BW100" s="848"/>
      <c r="BX100" s="848"/>
      <c r="BY100" s="848"/>
      <c r="BZ100" s="848"/>
      <c r="CA100" s="848"/>
      <c r="CB100" s="848"/>
      <c r="CC100" s="848"/>
      <c r="CD100" s="848"/>
      <c r="CE100" s="848"/>
      <c r="CF100" s="848"/>
      <c r="CG100" s="848"/>
      <c r="CH100" s="848"/>
      <c r="CI100" s="848"/>
      <c r="CJ100" s="848"/>
      <c r="CK100" s="848"/>
      <c r="CL100" s="848"/>
      <c r="CM100" s="848"/>
      <c r="CN100" s="848"/>
      <c r="CO100" s="848"/>
      <c r="CP100" s="848"/>
      <c r="CQ100" s="848"/>
      <c r="CR100" s="848"/>
      <c r="CS100" s="848"/>
      <c r="CT100" s="848"/>
      <c r="CU100" s="848"/>
      <c r="CV100" s="848"/>
      <c r="CW100" s="848"/>
      <c r="CX100" s="848"/>
      <c r="CY100" s="848"/>
      <c r="CZ100" s="848"/>
      <c r="DA100" s="848"/>
      <c r="DB100" s="848"/>
      <c r="DC100" s="848"/>
      <c r="DD100" s="848"/>
      <c r="DE100" s="848"/>
      <c r="DF100" s="848"/>
      <c r="DG100" s="848"/>
    </row>
    <row r="101" spans="1:111" s="4" customFormat="1">
      <c r="A101" s="885"/>
      <c r="B101" s="883"/>
      <c r="C101" s="883"/>
      <c r="D101" s="883"/>
      <c r="E101" s="883"/>
      <c r="F101" s="883"/>
      <c r="G101" s="883"/>
      <c r="H101" s="883"/>
      <c r="I101" s="883"/>
      <c r="J101" s="883"/>
      <c r="K101" s="883"/>
      <c r="L101" s="883"/>
      <c r="M101" s="883"/>
      <c r="N101" s="883"/>
      <c r="O101" s="883"/>
      <c r="P101" s="883"/>
      <c r="Q101" s="883"/>
      <c r="R101" s="883"/>
      <c r="S101" s="883"/>
      <c r="T101" s="883"/>
      <c r="U101" s="883"/>
      <c r="V101" s="883"/>
      <c r="W101" s="883"/>
      <c r="X101" s="883"/>
      <c r="Y101" s="883"/>
      <c r="Z101" s="883"/>
      <c r="AA101" s="883"/>
      <c r="AB101" s="883"/>
      <c r="AC101" s="883"/>
      <c r="AD101" s="883"/>
      <c r="AE101" s="884"/>
      <c r="AF101" s="185"/>
      <c r="AG101" s="185"/>
      <c r="AH101" s="848"/>
      <c r="AI101" s="848"/>
      <c r="AJ101" s="848"/>
      <c r="AK101" s="848"/>
      <c r="AL101" s="848"/>
      <c r="AM101" s="848"/>
      <c r="AN101" s="848"/>
      <c r="AO101" s="848"/>
      <c r="AP101" s="848"/>
      <c r="AQ101" s="848"/>
      <c r="AR101" s="848"/>
      <c r="AS101" s="848"/>
      <c r="AT101" s="848"/>
      <c r="AU101" s="848"/>
      <c r="AV101" s="848"/>
      <c r="AW101" s="848"/>
      <c r="AX101" s="848"/>
      <c r="AY101" s="848"/>
      <c r="AZ101" s="848"/>
      <c r="BA101" s="848"/>
      <c r="BB101" s="848"/>
      <c r="BC101" s="848"/>
      <c r="BD101" s="848"/>
      <c r="BE101" s="848"/>
      <c r="BF101" s="848"/>
      <c r="BG101" s="848"/>
      <c r="BH101" s="848"/>
      <c r="BI101" s="848"/>
      <c r="BJ101" s="848"/>
      <c r="BK101" s="848"/>
      <c r="BL101" s="848"/>
      <c r="BM101" s="848"/>
      <c r="BN101" s="848"/>
      <c r="BO101" s="848"/>
      <c r="BP101" s="848"/>
      <c r="BQ101" s="848"/>
      <c r="BR101" s="848"/>
      <c r="BS101" s="848"/>
      <c r="BT101" s="848"/>
      <c r="BU101" s="848"/>
      <c r="BV101" s="848"/>
      <c r="BW101" s="848"/>
      <c r="BX101" s="848"/>
      <c r="BY101" s="848"/>
      <c r="BZ101" s="848"/>
      <c r="CA101" s="848"/>
      <c r="CB101" s="848"/>
      <c r="CC101" s="848"/>
      <c r="CD101" s="848"/>
      <c r="CE101" s="848"/>
      <c r="CF101" s="848"/>
      <c r="CG101" s="848"/>
      <c r="CH101" s="848"/>
      <c r="CI101" s="848"/>
      <c r="CJ101" s="848"/>
      <c r="CK101" s="848"/>
      <c r="CL101" s="848"/>
      <c r="CM101" s="848"/>
      <c r="CN101" s="848"/>
      <c r="CO101" s="848"/>
      <c r="CP101" s="848"/>
      <c r="CQ101" s="848"/>
      <c r="CR101" s="848"/>
      <c r="CS101" s="848"/>
      <c r="CT101" s="848"/>
      <c r="CU101" s="848"/>
      <c r="CV101" s="848"/>
      <c r="CW101" s="848"/>
      <c r="CX101" s="848"/>
      <c r="CY101" s="848"/>
      <c r="CZ101" s="848"/>
      <c r="DA101" s="848"/>
      <c r="DB101" s="848"/>
      <c r="DC101" s="848"/>
      <c r="DD101" s="848"/>
      <c r="DE101" s="848"/>
      <c r="DF101" s="848"/>
      <c r="DG101" s="848"/>
    </row>
    <row r="102" spans="1:111">
      <c r="A102" s="885"/>
      <c r="B102" s="883"/>
      <c r="C102" s="883"/>
      <c r="D102" s="883"/>
      <c r="E102" s="883"/>
      <c r="F102" s="883"/>
      <c r="G102" s="883"/>
      <c r="H102" s="883"/>
      <c r="I102" s="883"/>
      <c r="J102" s="883"/>
      <c r="K102" s="883"/>
      <c r="L102" s="883"/>
      <c r="M102" s="883"/>
      <c r="N102" s="883"/>
      <c r="O102" s="883"/>
      <c r="P102" s="883"/>
      <c r="Q102" s="883"/>
      <c r="R102" s="883"/>
      <c r="S102" s="883"/>
      <c r="T102" s="883"/>
      <c r="U102" s="883"/>
      <c r="V102" s="883"/>
      <c r="W102" s="883"/>
      <c r="X102" s="883"/>
      <c r="Y102" s="883"/>
      <c r="Z102" s="883"/>
      <c r="AA102" s="883"/>
      <c r="AB102" s="883"/>
      <c r="AC102" s="883"/>
      <c r="AD102" s="883"/>
      <c r="AE102" s="884"/>
      <c r="AF102" s="185"/>
      <c r="AG102" s="185"/>
      <c r="AH102" s="848"/>
      <c r="AI102" s="848"/>
      <c r="AJ102" s="848"/>
      <c r="AK102" s="848"/>
      <c r="AL102" s="848"/>
      <c r="AM102" s="848"/>
      <c r="AN102" s="848"/>
      <c r="AO102" s="848"/>
      <c r="AP102" s="848"/>
      <c r="AQ102" s="848"/>
      <c r="AR102" s="848"/>
      <c r="AS102" s="848"/>
      <c r="AT102" s="848"/>
      <c r="AU102" s="848"/>
      <c r="AV102" s="848"/>
      <c r="AW102" s="848"/>
      <c r="AX102" s="848"/>
      <c r="AY102" s="848"/>
      <c r="AZ102" s="848"/>
      <c r="BA102" s="848"/>
      <c r="BB102" s="848"/>
      <c r="BC102" s="848"/>
      <c r="BD102" s="848"/>
      <c r="BE102" s="848"/>
      <c r="BF102" s="848"/>
      <c r="BG102" s="848"/>
      <c r="BH102" s="848"/>
      <c r="BI102" s="848"/>
      <c r="BJ102" s="848"/>
      <c r="BK102" s="848"/>
      <c r="BL102" s="848"/>
      <c r="BM102" s="848"/>
      <c r="BN102" s="848"/>
      <c r="BO102" s="848"/>
      <c r="BP102" s="848"/>
      <c r="BQ102" s="848"/>
      <c r="BR102" s="848"/>
      <c r="BS102" s="848"/>
      <c r="BT102" s="848"/>
      <c r="BU102" s="848"/>
      <c r="BV102" s="848"/>
      <c r="BW102" s="848"/>
      <c r="BX102" s="848"/>
      <c r="BY102" s="848"/>
      <c r="BZ102" s="848"/>
      <c r="CA102" s="848"/>
      <c r="CB102" s="848"/>
      <c r="CC102" s="848"/>
      <c r="CD102" s="848"/>
      <c r="CE102" s="848"/>
      <c r="CF102" s="848"/>
      <c r="CG102" s="848"/>
      <c r="CH102" s="848"/>
      <c r="CI102" s="848"/>
      <c r="CJ102" s="848"/>
      <c r="CK102" s="848"/>
      <c r="CL102" s="848"/>
      <c r="CM102" s="848"/>
      <c r="CN102" s="848"/>
      <c r="CO102" s="848"/>
      <c r="CP102" s="848"/>
      <c r="CQ102" s="848"/>
      <c r="CR102" s="848"/>
      <c r="CS102" s="848"/>
      <c r="CT102" s="848"/>
      <c r="CU102" s="848"/>
      <c r="CV102" s="848"/>
      <c r="CW102" s="848"/>
      <c r="CX102" s="848"/>
      <c r="CY102" s="848"/>
      <c r="CZ102" s="848"/>
      <c r="DA102" s="848"/>
      <c r="DB102" s="848"/>
      <c r="DC102" s="848"/>
      <c r="DD102" s="848"/>
      <c r="DE102" s="848"/>
      <c r="DF102" s="848"/>
      <c r="DG102" s="848"/>
    </row>
    <row r="103" spans="1:111">
      <c r="A103" s="885"/>
      <c r="B103" s="883"/>
      <c r="C103" s="883"/>
      <c r="D103" s="883"/>
      <c r="E103" s="883"/>
      <c r="F103" s="883"/>
      <c r="G103" s="883"/>
      <c r="H103" s="883"/>
      <c r="I103" s="883"/>
      <c r="J103" s="883"/>
      <c r="K103" s="883"/>
      <c r="L103" s="883"/>
      <c r="M103" s="883"/>
      <c r="N103" s="883"/>
      <c r="O103" s="883"/>
      <c r="P103" s="883"/>
      <c r="Q103" s="883"/>
      <c r="R103" s="883"/>
      <c r="S103" s="883"/>
      <c r="T103" s="883"/>
      <c r="U103" s="883"/>
      <c r="V103" s="883"/>
      <c r="W103" s="883"/>
      <c r="X103" s="883"/>
      <c r="Y103" s="883"/>
      <c r="Z103" s="883"/>
      <c r="AA103" s="883"/>
      <c r="AB103" s="883"/>
      <c r="AC103" s="883"/>
      <c r="AD103" s="883"/>
      <c r="AE103" s="884"/>
      <c r="AF103" s="185"/>
      <c r="AG103" s="185"/>
      <c r="AH103" s="848"/>
      <c r="AI103" s="848"/>
      <c r="AJ103" s="848"/>
      <c r="AK103" s="848"/>
      <c r="AL103" s="848"/>
      <c r="AM103" s="848"/>
      <c r="AN103" s="848"/>
      <c r="AO103" s="848"/>
      <c r="AP103" s="848"/>
      <c r="AQ103" s="848"/>
      <c r="AR103" s="848"/>
      <c r="AS103" s="848"/>
      <c r="AT103" s="848"/>
      <c r="AU103" s="848"/>
      <c r="AV103" s="848"/>
      <c r="AW103" s="848"/>
      <c r="AX103" s="848"/>
      <c r="AY103" s="848"/>
      <c r="AZ103" s="848"/>
      <c r="BA103" s="848"/>
      <c r="BB103" s="848"/>
      <c r="BC103" s="848"/>
      <c r="BD103" s="848"/>
      <c r="BE103" s="848"/>
      <c r="BF103" s="848"/>
      <c r="BG103" s="848"/>
      <c r="BH103" s="848"/>
      <c r="BI103" s="848"/>
      <c r="BJ103" s="848"/>
      <c r="BK103" s="848"/>
      <c r="BL103" s="848"/>
      <c r="BM103" s="848"/>
      <c r="BN103" s="848"/>
      <c r="BO103" s="848"/>
      <c r="BP103" s="848"/>
      <c r="BQ103" s="848"/>
      <c r="BR103" s="848"/>
      <c r="BS103" s="848"/>
      <c r="BT103" s="848"/>
      <c r="BU103" s="848"/>
      <c r="BV103" s="848"/>
      <c r="BW103" s="848"/>
      <c r="BX103" s="848"/>
      <c r="BY103" s="848"/>
      <c r="BZ103" s="848"/>
      <c r="CA103" s="848"/>
      <c r="CB103" s="848"/>
      <c r="CC103" s="848"/>
      <c r="CD103" s="848"/>
      <c r="CE103" s="848"/>
      <c r="CF103" s="848"/>
      <c r="CG103" s="848"/>
      <c r="CH103" s="848"/>
      <c r="CI103" s="848"/>
      <c r="CJ103" s="848"/>
      <c r="CK103" s="848"/>
      <c r="CL103" s="848"/>
      <c r="CM103" s="848"/>
      <c r="CN103" s="848"/>
      <c r="CO103" s="848"/>
      <c r="CP103" s="848"/>
      <c r="CQ103" s="848"/>
      <c r="CR103" s="848"/>
      <c r="CS103" s="848"/>
      <c r="CT103" s="848"/>
      <c r="CU103" s="848"/>
      <c r="CV103" s="848"/>
      <c r="CW103" s="848"/>
      <c r="CX103" s="848"/>
      <c r="CY103" s="848"/>
      <c r="CZ103" s="848"/>
      <c r="DA103" s="848"/>
      <c r="DB103" s="848"/>
      <c r="DC103" s="848"/>
      <c r="DD103" s="848"/>
      <c r="DE103" s="848"/>
      <c r="DF103" s="848"/>
      <c r="DG103" s="848"/>
    </row>
    <row r="104" spans="1:111" s="3" customFormat="1">
      <c r="A104" s="885"/>
      <c r="B104" s="883"/>
      <c r="C104" s="883"/>
      <c r="D104" s="883"/>
      <c r="E104" s="883"/>
      <c r="F104" s="883"/>
      <c r="G104" s="883"/>
      <c r="H104" s="883"/>
      <c r="I104" s="883"/>
      <c r="J104" s="883"/>
      <c r="K104" s="883"/>
      <c r="L104" s="883"/>
      <c r="M104" s="883"/>
      <c r="N104" s="883"/>
      <c r="O104" s="883"/>
      <c r="P104" s="883"/>
      <c r="Q104" s="883"/>
      <c r="R104" s="883"/>
      <c r="S104" s="883"/>
      <c r="T104" s="883"/>
      <c r="U104" s="883"/>
      <c r="V104" s="883"/>
      <c r="W104" s="883"/>
      <c r="X104" s="883"/>
      <c r="Y104" s="883"/>
      <c r="Z104" s="883"/>
      <c r="AA104" s="883"/>
      <c r="AB104" s="883"/>
      <c r="AC104" s="883"/>
      <c r="AD104" s="883"/>
      <c r="AE104" s="884"/>
      <c r="AF104" s="185"/>
      <c r="AG104" s="185"/>
      <c r="AH104" s="848"/>
      <c r="AI104" s="848"/>
      <c r="AJ104" s="848"/>
      <c r="AK104" s="848"/>
      <c r="AL104" s="848"/>
      <c r="AM104" s="848"/>
      <c r="AN104" s="848"/>
      <c r="AO104" s="848"/>
      <c r="AP104" s="848"/>
      <c r="AQ104" s="848"/>
      <c r="AR104" s="848"/>
      <c r="AS104" s="848"/>
      <c r="AT104" s="848"/>
      <c r="AU104" s="848"/>
      <c r="AV104" s="848"/>
      <c r="AW104" s="848"/>
      <c r="AX104" s="848"/>
      <c r="AY104" s="848"/>
      <c r="AZ104" s="848"/>
      <c r="BA104" s="848"/>
      <c r="BB104" s="848"/>
      <c r="BC104" s="848"/>
      <c r="BD104" s="848"/>
      <c r="BE104" s="848"/>
      <c r="BF104" s="848"/>
      <c r="BG104" s="848"/>
      <c r="BH104" s="848"/>
      <c r="BI104" s="848"/>
      <c r="BJ104" s="848"/>
      <c r="BK104" s="848"/>
      <c r="BL104" s="848"/>
      <c r="BM104" s="848"/>
      <c r="BN104" s="848"/>
      <c r="BO104" s="848"/>
      <c r="BP104" s="848"/>
      <c r="BQ104" s="848"/>
      <c r="BR104" s="848"/>
      <c r="BS104" s="848"/>
      <c r="BT104" s="848"/>
      <c r="BU104" s="848"/>
      <c r="BV104" s="848"/>
      <c r="BW104" s="848"/>
      <c r="BX104" s="848"/>
      <c r="BY104" s="848"/>
      <c r="BZ104" s="848"/>
      <c r="CA104" s="848"/>
      <c r="CB104" s="848"/>
      <c r="CC104" s="848"/>
      <c r="CD104" s="848"/>
      <c r="CE104" s="848"/>
      <c r="CF104" s="848"/>
      <c r="CG104" s="848"/>
      <c r="CH104" s="848"/>
      <c r="CI104" s="848"/>
      <c r="CJ104" s="848"/>
      <c r="CK104" s="848"/>
      <c r="CL104" s="848"/>
      <c r="CM104" s="848"/>
      <c r="CN104" s="848"/>
      <c r="CO104" s="848"/>
      <c r="CP104" s="848"/>
      <c r="CQ104" s="848"/>
      <c r="CR104" s="848"/>
      <c r="CS104" s="848"/>
      <c r="CT104" s="848"/>
      <c r="CU104" s="848"/>
      <c r="CV104" s="848"/>
      <c r="CW104" s="848"/>
      <c r="CX104" s="848"/>
      <c r="CY104" s="848"/>
      <c r="CZ104" s="848"/>
      <c r="DA104" s="848"/>
      <c r="DB104" s="848"/>
      <c r="DC104" s="848"/>
      <c r="DD104" s="848"/>
      <c r="DE104" s="848"/>
      <c r="DF104" s="848"/>
      <c r="DG104" s="848"/>
    </row>
    <row r="105" spans="1:111" s="2" customFormat="1">
      <c r="A105" s="186"/>
      <c r="B105" s="187"/>
      <c r="C105" s="188"/>
      <c r="D105" s="188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</row>
    <row r="108" spans="1:111" s="3" customFormat="1">
      <c r="A108" s="123"/>
      <c r="B108" s="123"/>
      <c r="C108" s="189"/>
      <c r="D108" s="189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</row>
    <row r="109" spans="1:111" s="2" customFormat="1">
      <c r="A109" s="186"/>
      <c r="B109" s="187"/>
      <c r="C109" s="188"/>
      <c r="D109" s="188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</row>
    <row r="112" spans="1:111" s="3" customFormat="1">
      <c r="A112" s="123"/>
      <c r="B112" s="123"/>
      <c r="C112" s="189"/>
      <c r="D112" s="189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</row>
    <row r="113" spans="1:33" s="2" customFormat="1">
      <c r="A113" s="186"/>
      <c r="B113" s="187"/>
      <c r="C113" s="188"/>
      <c r="D113" s="188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</row>
    <row r="116" spans="1:33" s="3" customFormat="1">
      <c r="A116" s="123"/>
      <c r="B116" s="123"/>
      <c r="C116" s="189"/>
      <c r="D116" s="189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</row>
    <row r="117" spans="1:33" s="2" customFormat="1">
      <c r="A117" s="186"/>
      <c r="B117" s="187"/>
      <c r="C117" s="188"/>
      <c r="D117" s="188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</row>
    <row r="120" spans="1:33" s="3" customFormat="1">
      <c r="A120" s="123"/>
      <c r="B120" s="123"/>
      <c r="C120" s="189"/>
      <c r="D120" s="189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</row>
    <row r="121" spans="1:33" s="2" customFormat="1">
      <c r="A121" s="186"/>
      <c r="B121" s="187"/>
      <c r="C121" s="188"/>
      <c r="D121" s="188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</row>
    <row r="124" spans="1:33" s="3" customFormat="1">
      <c r="A124" s="123"/>
      <c r="B124" s="123"/>
      <c r="C124" s="189"/>
      <c r="D124" s="189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</row>
    <row r="125" spans="1:33" s="2" customFormat="1">
      <c r="A125" s="186"/>
      <c r="B125" s="187"/>
      <c r="C125" s="188"/>
      <c r="D125" s="188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</row>
    <row r="128" spans="1:33" s="3" customFormat="1">
      <c r="A128" s="123"/>
      <c r="B128" s="123"/>
      <c r="C128" s="189"/>
      <c r="D128" s="189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</row>
    <row r="129" spans="1:33" s="2" customFormat="1">
      <c r="A129" s="186"/>
      <c r="B129" s="187"/>
      <c r="C129" s="188"/>
      <c r="D129" s="188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</row>
    <row r="132" spans="1:33" s="3" customFormat="1">
      <c r="A132" s="123"/>
      <c r="B132" s="123"/>
      <c r="C132" s="189"/>
      <c r="D132" s="189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</row>
    <row r="133" spans="1:33" s="2" customFormat="1">
      <c r="A133" s="186"/>
      <c r="B133" s="187"/>
      <c r="C133" s="188"/>
      <c r="D133" s="188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</row>
    <row r="136" spans="1:33" s="3" customFormat="1">
      <c r="A136" s="123"/>
      <c r="B136" s="123"/>
      <c r="C136" s="189"/>
      <c r="D136" s="189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</row>
    <row r="137" spans="1:33" s="2" customFormat="1">
      <c r="A137" s="186"/>
      <c r="B137" s="187"/>
      <c r="C137" s="188"/>
      <c r="D137" s="188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</row>
    <row r="140" spans="1:33" s="3" customFormat="1">
      <c r="A140" s="123"/>
      <c r="B140" s="123"/>
      <c r="C140" s="189"/>
      <c r="D140" s="189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</row>
    <row r="141" spans="1:33" s="2" customFormat="1">
      <c r="A141" s="186"/>
      <c r="B141" s="187"/>
      <c r="C141" s="188"/>
      <c r="D141" s="188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</row>
    <row r="144" spans="1:33" s="3" customFormat="1">
      <c r="A144" s="123"/>
      <c r="B144" s="123"/>
      <c r="C144" s="189"/>
      <c r="D144" s="189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</row>
    <row r="145" spans="1:33" s="2" customFormat="1">
      <c r="A145" s="186"/>
      <c r="B145" s="187"/>
      <c r="C145" s="188"/>
      <c r="D145" s="188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</row>
    <row r="148" spans="1:33" s="3" customFormat="1">
      <c r="A148" s="123"/>
      <c r="B148" s="123"/>
      <c r="C148" s="189"/>
      <c r="D148" s="189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</row>
    <row r="149" spans="1:33" s="2" customFormat="1">
      <c r="A149" s="186"/>
      <c r="B149" s="187"/>
      <c r="C149" s="188"/>
      <c r="D149" s="188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</row>
    <row r="152" spans="1:33" s="3" customFormat="1">
      <c r="A152" s="123"/>
      <c r="B152" s="123"/>
      <c r="C152" s="189"/>
      <c r="D152" s="189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</row>
    <row r="153" spans="1:33" s="2" customFormat="1">
      <c r="A153" s="186"/>
      <c r="B153" s="187"/>
      <c r="C153" s="188"/>
      <c r="D153" s="188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</row>
    <row r="156" spans="1:33" s="3" customFormat="1">
      <c r="A156" s="123"/>
      <c r="B156" s="123"/>
      <c r="C156" s="189"/>
      <c r="D156" s="189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</row>
    <row r="157" spans="1:33" s="2" customFormat="1">
      <c r="A157" s="186"/>
      <c r="B157" s="187"/>
      <c r="C157" s="188"/>
      <c r="D157" s="188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</row>
    <row r="160" spans="1:33" s="3" customFormat="1">
      <c r="A160" s="123"/>
      <c r="B160" s="123"/>
      <c r="C160" s="189"/>
      <c r="D160" s="189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</row>
    <row r="161" spans="1:33" s="2" customFormat="1">
      <c r="A161" s="186"/>
      <c r="B161" s="187"/>
      <c r="C161" s="188"/>
      <c r="D161" s="188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</row>
    <row r="164" spans="1:33" s="3" customFormat="1">
      <c r="A164" s="123"/>
      <c r="B164" s="123"/>
      <c r="C164" s="189"/>
      <c r="D164" s="189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</row>
    <row r="165" spans="1:33" s="2" customFormat="1">
      <c r="A165" s="186"/>
      <c r="B165" s="187"/>
      <c r="C165" s="188"/>
      <c r="D165" s="188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</row>
    <row r="168" spans="1:33" s="3" customFormat="1">
      <c r="A168" s="123"/>
      <c r="B168" s="123"/>
      <c r="C168" s="189"/>
      <c r="D168" s="189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</row>
    <row r="169" spans="1:33" s="2" customFormat="1">
      <c r="A169" s="186"/>
      <c r="B169" s="187"/>
      <c r="C169" s="188"/>
      <c r="D169" s="188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</row>
    <row r="172" spans="1:33" s="3" customFormat="1">
      <c r="A172" s="123"/>
      <c r="B172" s="123"/>
      <c r="C172" s="189"/>
      <c r="D172" s="189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</row>
    <row r="173" spans="1:33" s="2" customFormat="1">
      <c r="A173" s="186"/>
      <c r="B173" s="187"/>
      <c r="C173" s="188"/>
      <c r="D173" s="188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</row>
    <row r="176" spans="1:33" s="3" customFormat="1">
      <c r="A176" s="123"/>
      <c r="B176" s="123"/>
      <c r="C176" s="189"/>
      <c r="D176" s="189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</row>
    <row r="177" spans="1:33" s="2" customFormat="1">
      <c r="A177" s="186"/>
      <c r="B177" s="187"/>
      <c r="C177" s="188"/>
      <c r="D177" s="188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</row>
    <row r="180" spans="1:33" s="3" customFormat="1">
      <c r="A180" s="123"/>
      <c r="B180" s="123"/>
      <c r="C180" s="189"/>
      <c r="D180" s="189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</row>
    <row r="181" spans="1:33" s="2" customFormat="1">
      <c r="A181" s="186"/>
      <c r="B181" s="187"/>
      <c r="C181" s="188"/>
      <c r="D181" s="188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</row>
    <row r="184" spans="1:33" s="3" customFormat="1">
      <c r="A184" s="123"/>
      <c r="B184" s="123"/>
      <c r="C184" s="189"/>
      <c r="D184" s="189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</row>
    <row r="185" spans="1:33" s="2" customFormat="1">
      <c r="A185" s="186"/>
      <c r="B185" s="187"/>
      <c r="C185" s="188"/>
      <c r="D185" s="188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</row>
    <row r="188" spans="1:33" s="3" customFormat="1">
      <c r="A188" s="123"/>
      <c r="B188" s="123"/>
      <c r="C188" s="189"/>
      <c r="D188" s="189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</row>
    <row r="189" spans="1:33" s="2" customFormat="1">
      <c r="A189" s="186"/>
      <c r="B189" s="187"/>
      <c r="C189" s="188"/>
      <c r="D189" s="188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</row>
    <row r="192" spans="1:33" s="3" customFormat="1">
      <c r="A192" s="123"/>
      <c r="B192" s="123"/>
      <c r="C192" s="189"/>
      <c r="D192" s="189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</row>
    <row r="193" spans="1:33" s="2" customFormat="1">
      <c r="A193" s="186"/>
      <c r="B193" s="187"/>
      <c r="C193" s="188"/>
      <c r="D193" s="188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</row>
    <row r="196" spans="1:33" s="3" customFormat="1">
      <c r="A196" s="123"/>
      <c r="B196" s="123"/>
      <c r="C196" s="189"/>
      <c r="D196" s="189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</row>
    <row r="200" spans="1:33" s="6" customFormat="1">
      <c r="A200" s="123"/>
      <c r="B200" s="123"/>
      <c r="C200" s="189"/>
      <c r="D200" s="189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</row>
    <row r="202" spans="1:33" s="7" customFormat="1">
      <c r="A202" s="122"/>
      <c r="B202" s="123"/>
      <c r="C202" s="124"/>
      <c r="D202" s="124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</row>
    <row r="203" spans="1:33" s="7" customFormat="1">
      <c r="A203" s="122"/>
      <c r="B203" s="123"/>
      <c r="C203" s="124"/>
      <c r="D203" s="124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</row>
    <row r="204" spans="1:33" s="6" customFormat="1">
      <c r="A204" s="123"/>
      <c r="B204" s="123"/>
      <c r="C204" s="189"/>
      <c r="D204" s="189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</row>
    <row r="206" spans="1:33" s="7" customFormat="1">
      <c r="A206" s="122"/>
      <c r="B206" s="123"/>
      <c r="C206" s="124"/>
      <c r="D206" s="124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</row>
    <row r="207" spans="1:33" s="7" customFormat="1">
      <c r="A207" s="122"/>
      <c r="B207" s="123"/>
      <c r="C207" s="124"/>
      <c r="D207" s="124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</row>
    <row r="208" spans="1:33" s="6" customFormat="1">
      <c r="A208" s="123"/>
      <c r="B208" s="123"/>
      <c r="C208" s="189"/>
      <c r="D208" s="189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</row>
    <row r="209" spans="1:33" s="2" customFormat="1">
      <c r="A209" s="186"/>
      <c r="B209" s="187"/>
      <c r="C209" s="188"/>
      <c r="D209" s="188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  <c r="AA209" s="186"/>
      <c r="AB209" s="186"/>
      <c r="AC209" s="186"/>
      <c r="AD209" s="186"/>
      <c r="AE209" s="186"/>
      <c r="AF209" s="186"/>
      <c r="AG209" s="186"/>
    </row>
    <row r="210" spans="1:33" s="7" customFormat="1">
      <c r="A210" s="122"/>
      <c r="B210" s="123"/>
      <c r="C210" s="124"/>
      <c r="D210" s="124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</row>
    <row r="211" spans="1:33" s="7" customFormat="1">
      <c r="A211" s="122"/>
      <c r="B211" s="123"/>
      <c r="C211" s="124"/>
      <c r="D211" s="124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</row>
    <row r="212" spans="1:33" s="6" customFormat="1">
      <c r="A212" s="123"/>
      <c r="B212" s="123"/>
      <c r="C212" s="189"/>
      <c r="D212" s="189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</row>
    <row r="213" spans="1:33" s="2" customFormat="1">
      <c r="A213" s="186"/>
      <c r="B213" s="187"/>
      <c r="C213" s="188"/>
      <c r="D213" s="188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</row>
    <row r="216" spans="1:33" s="6" customFormat="1">
      <c r="A216" s="123"/>
      <c r="B216" s="123"/>
      <c r="C216" s="189"/>
      <c r="D216" s="189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</row>
    <row r="217" spans="1:33" s="2" customFormat="1">
      <c r="A217" s="186"/>
      <c r="B217" s="187"/>
      <c r="C217" s="188"/>
      <c r="D217" s="188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</row>
    <row r="218" spans="1:33" s="7" customFormat="1">
      <c r="A218" s="122"/>
      <c r="B218" s="123"/>
      <c r="C218" s="124"/>
      <c r="D218" s="124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</row>
    <row r="219" spans="1:33" s="7" customFormat="1">
      <c r="A219" s="122"/>
      <c r="B219" s="123"/>
      <c r="C219" s="124"/>
      <c r="D219" s="124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</row>
    <row r="220" spans="1:33" s="6" customFormat="1">
      <c r="A220" s="123"/>
      <c r="B220" s="123"/>
      <c r="C220" s="189"/>
      <c r="D220" s="189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</row>
    <row r="221" spans="1:33" s="2" customFormat="1">
      <c r="A221" s="186"/>
      <c r="B221" s="187"/>
      <c r="C221" s="188"/>
      <c r="D221" s="188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  <c r="AA221" s="186"/>
      <c r="AB221" s="186"/>
      <c r="AC221" s="186"/>
      <c r="AD221" s="186"/>
      <c r="AE221" s="186"/>
      <c r="AF221" s="186"/>
      <c r="AG221" s="186"/>
    </row>
    <row r="222" spans="1:33" s="7" customFormat="1">
      <c r="A222" s="122"/>
      <c r="B222" s="123"/>
      <c r="C222" s="124"/>
      <c r="D222" s="124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</row>
    <row r="223" spans="1:33" s="7" customFormat="1">
      <c r="A223" s="122"/>
      <c r="B223" s="123"/>
      <c r="C223" s="124"/>
      <c r="D223" s="124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</row>
    <row r="224" spans="1:33" s="6" customFormat="1">
      <c r="A224" s="123"/>
      <c r="B224" s="123"/>
      <c r="C224" s="189"/>
      <c r="D224" s="189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</row>
    <row r="225" spans="1:33" s="2" customFormat="1">
      <c r="A225" s="186"/>
      <c r="B225" s="187"/>
      <c r="C225" s="188"/>
      <c r="D225" s="188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86"/>
      <c r="AC225" s="186"/>
      <c r="AD225" s="186"/>
      <c r="AE225" s="186"/>
      <c r="AF225" s="186"/>
      <c r="AG225" s="186"/>
    </row>
    <row r="226" spans="1:33" s="7" customFormat="1">
      <c r="A226" s="122"/>
      <c r="B226" s="123"/>
      <c r="C226" s="124"/>
      <c r="D226" s="124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</row>
    <row r="227" spans="1:33" s="7" customFormat="1">
      <c r="A227" s="122"/>
      <c r="B227" s="123"/>
      <c r="C227" s="124"/>
      <c r="D227" s="124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</row>
    <row r="228" spans="1:33" s="6" customFormat="1">
      <c r="A228" s="123"/>
      <c r="B228" s="123"/>
      <c r="C228" s="189"/>
      <c r="D228" s="189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</row>
    <row r="229" spans="1:33" s="2" customFormat="1">
      <c r="A229" s="186"/>
      <c r="B229" s="187"/>
      <c r="C229" s="188"/>
      <c r="D229" s="188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  <c r="AF229" s="186"/>
      <c r="AG229" s="186"/>
    </row>
    <row r="230" spans="1:33" s="7" customFormat="1">
      <c r="A230" s="122"/>
      <c r="B230" s="123"/>
      <c r="C230" s="124"/>
      <c r="D230" s="124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</row>
    <row r="231" spans="1:33" s="7" customFormat="1">
      <c r="A231" s="122"/>
      <c r="B231" s="123"/>
      <c r="C231" s="124"/>
      <c r="D231" s="124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</row>
    <row r="232" spans="1:33" s="6" customFormat="1">
      <c r="A232" s="123"/>
      <c r="B232" s="123"/>
      <c r="C232" s="189"/>
      <c r="D232" s="189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</row>
    <row r="233" spans="1:33" s="2" customFormat="1">
      <c r="A233" s="186"/>
      <c r="B233" s="187"/>
      <c r="C233" s="188"/>
      <c r="D233" s="188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  <c r="AA233" s="186"/>
      <c r="AB233" s="186"/>
      <c r="AC233" s="186"/>
      <c r="AD233" s="186"/>
      <c r="AE233" s="186"/>
      <c r="AF233" s="186"/>
      <c r="AG233" s="186"/>
    </row>
    <row r="234" spans="1:33" s="8" customFormat="1">
      <c r="A234" s="122"/>
      <c r="B234" s="123"/>
      <c r="C234" s="124"/>
      <c r="D234" s="124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</row>
    <row r="235" spans="1:33" s="8" customFormat="1">
      <c r="A235" s="122"/>
      <c r="B235" s="123"/>
      <c r="C235" s="124"/>
      <c r="D235" s="124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</row>
    <row r="236" spans="1:33" s="3" customFormat="1">
      <c r="A236" s="123"/>
      <c r="B236" s="123"/>
      <c r="C236" s="189"/>
      <c r="D236" s="189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</row>
    <row r="237" spans="1:33" s="2" customFormat="1">
      <c r="A237" s="186"/>
      <c r="B237" s="187"/>
      <c r="C237" s="188"/>
      <c r="D237" s="188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</row>
    <row r="238" spans="1:33" s="7" customFormat="1">
      <c r="A238" s="122"/>
      <c r="B238" s="123"/>
      <c r="C238" s="124"/>
      <c r="D238" s="124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</row>
    <row r="239" spans="1:33" s="7" customFormat="1">
      <c r="A239" s="122"/>
      <c r="B239" s="123"/>
      <c r="C239" s="124"/>
      <c r="D239" s="124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</row>
    <row r="240" spans="1:33" s="6" customFormat="1">
      <c r="A240" s="123"/>
      <c r="B240" s="123"/>
      <c r="C240" s="189"/>
      <c r="D240" s="189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</row>
    <row r="241" spans="1:33" s="2" customFormat="1">
      <c r="A241" s="186"/>
      <c r="B241" s="187"/>
      <c r="C241" s="188"/>
      <c r="D241" s="188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</row>
    <row r="242" spans="1:33" s="2" customFormat="1" ht="15" customHeight="1">
      <c r="A242" s="186"/>
      <c r="B242" s="187"/>
      <c r="C242" s="188"/>
      <c r="D242" s="188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  <c r="AA242" s="186"/>
      <c r="AB242" s="186"/>
      <c r="AC242" s="186"/>
      <c r="AD242" s="186"/>
      <c r="AE242" s="186"/>
      <c r="AF242" s="186"/>
      <c r="AG242" s="186"/>
    </row>
    <row r="243" spans="1:33" s="2" customFormat="1">
      <c r="A243" s="186"/>
      <c r="B243" s="187"/>
      <c r="C243" s="188"/>
      <c r="D243" s="188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6"/>
      <c r="AE243" s="186"/>
      <c r="AF243" s="186"/>
      <c r="AG243" s="186"/>
    </row>
    <row r="244" spans="1:33" s="2" customFormat="1" ht="18" customHeight="1">
      <c r="A244" s="186"/>
      <c r="B244" s="187"/>
      <c r="C244" s="188"/>
      <c r="D244" s="188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  <c r="AA244" s="186"/>
      <c r="AB244" s="186"/>
      <c r="AC244" s="186"/>
      <c r="AD244" s="186"/>
      <c r="AE244" s="186"/>
      <c r="AF244" s="186"/>
      <c r="AG244" s="186"/>
    </row>
    <row r="245" spans="1:33" ht="20.25" customHeight="1"/>
    <row r="246" spans="1:33" s="6" customFormat="1">
      <c r="A246" s="123"/>
      <c r="B246" s="123"/>
      <c r="C246" s="189"/>
      <c r="D246" s="189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</row>
  </sheetData>
  <sortState ref="A10:AG60">
    <sortCondition descending="1" ref="AG10:AG60"/>
  </sortState>
  <mergeCells count="41">
    <mergeCell ref="AH1:DG104"/>
    <mergeCell ref="A3:Y3"/>
    <mergeCell ref="A4:A7"/>
    <mergeCell ref="B4:B7"/>
    <mergeCell ref="C4:C7"/>
    <mergeCell ref="D4:D7"/>
    <mergeCell ref="E4:H5"/>
    <mergeCell ref="I4:S4"/>
    <mergeCell ref="A1:AG2"/>
    <mergeCell ref="S5:S7"/>
    <mergeCell ref="AF5:AF7"/>
    <mergeCell ref="E6:E7"/>
    <mergeCell ref="F6:F7"/>
    <mergeCell ref="G6:G7"/>
    <mergeCell ref="H6:H7"/>
    <mergeCell ref="I6:I7"/>
    <mergeCell ref="T4:U5"/>
    <mergeCell ref="V4:Y5"/>
    <mergeCell ref="Z4:AE5"/>
    <mergeCell ref="I5:K5"/>
    <mergeCell ref="L5:L7"/>
    <mergeCell ref="M5:M7"/>
    <mergeCell ref="N5:N7"/>
    <mergeCell ref="O5:O7"/>
    <mergeCell ref="P5:P7"/>
    <mergeCell ref="A72:AE104"/>
    <mergeCell ref="AG4:AG7"/>
    <mergeCell ref="X6:X7"/>
    <mergeCell ref="Y6:Y7"/>
    <mergeCell ref="Z6:Z7"/>
    <mergeCell ref="AA6:AC6"/>
    <mergeCell ref="AD6:AD7"/>
    <mergeCell ref="AE6:AE7"/>
    <mergeCell ref="J6:J7"/>
    <mergeCell ref="K6:K7"/>
    <mergeCell ref="T6:T7"/>
    <mergeCell ref="U6:U7"/>
    <mergeCell ref="V6:V7"/>
    <mergeCell ref="W6:W7"/>
    <mergeCell ref="Q5:Q7"/>
    <mergeCell ref="R5:R7"/>
  </mergeCells>
  <pageMargins left="1.1811023622047245" right="0.39370078740157483" top="0.78740157480314965" bottom="0.78740157480314965" header="0.15748031496062992" footer="0.15748031496062992"/>
  <pageSetup paperSize="9" scale="150" orientation="portrait" r:id="rId1"/>
  <headerFooter alignWithMargins="0"/>
  <rowBreaks count="2" manualBreakCount="2">
    <brk id="65" max="110" man="1"/>
    <brk id="71" max="106" man="1"/>
  </rowBreaks>
  <colBreaks count="2" manualBreakCount="2">
    <brk id="33" max="68" man="1"/>
    <brk id="85" max="6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41"/>
  <sheetViews>
    <sheetView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45" sqref="M45"/>
    </sheetView>
  </sheetViews>
  <sheetFormatPr defaultRowHeight="14.25"/>
  <cols>
    <col min="1" max="1" width="3.42578125" style="9" customWidth="1"/>
    <col min="2" max="2" width="27.85546875" style="10" customWidth="1"/>
    <col min="3" max="3" width="11.85546875" style="198" customWidth="1"/>
    <col min="4" max="4" width="15.140625" style="198" customWidth="1"/>
    <col min="5" max="5" width="10.28515625" style="9" customWidth="1"/>
    <col min="6" max="7" width="9.7109375" style="9" customWidth="1"/>
    <col min="8" max="8" width="10.85546875" style="9" customWidth="1"/>
    <col min="9" max="11" width="10.42578125" style="9" customWidth="1"/>
    <col min="12" max="12" width="10.42578125" style="9" bestFit="1" customWidth="1"/>
    <col min="13" max="13" width="16.28515625" style="9" customWidth="1"/>
    <col min="14" max="14" width="15.140625" style="9" customWidth="1"/>
    <col min="15" max="15" width="13.5703125" style="9" customWidth="1"/>
    <col min="16" max="16" width="10.5703125" style="9" customWidth="1"/>
    <col min="17" max="17" width="10.85546875" style="9" customWidth="1"/>
    <col min="18" max="18" width="18" style="9" customWidth="1"/>
    <col min="19" max="19" width="15.42578125" style="9" customWidth="1"/>
    <col min="20" max="20" width="12.140625" style="9" customWidth="1"/>
    <col min="21" max="21" width="13.42578125" style="9" customWidth="1"/>
    <col min="22" max="24" width="8.85546875" style="9" customWidth="1"/>
    <col min="25" max="25" width="9.28515625" style="9" customWidth="1"/>
    <col min="26" max="26" width="14" style="9" customWidth="1"/>
    <col min="27" max="28" width="8.85546875" style="9" customWidth="1"/>
    <col min="29" max="29" width="10.140625" style="9" customWidth="1"/>
    <col min="30" max="31" width="9.5703125" style="9" customWidth="1"/>
    <col min="32" max="32" width="10.85546875" style="9" customWidth="1"/>
    <col min="33" max="33" width="9.85546875" style="1" customWidth="1"/>
    <col min="34" max="35" width="10.140625" style="1" customWidth="1"/>
    <col min="36" max="38" width="9.28515625" style="1" customWidth="1"/>
    <col min="39" max="39" width="9.85546875" style="1" customWidth="1"/>
    <col min="40" max="41" width="8.5703125" style="1" customWidth="1"/>
    <col min="42" max="44" width="8.85546875" style="1" customWidth="1"/>
    <col min="45" max="45" width="9.28515625" style="1" customWidth="1"/>
    <col min="46" max="47" width="8.85546875" style="1" customWidth="1"/>
    <col min="48" max="48" width="10" style="1" customWidth="1"/>
    <col min="49" max="50" width="8.85546875" style="1" customWidth="1"/>
    <col min="51" max="51" width="11" style="1" customWidth="1"/>
    <col min="52" max="53" width="9.5703125" style="1" customWidth="1"/>
    <col min="54" max="56" width="8.85546875" style="1" customWidth="1"/>
    <col min="57" max="57" width="10.42578125" style="1" customWidth="1"/>
    <col min="58" max="59" width="8.85546875" style="1" customWidth="1"/>
    <col min="60" max="60" width="9.7109375" style="1" customWidth="1"/>
    <col min="61" max="62" width="8.85546875" style="1" customWidth="1"/>
    <col min="63" max="63" width="9.28515625" style="1" customWidth="1"/>
    <col min="64" max="84" width="8.85546875" style="1" customWidth="1"/>
    <col min="85" max="85" width="9.85546875" style="1" customWidth="1"/>
    <col min="86" max="86" width="8.85546875" style="1" customWidth="1"/>
    <col min="87" max="87" width="10" style="1" customWidth="1"/>
    <col min="88" max="104" width="8.85546875" style="1" customWidth="1"/>
    <col min="105" max="105" width="9.42578125" style="1" customWidth="1"/>
    <col min="106" max="106" width="8.85546875" style="1" customWidth="1"/>
    <col min="107" max="107" width="12" style="1" customWidth="1"/>
    <col min="108" max="108" width="11.140625" style="1" customWidth="1"/>
    <col min="109" max="109" width="28.7109375" style="1" customWidth="1"/>
    <col min="110" max="110" width="5.85546875" style="1" customWidth="1"/>
    <col min="111" max="260" width="9.140625" style="1"/>
    <col min="261" max="261" width="3.42578125" style="1" customWidth="1"/>
    <col min="262" max="262" width="27.85546875" style="1" customWidth="1"/>
    <col min="263" max="263" width="11.85546875" style="1" customWidth="1"/>
    <col min="264" max="264" width="15.140625" style="1" customWidth="1"/>
    <col min="265" max="265" width="10.28515625" style="1" customWidth="1"/>
    <col min="266" max="267" width="9.7109375" style="1" customWidth="1"/>
    <col min="268" max="268" width="10.42578125" style="1" customWidth="1"/>
    <col min="269" max="269" width="10.42578125" style="1" bestFit="1" customWidth="1"/>
    <col min="270" max="270" width="16.28515625" style="1" customWidth="1"/>
    <col min="271" max="271" width="15.140625" style="1" customWidth="1"/>
    <col min="272" max="272" width="13.5703125" style="1" customWidth="1"/>
    <col min="273" max="273" width="10.5703125" style="1" customWidth="1"/>
    <col min="274" max="274" width="10.85546875" style="1" customWidth="1"/>
    <col min="275" max="275" width="18" style="1" customWidth="1"/>
    <col min="276" max="276" width="20.85546875" style="1" customWidth="1"/>
    <col min="277" max="277" width="13.5703125" style="1" customWidth="1"/>
    <col min="278" max="278" width="14.140625" style="1" customWidth="1"/>
    <col min="279" max="281" width="8.85546875" style="1" customWidth="1"/>
    <col min="282" max="282" width="9.28515625" style="1" customWidth="1"/>
    <col min="283" max="283" width="14" style="1" customWidth="1"/>
    <col min="284" max="285" width="8.85546875" style="1" customWidth="1"/>
    <col min="286" max="286" width="10.140625" style="1" customWidth="1"/>
    <col min="287" max="288" width="9.5703125" style="1" customWidth="1"/>
    <col min="289" max="289" width="9.85546875" style="1" customWidth="1"/>
    <col min="290" max="291" width="10.140625" style="1" customWidth="1"/>
    <col min="292" max="294" width="9.28515625" style="1" customWidth="1"/>
    <col min="295" max="295" width="9.85546875" style="1" customWidth="1"/>
    <col min="296" max="297" width="8.5703125" style="1" customWidth="1"/>
    <col min="298" max="300" width="8.85546875" style="1" customWidth="1"/>
    <col min="301" max="301" width="9.28515625" style="1" customWidth="1"/>
    <col min="302" max="303" width="8.85546875" style="1" customWidth="1"/>
    <col min="304" max="304" width="10" style="1" customWidth="1"/>
    <col min="305" max="306" width="8.85546875" style="1" customWidth="1"/>
    <col min="307" max="307" width="11" style="1" customWidth="1"/>
    <col min="308" max="309" width="9.5703125" style="1" customWidth="1"/>
    <col min="310" max="312" width="8.85546875" style="1" customWidth="1"/>
    <col min="313" max="313" width="10.42578125" style="1" customWidth="1"/>
    <col min="314" max="315" width="8.85546875" style="1" customWidth="1"/>
    <col min="316" max="316" width="9.7109375" style="1" customWidth="1"/>
    <col min="317" max="318" width="8.85546875" style="1" customWidth="1"/>
    <col min="319" max="319" width="9.28515625" style="1" customWidth="1"/>
    <col min="320" max="340" width="8.85546875" style="1" customWidth="1"/>
    <col min="341" max="341" width="9.85546875" style="1" customWidth="1"/>
    <col min="342" max="342" width="8.85546875" style="1" customWidth="1"/>
    <col min="343" max="343" width="10" style="1" customWidth="1"/>
    <col min="344" max="360" width="8.85546875" style="1" customWidth="1"/>
    <col min="361" max="361" width="9.42578125" style="1" customWidth="1"/>
    <col min="362" max="362" width="8.85546875" style="1" customWidth="1"/>
    <col min="363" max="363" width="12" style="1" customWidth="1"/>
    <col min="364" max="364" width="11.140625" style="1" customWidth="1"/>
    <col min="365" max="365" width="28.7109375" style="1" customWidth="1"/>
    <col min="366" max="366" width="5.85546875" style="1" customWidth="1"/>
    <col min="367" max="516" width="9.140625" style="1"/>
    <col min="517" max="517" width="3.42578125" style="1" customWidth="1"/>
    <col min="518" max="518" width="27.85546875" style="1" customWidth="1"/>
    <col min="519" max="519" width="11.85546875" style="1" customWidth="1"/>
    <col min="520" max="520" width="15.140625" style="1" customWidth="1"/>
    <col min="521" max="521" width="10.28515625" style="1" customWidth="1"/>
    <col min="522" max="523" width="9.7109375" style="1" customWidth="1"/>
    <col min="524" max="524" width="10.42578125" style="1" customWidth="1"/>
    <col min="525" max="525" width="10.42578125" style="1" bestFit="1" customWidth="1"/>
    <col min="526" max="526" width="16.28515625" style="1" customWidth="1"/>
    <col min="527" max="527" width="15.140625" style="1" customWidth="1"/>
    <col min="528" max="528" width="13.5703125" style="1" customWidth="1"/>
    <col min="529" max="529" width="10.5703125" style="1" customWidth="1"/>
    <col min="530" max="530" width="10.85546875" style="1" customWidth="1"/>
    <col min="531" max="531" width="18" style="1" customWidth="1"/>
    <col min="532" max="532" width="20.85546875" style="1" customWidth="1"/>
    <col min="533" max="533" width="13.5703125" style="1" customWidth="1"/>
    <col min="534" max="534" width="14.140625" style="1" customWidth="1"/>
    <col min="535" max="537" width="8.85546875" style="1" customWidth="1"/>
    <col min="538" max="538" width="9.28515625" style="1" customWidth="1"/>
    <col min="539" max="539" width="14" style="1" customWidth="1"/>
    <col min="540" max="541" width="8.85546875" style="1" customWidth="1"/>
    <col min="542" max="542" width="10.140625" style="1" customWidth="1"/>
    <col min="543" max="544" width="9.5703125" style="1" customWidth="1"/>
    <col min="545" max="545" width="9.85546875" style="1" customWidth="1"/>
    <col min="546" max="547" width="10.140625" style="1" customWidth="1"/>
    <col min="548" max="550" width="9.28515625" style="1" customWidth="1"/>
    <col min="551" max="551" width="9.85546875" style="1" customWidth="1"/>
    <col min="552" max="553" width="8.5703125" style="1" customWidth="1"/>
    <col min="554" max="556" width="8.85546875" style="1" customWidth="1"/>
    <col min="557" max="557" width="9.28515625" style="1" customWidth="1"/>
    <col min="558" max="559" width="8.85546875" style="1" customWidth="1"/>
    <col min="560" max="560" width="10" style="1" customWidth="1"/>
    <col min="561" max="562" width="8.85546875" style="1" customWidth="1"/>
    <col min="563" max="563" width="11" style="1" customWidth="1"/>
    <col min="564" max="565" width="9.5703125" style="1" customWidth="1"/>
    <col min="566" max="568" width="8.85546875" style="1" customWidth="1"/>
    <col min="569" max="569" width="10.42578125" style="1" customWidth="1"/>
    <col min="570" max="571" width="8.85546875" style="1" customWidth="1"/>
    <col min="572" max="572" width="9.7109375" style="1" customWidth="1"/>
    <col min="573" max="574" width="8.85546875" style="1" customWidth="1"/>
    <col min="575" max="575" width="9.28515625" style="1" customWidth="1"/>
    <col min="576" max="596" width="8.85546875" style="1" customWidth="1"/>
    <col min="597" max="597" width="9.85546875" style="1" customWidth="1"/>
    <col min="598" max="598" width="8.85546875" style="1" customWidth="1"/>
    <col min="599" max="599" width="10" style="1" customWidth="1"/>
    <col min="600" max="616" width="8.85546875" style="1" customWidth="1"/>
    <col min="617" max="617" width="9.42578125" style="1" customWidth="1"/>
    <col min="618" max="618" width="8.85546875" style="1" customWidth="1"/>
    <col min="619" max="619" width="12" style="1" customWidth="1"/>
    <col min="620" max="620" width="11.140625" style="1" customWidth="1"/>
    <col min="621" max="621" width="28.7109375" style="1" customWidth="1"/>
    <col min="622" max="622" width="5.85546875" style="1" customWidth="1"/>
    <col min="623" max="772" width="9.140625" style="1"/>
    <col min="773" max="773" width="3.42578125" style="1" customWidth="1"/>
    <col min="774" max="774" width="27.85546875" style="1" customWidth="1"/>
    <col min="775" max="775" width="11.85546875" style="1" customWidth="1"/>
    <col min="776" max="776" width="15.140625" style="1" customWidth="1"/>
    <col min="777" max="777" width="10.28515625" style="1" customWidth="1"/>
    <col min="778" max="779" width="9.7109375" style="1" customWidth="1"/>
    <col min="780" max="780" width="10.42578125" style="1" customWidth="1"/>
    <col min="781" max="781" width="10.42578125" style="1" bestFit="1" customWidth="1"/>
    <col min="782" max="782" width="16.28515625" style="1" customWidth="1"/>
    <col min="783" max="783" width="15.140625" style="1" customWidth="1"/>
    <col min="784" max="784" width="13.5703125" style="1" customWidth="1"/>
    <col min="785" max="785" width="10.5703125" style="1" customWidth="1"/>
    <col min="786" max="786" width="10.85546875" style="1" customWidth="1"/>
    <col min="787" max="787" width="18" style="1" customWidth="1"/>
    <col min="788" max="788" width="20.85546875" style="1" customWidth="1"/>
    <col min="789" max="789" width="13.5703125" style="1" customWidth="1"/>
    <col min="790" max="790" width="14.140625" style="1" customWidth="1"/>
    <col min="791" max="793" width="8.85546875" style="1" customWidth="1"/>
    <col min="794" max="794" width="9.28515625" style="1" customWidth="1"/>
    <col min="795" max="795" width="14" style="1" customWidth="1"/>
    <col min="796" max="797" width="8.85546875" style="1" customWidth="1"/>
    <col min="798" max="798" width="10.140625" style="1" customWidth="1"/>
    <col min="799" max="800" width="9.5703125" style="1" customWidth="1"/>
    <col min="801" max="801" width="9.85546875" style="1" customWidth="1"/>
    <col min="802" max="803" width="10.140625" style="1" customWidth="1"/>
    <col min="804" max="806" width="9.28515625" style="1" customWidth="1"/>
    <col min="807" max="807" width="9.85546875" style="1" customWidth="1"/>
    <col min="808" max="809" width="8.5703125" style="1" customWidth="1"/>
    <col min="810" max="812" width="8.85546875" style="1" customWidth="1"/>
    <col min="813" max="813" width="9.28515625" style="1" customWidth="1"/>
    <col min="814" max="815" width="8.85546875" style="1" customWidth="1"/>
    <col min="816" max="816" width="10" style="1" customWidth="1"/>
    <col min="817" max="818" width="8.85546875" style="1" customWidth="1"/>
    <col min="819" max="819" width="11" style="1" customWidth="1"/>
    <col min="820" max="821" width="9.5703125" style="1" customWidth="1"/>
    <col min="822" max="824" width="8.85546875" style="1" customWidth="1"/>
    <col min="825" max="825" width="10.42578125" style="1" customWidth="1"/>
    <col min="826" max="827" width="8.85546875" style="1" customWidth="1"/>
    <col min="828" max="828" width="9.7109375" style="1" customWidth="1"/>
    <col min="829" max="830" width="8.85546875" style="1" customWidth="1"/>
    <col min="831" max="831" width="9.28515625" style="1" customWidth="1"/>
    <col min="832" max="852" width="8.85546875" style="1" customWidth="1"/>
    <col min="853" max="853" width="9.85546875" style="1" customWidth="1"/>
    <col min="854" max="854" width="8.85546875" style="1" customWidth="1"/>
    <col min="855" max="855" width="10" style="1" customWidth="1"/>
    <col min="856" max="872" width="8.85546875" style="1" customWidth="1"/>
    <col min="873" max="873" width="9.42578125" style="1" customWidth="1"/>
    <col min="874" max="874" width="8.85546875" style="1" customWidth="1"/>
    <col min="875" max="875" width="12" style="1" customWidth="1"/>
    <col min="876" max="876" width="11.140625" style="1" customWidth="1"/>
    <col min="877" max="877" width="28.7109375" style="1" customWidth="1"/>
    <col min="878" max="878" width="5.85546875" style="1" customWidth="1"/>
    <col min="879" max="1028" width="9.140625" style="1"/>
    <col min="1029" max="1029" width="3.42578125" style="1" customWidth="1"/>
    <col min="1030" max="1030" width="27.85546875" style="1" customWidth="1"/>
    <col min="1031" max="1031" width="11.85546875" style="1" customWidth="1"/>
    <col min="1032" max="1032" width="15.140625" style="1" customWidth="1"/>
    <col min="1033" max="1033" width="10.28515625" style="1" customWidth="1"/>
    <col min="1034" max="1035" width="9.7109375" style="1" customWidth="1"/>
    <col min="1036" max="1036" width="10.42578125" style="1" customWidth="1"/>
    <col min="1037" max="1037" width="10.42578125" style="1" bestFit="1" customWidth="1"/>
    <col min="1038" max="1038" width="16.28515625" style="1" customWidth="1"/>
    <col min="1039" max="1039" width="15.140625" style="1" customWidth="1"/>
    <col min="1040" max="1040" width="13.5703125" style="1" customWidth="1"/>
    <col min="1041" max="1041" width="10.5703125" style="1" customWidth="1"/>
    <col min="1042" max="1042" width="10.85546875" style="1" customWidth="1"/>
    <col min="1043" max="1043" width="18" style="1" customWidth="1"/>
    <col min="1044" max="1044" width="20.85546875" style="1" customWidth="1"/>
    <col min="1045" max="1045" width="13.5703125" style="1" customWidth="1"/>
    <col min="1046" max="1046" width="14.140625" style="1" customWidth="1"/>
    <col min="1047" max="1049" width="8.85546875" style="1" customWidth="1"/>
    <col min="1050" max="1050" width="9.28515625" style="1" customWidth="1"/>
    <col min="1051" max="1051" width="14" style="1" customWidth="1"/>
    <col min="1052" max="1053" width="8.85546875" style="1" customWidth="1"/>
    <col min="1054" max="1054" width="10.140625" style="1" customWidth="1"/>
    <col min="1055" max="1056" width="9.5703125" style="1" customWidth="1"/>
    <col min="1057" max="1057" width="9.85546875" style="1" customWidth="1"/>
    <col min="1058" max="1059" width="10.140625" style="1" customWidth="1"/>
    <col min="1060" max="1062" width="9.28515625" style="1" customWidth="1"/>
    <col min="1063" max="1063" width="9.85546875" style="1" customWidth="1"/>
    <col min="1064" max="1065" width="8.5703125" style="1" customWidth="1"/>
    <col min="1066" max="1068" width="8.85546875" style="1" customWidth="1"/>
    <col min="1069" max="1069" width="9.28515625" style="1" customWidth="1"/>
    <col min="1070" max="1071" width="8.85546875" style="1" customWidth="1"/>
    <col min="1072" max="1072" width="10" style="1" customWidth="1"/>
    <col min="1073" max="1074" width="8.85546875" style="1" customWidth="1"/>
    <col min="1075" max="1075" width="11" style="1" customWidth="1"/>
    <col min="1076" max="1077" width="9.5703125" style="1" customWidth="1"/>
    <col min="1078" max="1080" width="8.85546875" style="1" customWidth="1"/>
    <col min="1081" max="1081" width="10.42578125" style="1" customWidth="1"/>
    <col min="1082" max="1083" width="8.85546875" style="1" customWidth="1"/>
    <col min="1084" max="1084" width="9.7109375" style="1" customWidth="1"/>
    <col min="1085" max="1086" width="8.85546875" style="1" customWidth="1"/>
    <col min="1087" max="1087" width="9.28515625" style="1" customWidth="1"/>
    <col min="1088" max="1108" width="8.85546875" style="1" customWidth="1"/>
    <col min="1109" max="1109" width="9.85546875" style="1" customWidth="1"/>
    <col min="1110" max="1110" width="8.85546875" style="1" customWidth="1"/>
    <col min="1111" max="1111" width="10" style="1" customWidth="1"/>
    <col min="1112" max="1128" width="8.85546875" style="1" customWidth="1"/>
    <col min="1129" max="1129" width="9.42578125" style="1" customWidth="1"/>
    <col min="1130" max="1130" width="8.85546875" style="1" customWidth="1"/>
    <col min="1131" max="1131" width="12" style="1" customWidth="1"/>
    <col min="1132" max="1132" width="11.140625" style="1" customWidth="1"/>
    <col min="1133" max="1133" width="28.7109375" style="1" customWidth="1"/>
    <col min="1134" max="1134" width="5.85546875" style="1" customWidth="1"/>
    <col min="1135" max="1284" width="9.140625" style="1"/>
    <col min="1285" max="1285" width="3.42578125" style="1" customWidth="1"/>
    <col min="1286" max="1286" width="27.85546875" style="1" customWidth="1"/>
    <col min="1287" max="1287" width="11.85546875" style="1" customWidth="1"/>
    <col min="1288" max="1288" width="15.140625" style="1" customWidth="1"/>
    <col min="1289" max="1289" width="10.28515625" style="1" customWidth="1"/>
    <col min="1290" max="1291" width="9.7109375" style="1" customWidth="1"/>
    <col min="1292" max="1292" width="10.42578125" style="1" customWidth="1"/>
    <col min="1293" max="1293" width="10.42578125" style="1" bestFit="1" customWidth="1"/>
    <col min="1294" max="1294" width="16.28515625" style="1" customWidth="1"/>
    <col min="1295" max="1295" width="15.140625" style="1" customWidth="1"/>
    <col min="1296" max="1296" width="13.5703125" style="1" customWidth="1"/>
    <col min="1297" max="1297" width="10.5703125" style="1" customWidth="1"/>
    <col min="1298" max="1298" width="10.85546875" style="1" customWidth="1"/>
    <col min="1299" max="1299" width="18" style="1" customWidth="1"/>
    <col min="1300" max="1300" width="20.85546875" style="1" customWidth="1"/>
    <col min="1301" max="1301" width="13.5703125" style="1" customWidth="1"/>
    <col min="1302" max="1302" width="14.140625" style="1" customWidth="1"/>
    <col min="1303" max="1305" width="8.85546875" style="1" customWidth="1"/>
    <col min="1306" max="1306" width="9.28515625" style="1" customWidth="1"/>
    <col min="1307" max="1307" width="14" style="1" customWidth="1"/>
    <col min="1308" max="1309" width="8.85546875" style="1" customWidth="1"/>
    <col min="1310" max="1310" width="10.140625" style="1" customWidth="1"/>
    <col min="1311" max="1312" width="9.5703125" style="1" customWidth="1"/>
    <col min="1313" max="1313" width="9.85546875" style="1" customWidth="1"/>
    <col min="1314" max="1315" width="10.140625" style="1" customWidth="1"/>
    <col min="1316" max="1318" width="9.28515625" style="1" customWidth="1"/>
    <col min="1319" max="1319" width="9.85546875" style="1" customWidth="1"/>
    <col min="1320" max="1321" width="8.5703125" style="1" customWidth="1"/>
    <col min="1322" max="1324" width="8.85546875" style="1" customWidth="1"/>
    <col min="1325" max="1325" width="9.28515625" style="1" customWidth="1"/>
    <col min="1326" max="1327" width="8.85546875" style="1" customWidth="1"/>
    <col min="1328" max="1328" width="10" style="1" customWidth="1"/>
    <col min="1329" max="1330" width="8.85546875" style="1" customWidth="1"/>
    <col min="1331" max="1331" width="11" style="1" customWidth="1"/>
    <col min="1332" max="1333" width="9.5703125" style="1" customWidth="1"/>
    <col min="1334" max="1336" width="8.85546875" style="1" customWidth="1"/>
    <col min="1337" max="1337" width="10.42578125" style="1" customWidth="1"/>
    <col min="1338" max="1339" width="8.85546875" style="1" customWidth="1"/>
    <col min="1340" max="1340" width="9.7109375" style="1" customWidth="1"/>
    <col min="1341" max="1342" width="8.85546875" style="1" customWidth="1"/>
    <col min="1343" max="1343" width="9.28515625" style="1" customWidth="1"/>
    <col min="1344" max="1364" width="8.85546875" style="1" customWidth="1"/>
    <col min="1365" max="1365" width="9.85546875" style="1" customWidth="1"/>
    <col min="1366" max="1366" width="8.85546875" style="1" customWidth="1"/>
    <col min="1367" max="1367" width="10" style="1" customWidth="1"/>
    <col min="1368" max="1384" width="8.85546875" style="1" customWidth="1"/>
    <col min="1385" max="1385" width="9.42578125" style="1" customWidth="1"/>
    <col min="1386" max="1386" width="8.85546875" style="1" customWidth="1"/>
    <col min="1387" max="1387" width="12" style="1" customWidth="1"/>
    <col min="1388" max="1388" width="11.140625" style="1" customWidth="1"/>
    <col min="1389" max="1389" width="28.7109375" style="1" customWidth="1"/>
    <col min="1390" max="1390" width="5.85546875" style="1" customWidth="1"/>
    <col min="1391" max="1540" width="9.140625" style="1"/>
    <col min="1541" max="1541" width="3.42578125" style="1" customWidth="1"/>
    <col min="1542" max="1542" width="27.85546875" style="1" customWidth="1"/>
    <col min="1543" max="1543" width="11.85546875" style="1" customWidth="1"/>
    <col min="1544" max="1544" width="15.140625" style="1" customWidth="1"/>
    <col min="1545" max="1545" width="10.28515625" style="1" customWidth="1"/>
    <col min="1546" max="1547" width="9.7109375" style="1" customWidth="1"/>
    <col min="1548" max="1548" width="10.42578125" style="1" customWidth="1"/>
    <col min="1549" max="1549" width="10.42578125" style="1" bestFit="1" customWidth="1"/>
    <col min="1550" max="1550" width="16.28515625" style="1" customWidth="1"/>
    <col min="1551" max="1551" width="15.140625" style="1" customWidth="1"/>
    <col min="1552" max="1552" width="13.5703125" style="1" customWidth="1"/>
    <col min="1553" max="1553" width="10.5703125" style="1" customWidth="1"/>
    <col min="1554" max="1554" width="10.85546875" style="1" customWidth="1"/>
    <col min="1555" max="1555" width="18" style="1" customWidth="1"/>
    <col min="1556" max="1556" width="20.85546875" style="1" customWidth="1"/>
    <col min="1557" max="1557" width="13.5703125" style="1" customWidth="1"/>
    <col min="1558" max="1558" width="14.140625" style="1" customWidth="1"/>
    <col min="1559" max="1561" width="8.85546875" style="1" customWidth="1"/>
    <col min="1562" max="1562" width="9.28515625" style="1" customWidth="1"/>
    <col min="1563" max="1563" width="14" style="1" customWidth="1"/>
    <col min="1564" max="1565" width="8.85546875" style="1" customWidth="1"/>
    <col min="1566" max="1566" width="10.140625" style="1" customWidth="1"/>
    <col min="1567" max="1568" width="9.5703125" style="1" customWidth="1"/>
    <col min="1569" max="1569" width="9.85546875" style="1" customWidth="1"/>
    <col min="1570" max="1571" width="10.140625" style="1" customWidth="1"/>
    <col min="1572" max="1574" width="9.28515625" style="1" customWidth="1"/>
    <col min="1575" max="1575" width="9.85546875" style="1" customWidth="1"/>
    <col min="1576" max="1577" width="8.5703125" style="1" customWidth="1"/>
    <col min="1578" max="1580" width="8.85546875" style="1" customWidth="1"/>
    <col min="1581" max="1581" width="9.28515625" style="1" customWidth="1"/>
    <col min="1582" max="1583" width="8.85546875" style="1" customWidth="1"/>
    <col min="1584" max="1584" width="10" style="1" customWidth="1"/>
    <col min="1585" max="1586" width="8.85546875" style="1" customWidth="1"/>
    <col min="1587" max="1587" width="11" style="1" customWidth="1"/>
    <col min="1588" max="1589" width="9.5703125" style="1" customWidth="1"/>
    <col min="1590" max="1592" width="8.85546875" style="1" customWidth="1"/>
    <col min="1593" max="1593" width="10.42578125" style="1" customWidth="1"/>
    <col min="1594" max="1595" width="8.85546875" style="1" customWidth="1"/>
    <col min="1596" max="1596" width="9.7109375" style="1" customWidth="1"/>
    <col min="1597" max="1598" width="8.85546875" style="1" customWidth="1"/>
    <col min="1599" max="1599" width="9.28515625" style="1" customWidth="1"/>
    <col min="1600" max="1620" width="8.85546875" style="1" customWidth="1"/>
    <col min="1621" max="1621" width="9.85546875" style="1" customWidth="1"/>
    <col min="1622" max="1622" width="8.85546875" style="1" customWidth="1"/>
    <col min="1623" max="1623" width="10" style="1" customWidth="1"/>
    <col min="1624" max="1640" width="8.85546875" style="1" customWidth="1"/>
    <col min="1641" max="1641" width="9.42578125" style="1" customWidth="1"/>
    <col min="1642" max="1642" width="8.85546875" style="1" customWidth="1"/>
    <col min="1643" max="1643" width="12" style="1" customWidth="1"/>
    <col min="1644" max="1644" width="11.140625" style="1" customWidth="1"/>
    <col min="1645" max="1645" width="28.7109375" style="1" customWidth="1"/>
    <col min="1646" max="1646" width="5.85546875" style="1" customWidth="1"/>
    <col min="1647" max="1796" width="9.140625" style="1"/>
    <col min="1797" max="1797" width="3.42578125" style="1" customWidth="1"/>
    <col min="1798" max="1798" width="27.85546875" style="1" customWidth="1"/>
    <col min="1799" max="1799" width="11.85546875" style="1" customWidth="1"/>
    <col min="1800" max="1800" width="15.140625" style="1" customWidth="1"/>
    <col min="1801" max="1801" width="10.28515625" style="1" customWidth="1"/>
    <col min="1802" max="1803" width="9.7109375" style="1" customWidth="1"/>
    <col min="1804" max="1804" width="10.42578125" style="1" customWidth="1"/>
    <col min="1805" max="1805" width="10.42578125" style="1" bestFit="1" customWidth="1"/>
    <col min="1806" max="1806" width="16.28515625" style="1" customWidth="1"/>
    <col min="1807" max="1807" width="15.140625" style="1" customWidth="1"/>
    <col min="1808" max="1808" width="13.5703125" style="1" customWidth="1"/>
    <col min="1809" max="1809" width="10.5703125" style="1" customWidth="1"/>
    <col min="1810" max="1810" width="10.85546875" style="1" customWidth="1"/>
    <col min="1811" max="1811" width="18" style="1" customWidth="1"/>
    <col min="1812" max="1812" width="20.85546875" style="1" customWidth="1"/>
    <col min="1813" max="1813" width="13.5703125" style="1" customWidth="1"/>
    <col min="1814" max="1814" width="14.140625" style="1" customWidth="1"/>
    <col min="1815" max="1817" width="8.85546875" style="1" customWidth="1"/>
    <col min="1818" max="1818" width="9.28515625" style="1" customWidth="1"/>
    <col min="1819" max="1819" width="14" style="1" customWidth="1"/>
    <col min="1820" max="1821" width="8.85546875" style="1" customWidth="1"/>
    <col min="1822" max="1822" width="10.140625" style="1" customWidth="1"/>
    <col min="1823" max="1824" width="9.5703125" style="1" customWidth="1"/>
    <col min="1825" max="1825" width="9.85546875" style="1" customWidth="1"/>
    <col min="1826" max="1827" width="10.140625" style="1" customWidth="1"/>
    <col min="1828" max="1830" width="9.28515625" style="1" customWidth="1"/>
    <col min="1831" max="1831" width="9.85546875" style="1" customWidth="1"/>
    <col min="1832" max="1833" width="8.5703125" style="1" customWidth="1"/>
    <col min="1834" max="1836" width="8.85546875" style="1" customWidth="1"/>
    <col min="1837" max="1837" width="9.28515625" style="1" customWidth="1"/>
    <col min="1838" max="1839" width="8.85546875" style="1" customWidth="1"/>
    <col min="1840" max="1840" width="10" style="1" customWidth="1"/>
    <col min="1841" max="1842" width="8.85546875" style="1" customWidth="1"/>
    <col min="1843" max="1843" width="11" style="1" customWidth="1"/>
    <col min="1844" max="1845" width="9.5703125" style="1" customWidth="1"/>
    <col min="1846" max="1848" width="8.85546875" style="1" customWidth="1"/>
    <col min="1849" max="1849" width="10.42578125" style="1" customWidth="1"/>
    <col min="1850" max="1851" width="8.85546875" style="1" customWidth="1"/>
    <col min="1852" max="1852" width="9.7109375" style="1" customWidth="1"/>
    <col min="1853" max="1854" width="8.85546875" style="1" customWidth="1"/>
    <col min="1855" max="1855" width="9.28515625" style="1" customWidth="1"/>
    <col min="1856" max="1876" width="8.85546875" style="1" customWidth="1"/>
    <col min="1877" max="1877" width="9.85546875" style="1" customWidth="1"/>
    <col min="1878" max="1878" width="8.85546875" style="1" customWidth="1"/>
    <col min="1879" max="1879" width="10" style="1" customWidth="1"/>
    <col min="1880" max="1896" width="8.85546875" style="1" customWidth="1"/>
    <col min="1897" max="1897" width="9.42578125" style="1" customWidth="1"/>
    <col min="1898" max="1898" width="8.85546875" style="1" customWidth="1"/>
    <col min="1899" max="1899" width="12" style="1" customWidth="1"/>
    <col min="1900" max="1900" width="11.140625" style="1" customWidth="1"/>
    <col min="1901" max="1901" width="28.7109375" style="1" customWidth="1"/>
    <col min="1902" max="1902" width="5.85546875" style="1" customWidth="1"/>
    <col min="1903" max="2052" width="9.140625" style="1"/>
    <col min="2053" max="2053" width="3.42578125" style="1" customWidth="1"/>
    <col min="2054" max="2054" width="27.85546875" style="1" customWidth="1"/>
    <col min="2055" max="2055" width="11.85546875" style="1" customWidth="1"/>
    <col min="2056" max="2056" width="15.140625" style="1" customWidth="1"/>
    <col min="2057" max="2057" width="10.28515625" style="1" customWidth="1"/>
    <col min="2058" max="2059" width="9.7109375" style="1" customWidth="1"/>
    <col min="2060" max="2060" width="10.42578125" style="1" customWidth="1"/>
    <col min="2061" max="2061" width="10.42578125" style="1" bestFit="1" customWidth="1"/>
    <col min="2062" max="2062" width="16.28515625" style="1" customWidth="1"/>
    <col min="2063" max="2063" width="15.140625" style="1" customWidth="1"/>
    <col min="2064" max="2064" width="13.5703125" style="1" customWidth="1"/>
    <col min="2065" max="2065" width="10.5703125" style="1" customWidth="1"/>
    <col min="2066" max="2066" width="10.85546875" style="1" customWidth="1"/>
    <col min="2067" max="2067" width="18" style="1" customWidth="1"/>
    <col min="2068" max="2068" width="20.85546875" style="1" customWidth="1"/>
    <col min="2069" max="2069" width="13.5703125" style="1" customWidth="1"/>
    <col min="2070" max="2070" width="14.140625" style="1" customWidth="1"/>
    <col min="2071" max="2073" width="8.85546875" style="1" customWidth="1"/>
    <col min="2074" max="2074" width="9.28515625" style="1" customWidth="1"/>
    <col min="2075" max="2075" width="14" style="1" customWidth="1"/>
    <col min="2076" max="2077" width="8.85546875" style="1" customWidth="1"/>
    <col min="2078" max="2078" width="10.140625" style="1" customWidth="1"/>
    <col min="2079" max="2080" width="9.5703125" style="1" customWidth="1"/>
    <col min="2081" max="2081" width="9.85546875" style="1" customWidth="1"/>
    <col min="2082" max="2083" width="10.140625" style="1" customWidth="1"/>
    <col min="2084" max="2086" width="9.28515625" style="1" customWidth="1"/>
    <col min="2087" max="2087" width="9.85546875" style="1" customWidth="1"/>
    <col min="2088" max="2089" width="8.5703125" style="1" customWidth="1"/>
    <col min="2090" max="2092" width="8.85546875" style="1" customWidth="1"/>
    <col min="2093" max="2093" width="9.28515625" style="1" customWidth="1"/>
    <col min="2094" max="2095" width="8.85546875" style="1" customWidth="1"/>
    <col min="2096" max="2096" width="10" style="1" customWidth="1"/>
    <col min="2097" max="2098" width="8.85546875" style="1" customWidth="1"/>
    <col min="2099" max="2099" width="11" style="1" customWidth="1"/>
    <col min="2100" max="2101" width="9.5703125" style="1" customWidth="1"/>
    <col min="2102" max="2104" width="8.85546875" style="1" customWidth="1"/>
    <col min="2105" max="2105" width="10.42578125" style="1" customWidth="1"/>
    <col min="2106" max="2107" width="8.85546875" style="1" customWidth="1"/>
    <col min="2108" max="2108" width="9.7109375" style="1" customWidth="1"/>
    <col min="2109" max="2110" width="8.85546875" style="1" customWidth="1"/>
    <col min="2111" max="2111" width="9.28515625" style="1" customWidth="1"/>
    <col min="2112" max="2132" width="8.85546875" style="1" customWidth="1"/>
    <col min="2133" max="2133" width="9.85546875" style="1" customWidth="1"/>
    <col min="2134" max="2134" width="8.85546875" style="1" customWidth="1"/>
    <col min="2135" max="2135" width="10" style="1" customWidth="1"/>
    <col min="2136" max="2152" width="8.85546875" style="1" customWidth="1"/>
    <col min="2153" max="2153" width="9.42578125" style="1" customWidth="1"/>
    <col min="2154" max="2154" width="8.85546875" style="1" customWidth="1"/>
    <col min="2155" max="2155" width="12" style="1" customWidth="1"/>
    <col min="2156" max="2156" width="11.140625" style="1" customWidth="1"/>
    <col min="2157" max="2157" width="28.7109375" style="1" customWidth="1"/>
    <col min="2158" max="2158" width="5.85546875" style="1" customWidth="1"/>
    <col min="2159" max="2308" width="9.140625" style="1"/>
    <col min="2309" max="2309" width="3.42578125" style="1" customWidth="1"/>
    <col min="2310" max="2310" width="27.85546875" style="1" customWidth="1"/>
    <col min="2311" max="2311" width="11.85546875" style="1" customWidth="1"/>
    <col min="2312" max="2312" width="15.140625" style="1" customWidth="1"/>
    <col min="2313" max="2313" width="10.28515625" style="1" customWidth="1"/>
    <col min="2314" max="2315" width="9.7109375" style="1" customWidth="1"/>
    <col min="2316" max="2316" width="10.42578125" style="1" customWidth="1"/>
    <col min="2317" max="2317" width="10.42578125" style="1" bestFit="1" customWidth="1"/>
    <col min="2318" max="2318" width="16.28515625" style="1" customWidth="1"/>
    <col min="2319" max="2319" width="15.140625" style="1" customWidth="1"/>
    <col min="2320" max="2320" width="13.5703125" style="1" customWidth="1"/>
    <col min="2321" max="2321" width="10.5703125" style="1" customWidth="1"/>
    <col min="2322" max="2322" width="10.85546875" style="1" customWidth="1"/>
    <col min="2323" max="2323" width="18" style="1" customWidth="1"/>
    <col min="2324" max="2324" width="20.85546875" style="1" customWidth="1"/>
    <col min="2325" max="2325" width="13.5703125" style="1" customWidth="1"/>
    <col min="2326" max="2326" width="14.140625" style="1" customWidth="1"/>
    <col min="2327" max="2329" width="8.85546875" style="1" customWidth="1"/>
    <col min="2330" max="2330" width="9.28515625" style="1" customWidth="1"/>
    <col min="2331" max="2331" width="14" style="1" customWidth="1"/>
    <col min="2332" max="2333" width="8.85546875" style="1" customWidth="1"/>
    <col min="2334" max="2334" width="10.140625" style="1" customWidth="1"/>
    <col min="2335" max="2336" width="9.5703125" style="1" customWidth="1"/>
    <col min="2337" max="2337" width="9.85546875" style="1" customWidth="1"/>
    <col min="2338" max="2339" width="10.140625" style="1" customWidth="1"/>
    <col min="2340" max="2342" width="9.28515625" style="1" customWidth="1"/>
    <col min="2343" max="2343" width="9.85546875" style="1" customWidth="1"/>
    <col min="2344" max="2345" width="8.5703125" style="1" customWidth="1"/>
    <col min="2346" max="2348" width="8.85546875" style="1" customWidth="1"/>
    <col min="2349" max="2349" width="9.28515625" style="1" customWidth="1"/>
    <col min="2350" max="2351" width="8.85546875" style="1" customWidth="1"/>
    <col min="2352" max="2352" width="10" style="1" customWidth="1"/>
    <col min="2353" max="2354" width="8.85546875" style="1" customWidth="1"/>
    <col min="2355" max="2355" width="11" style="1" customWidth="1"/>
    <col min="2356" max="2357" width="9.5703125" style="1" customWidth="1"/>
    <col min="2358" max="2360" width="8.85546875" style="1" customWidth="1"/>
    <col min="2361" max="2361" width="10.42578125" style="1" customWidth="1"/>
    <col min="2362" max="2363" width="8.85546875" style="1" customWidth="1"/>
    <col min="2364" max="2364" width="9.7109375" style="1" customWidth="1"/>
    <col min="2365" max="2366" width="8.85546875" style="1" customWidth="1"/>
    <col min="2367" max="2367" width="9.28515625" style="1" customWidth="1"/>
    <col min="2368" max="2388" width="8.85546875" style="1" customWidth="1"/>
    <col min="2389" max="2389" width="9.85546875" style="1" customWidth="1"/>
    <col min="2390" max="2390" width="8.85546875" style="1" customWidth="1"/>
    <col min="2391" max="2391" width="10" style="1" customWidth="1"/>
    <col min="2392" max="2408" width="8.85546875" style="1" customWidth="1"/>
    <col min="2409" max="2409" width="9.42578125" style="1" customWidth="1"/>
    <col min="2410" max="2410" width="8.85546875" style="1" customWidth="1"/>
    <col min="2411" max="2411" width="12" style="1" customWidth="1"/>
    <col min="2412" max="2412" width="11.140625" style="1" customWidth="1"/>
    <col min="2413" max="2413" width="28.7109375" style="1" customWidth="1"/>
    <col min="2414" max="2414" width="5.85546875" style="1" customWidth="1"/>
    <col min="2415" max="2564" width="9.140625" style="1"/>
    <col min="2565" max="2565" width="3.42578125" style="1" customWidth="1"/>
    <col min="2566" max="2566" width="27.85546875" style="1" customWidth="1"/>
    <col min="2567" max="2567" width="11.85546875" style="1" customWidth="1"/>
    <col min="2568" max="2568" width="15.140625" style="1" customWidth="1"/>
    <col min="2569" max="2569" width="10.28515625" style="1" customWidth="1"/>
    <col min="2570" max="2571" width="9.7109375" style="1" customWidth="1"/>
    <col min="2572" max="2572" width="10.42578125" style="1" customWidth="1"/>
    <col min="2573" max="2573" width="10.42578125" style="1" bestFit="1" customWidth="1"/>
    <col min="2574" max="2574" width="16.28515625" style="1" customWidth="1"/>
    <col min="2575" max="2575" width="15.140625" style="1" customWidth="1"/>
    <col min="2576" max="2576" width="13.5703125" style="1" customWidth="1"/>
    <col min="2577" max="2577" width="10.5703125" style="1" customWidth="1"/>
    <col min="2578" max="2578" width="10.85546875" style="1" customWidth="1"/>
    <col min="2579" max="2579" width="18" style="1" customWidth="1"/>
    <col min="2580" max="2580" width="20.85546875" style="1" customWidth="1"/>
    <col min="2581" max="2581" width="13.5703125" style="1" customWidth="1"/>
    <col min="2582" max="2582" width="14.140625" style="1" customWidth="1"/>
    <col min="2583" max="2585" width="8.85546875" style="1" customWidth="1"/>
    <col min="2586" max="2586" width="9.28515625" style="1" customWidth="1"/>
    <col min="2587" max="2587" width="14" style="1" customWidth="1"/>
    <col min="2588" max="2589" width="8.85546875" style="1" customWidth="1"/>
    <col min="2590" max="2590" width="10.140625" style="1" customWidth="1"/>
    <col min="2591" max="2592" width="9.5703125" style="1" customWidth="1"/>
    <col min="2593" max="2593" width="9.85546875" style="1" customWidth="1"/>
    <col min="2594" max="2595" width="10.140625" style="1" customWidth="1"/>
    <col min="2596" max="2598" width="9.28515625" style="1" customWidth="1"/>
    <col min="2599" max="2599" width="9.85546875" style="1" customWidth="1"/>
    <col min="2600" max="2601" width="8.5703125" style="1" customWidth="1"/>
    <col min="2602" max="2604" width="8.85546875" style="1" customWidth="1"/>
    <col min="2605" max="2605" width="9.28515625" style="1" customWidth="1"/>
    <col min="2606" max="2607" width="8.85546875" style="1" customWidth="1"/>
    <col min="2608" max="2608" width="10" style="1" customWidth="1"/>
    <col min="2609" max="2610" width="8.85546875" style="1" customWidth="1"/>
    <col min="2611" max="2611" width="11" style="1" customWidth="1"/>
    <col min="2612" max="2613" width="9.5703125" style="1" customWidth="1"/>
    <col min="2614" max="2616" width="8.85546875" style="1" customWidth="1"/>
    <col min="2617" max="2617" width="10.42578125" style="1" customWidth="1"/>
    <col min="2618" max="2619" width="8.85546875" style="1" customWidth="1"/>
    <col min="2620" max="2620" width="9.7109375" style="1" customWidth="1"/>
    <col min="2621" max="2622" width="8.85546875" style="1" customWidth="1"/>
    <col min="2623" max="2623" width="9.28515625" style="1" customWidth="1"/>
    <col min="2624" max="2644" width="8.85546875" style="1" customWidth="1"/>
    <col min="2645" max="2645" width="9.85546875" style="1" customWidth="1"/>
    <col min="2646" max="2646" width="8.85546875" style="1" customWidth="1"/>
    <col min="2647" max="2647" width="10" style="1" customWidth="1"/>
    <col min="2648" max="2664" width="8.85546875" style="1" customWidth="1"/>
    <col min="2665" max="2665" width="9.42578125" style="1" customWidth="1"/>
    <col min="2666" max="2666" width="8.85546875" style="1" customWidth="1"/>
    <col min="2667" max="2667" width="12" style="1" customWidth="1"/>
    <col min="2668" max="2668" width="11.140625" style="1" customWidth="1"/>
    <col min="2669" max="2669" width="28.7109375" style="1" customWidth="1"/>
    <col min="2670" max="2670" width="5.85546875" style="1" customWidth="1"/>
    <col min="2671" max="2820" width="9.140625" style="1"/>
    <col min="2821" max="2821" width="3.42578125" style="1" customWidth="1"/>
    <col min="2822" max="2822" width="27.85546875" style="1" customWidth="1"/>
    <col min="2823" max="2823" width="11.85546875" style="1" customWidth="1"/>
    <col min="2824" max="2824" width="15.140625" style="1" customWidth="1"/>
    <col min="2825" max="2825" width="10.28515625" style="1" customWidth="1"/>
    <col min="2826" max="2827" width="9.7109375" style="1" customWidth="1"/>
    <col min="2828" max="2828" width="10.42578125" style="1" customWidth="1"/>
    <col min="2829" max="2829" width="10.42578125" style="1" bestFit="1" customWidth="1"/>
    <col min="2830" max="2830" width="16.28515625" style="1" customWidth="1"/>
    <col min="2831" max="2831" width="15.140625" style="1" customWidth="1"/>
    <col min="2832" max="2832" width="13.5703125" style="1" customWidth="1"/>
    <col min="2833" max="2833" width="10.5703125" style="1" customWidth="1"/>
    <col min="2834" max="2834" width="10.85546875" style="1" customWidth="1"/>
    <col min="2835" max="2835" width="18" style="1" customWidth="1"/>
    <col min="2836" max="2836" width="20.85546875" style="1" customWidth="1"/>
    <col min="2837" max="2837" width="13.5703125" style="1" customWidth="1"/>
    <col min="2838" max="2838" width="14.140625" style="1" customWidth="1"/>
    <col min="2839" max="2841" width="8.85546875" style="1" customWidth="1"/>
    <col min="2842" max="2842" width="9.28515625" style="1" customWidth="1"/>
    <col min="2843" max="2843" width="14" style="1" customWidth="1"/>
    <col min="2844" max="2845" width="8.85546875" style="1" customWidth="1"/>
    <col min="2846" max="2846" width="10.140625" style="1" customWidth="1"/>
    <col min="2847" max="2848" width="9.5703125" style="1" customWidth="1"/>
    <col min="2849" max="2849" width="9.85546875" style="1" customWidth="1"/>
    <col min="2850" max="2851" width="10.140625" style="1" customWidth="1"/>
    <col min="2852" max="2854" width="9.28515625" style="1" customWidth="1"/>
    <col min="2855" max="2855" width="9.85546875" style="1" customWidth="1"/>
    <col min="2856" max="2857" width="8.5703125" style="1" customWidth="1"/>
    <col min="2858" max="2860" width="8.85546875" style="1" customWidth="1"/>
    <col min="2861" max="2861" width="9.28515625" style="1" customWidth="1"/>
    <col min="2862" max="2863" width="8.85546875" style="1" customWidth="1"/>
    <col min="2864" max="2864" width="10" style="1" customWidth="1"/>
    <col min="2865" max="2866" width="8.85546875" style="1" customWidth="1"/>
    <col min="2867" max="2867" width="11" style="1" customWidth="1"/>
    <col min="2868" max="2869" width="9.5703125" style="1" customWidth="1"/>
    <col min="2870" max="2872" width="8.85546875" style="1" customWidth="1"/>
    <col min="2873" max="2873" width="10.42578125" style="1" customWidth="1"/>
    <col min="2874" max="2875" width="8.85546875" style="1" customWidth="1"/>
    <col min="2876" max="2876" width="9.7109375" style="1" customWidth="1"/>
    <col min="2877" max="2878" width="8.85546875" style="1" customWidth="1"/>
    <col min="2879" max="2879" width="9.28515625" style="1" customWidth="1"/>
    <col min="2880" max="2900" width="8.85546875" style="1" customWidth="1"/>
    <col min="2901" max="2901" width="9.85546875" style="1" customWidth="1"/>
    <col min="2902" max="2902" width="8.85546875" style="1" customWidth="1"/>
    <col min="2903" max="2903" width="10" style="1" customWidth="1"/>
    <col min="2904" max="2920" width="8.85546875" style="1" customWidth="1"/>
    <col min="2921" max="2921" width="9.42578125" style="1" customWidth="1"/>
    <col min="2922" max="2922" width="8.85546875" style="1" customWidth="1"/>
    <col min="2923" max="2923" width="12" style="1" customWidth="1"/>
    <col min="2924" max="2924" width="11.140625" style="1" customWidth="1"/>
    <col min="2925" max="2925" width="28.7109375" style="1" customWidth="1"/>
    <col min="2926" max="2926" width="5.85546875" style="1" customWidth="1"/>
    <col min="2927" max="3076" width="9.140625" style="1"/>
    <col min="3077" max="3077" width="3.42578125" style="1" customWidth="1"/>
    <col min="3078" max="3078" width="27.85546875" style="1" customWidth="1"/>
    <col min="3079" max="3079" width="11.85546875" style="1" customWidth="1"/>
    <col min="3080" max="3080" width="15.140625" style="1" customWidth="1"/>
    <col min="3081" max="3081" width="10.28515625" style="1" customWidth="1"/>
    <col min="3082" max="3083" width="9.7109375" style="1" customWidth="1"/>
    <col min="3084" max="3084" width="10.42578125" style="1" customWidth="1"/>
    <col min="3085" max="3085" width="10.42578125" style="1" bestFit="1" customWidth="1"/>
    <col min="3086" max="3086" width="16.28515625" style="1" customWidth="1"/>
    <col min="3087" max="3087" width="15.140625" style="1" customWidth="1"/>
    <col min="3088" max="3088" width="13.5703125" style="1" customWidth="1"/>
    <col min="3089" max="3089" width="10.5703125" style="1" customWidth="1"/>
    <col min="3090" max="3090" width="10.85546875" style="1" customWidth="1"/>
    <col min="3091" max="3091" width="18" style="1" customWidth="1"/>
    <col min="3092" max="3092" width="20.85546875" style="1" customWidth="1"/>
    <col min="3093" max="3093" width="13.5703125" style="1" customWidth="1"/>
    <col min="3094" max="3094" width="14.140625" style="1" customWidth="1"/>
    <col min="3095" max="3097" width="8.85546875" style="1" customWidth="1"/>
    <col min="3098" max="3098" width="9.28515625" style="1" customWidth="1"/>
    <col min="3099" max="3099" width="14" style="1" customWidth="1"/>
    <col min="3100" max="3101" width="8.85546875" style="1" customWidth="1"/>
    <col min="3102" max="3102" width="10.140625" style="1" customWidth="1"/>
    <col min="3103" max="3104" width="9.5703125" style="1" customWidth="1"/>
    <col min="3105" max="3105" width="9.85546875" style="1" customWidth="1"/>
    <col min="3106" max="3107" width="10.140625" style="1" customWidth="1"/>
    <col min="3108" max="3110" width="9.28515625" style="1" customWidth="1"/>
    <col min="3111" max="3111" width="9.85546875" style="1" customWidth="1"/>
    <col min="3112" max="3113" width="8.5703125" style="1" customWidth="1"/>
    <col min="3114" max="3116" width="8.85546875" style="1" customWidth="1"/>
    <col min="3117" max="3117" width="9.28515625" style="1" customWidth="1"/>
    <col min="3118" max="3119" width="8.85546875" style="1" customWidth="1"/>
    <col min="3120" max="3120" width="10" style="1" customWidth="1"/>
    <col min="3121" max="3122" width="8.85546875" style="1" customWidth="1"/>
    <col min="3123" max="3123" width="11" style="1" customWidth="1"/>
    <col min="3124" max="3125" width="9.5703125" style="1" customWidth="1"/>
    <col min="3126" max="3128" width="8.85546875" style="1" customWidth="1"/>
    <col min="3129" max="3129" width="10.42578125" style="1" customWidth="1"/>
    <col min="3130" max="3131" width="8.85546875" style="1" customWidth="1"/>
    <col min="3132" max="3132" width="9.7109375" style="1" customWidth="1"/>
    <col min="3133" max="3134" width="8.85546875" style="1" customWidth="1"/>
    <col min="3135" max="3135" width="9.28515625" style="1" customWidth="1"/>
    <col min="3136" max="3156" width="8.85546875" style="1" customWidth="1"/>
    <col min="3157" max="3157" width="9.85546875" style="1" customWidth="1"/>
    <col min="3158" max="3158" width="8.85546875" style="1" customWidth="1"/>
    <col min="3159" max="3159" width="10" style="1" customWidth="1"/>
    <col min="3160" max="3176" width="8.85546875" style="1" customWidth="1"/>
    <col min="3177" max="3177" width="9.42578125" style="1" customWidth="1"/>
    <col min="3178" max="3178" width="8.85546875" style="1" customWidth="1"/>
    <col min="3179" max="3179" width="12" style="1" customWidth="1"/>
    <col min="3180" max="3180" width="11.140625" style="1" customWidth="1"/>
    <col min="3181" max="3181" width="28.7109375" style="1" customWidth="1"/>
    <col min="3182" max="3182" width="5.85546875" style="1" customWidth="1"/>
    <col min="3183" max="3332" width="9.140625" style="1"/>
    <col min="3333" max="3333" width="3.42578125" style="1" customWidth="1"/>
    <col min="3334" max="3334" width="27.85546875" style="1" customWidth="1"/>
    <col min="3335" max="3335" width="11.85546875" style="1" customWidth="1"/>
    <col min="3336" max="3336" width="15.140625" style="1" customWidth="1"/>
    <col min="3337" max="3337" width="10.28515625" style="1" customWidth="1"/>
    <col min="3338" max="3339" width="9.7109375" style="1" customWidth="1"/>
    <col min="3340" max="3340" width="10.42578125" style="1" customWidth="1"/>
    <col min="3341" max="3341" width="10.42578125" style="1" bestFit="1" customWidth="1"/>
    <col min="3342" max="3342" width="16.28515625" style="1" customWidth="1"/>
    <col min="3343" max="3343" width="15.140625" style="1" customWidth="1"/>
    <col min="3344" max="3344" width="13.5703125" style="1" customWidth="1"/>
    <col min="3345" max="3345" width="10.5703125" style="1" customWidth="1"/>
    <col min="3346" max="3346" width="10.85546875" style="1" customWidth="1"/>
    <col min="3347" max="3347" width="18" style="1" customWidth="1"/>
    <col min="3348" max="3348" width="20.85546875" style="1" customWidth="1"/>
    <col min="3349" max="3349" width="13.5703125" style="1" customWidth="1"/>
    <col min="3350" max="3350" width="14.140625" style="1" customWidth="1"/>
    <col min="3351" max="3353" width="8.85546875" style="1" customWidth="1"/>
    <col min="3354" max="3354" width="9.28515625" style="1" customWidth="1"/>
    <col min="3355" max="3355" width="14" style="1" customWidth="1"/>
    <col min="3356" max="3357" width="8.85546875" style="1" customWidth="1"/>
    <col min="3358" max="3358" width="10.140625" style="1" customWidth="1"/>
    <col min="3359" max="3360" width="9.5703125" style="1" customWidth="1"/>
    <col min="3361" max="3361" width="9.85546875" style="1" customWidth="1"/>
    <col min="3362" max="3363" width="10.140625" style="1" customWidth="1"/>
    <col min="3364" max="3366" width="9.28515625" style="1" customWidth="1"/>
    <col min="3367" max="3367" width="9.85546875" style="1" customWidth="1"/>
    <col min="3368" max="3369" width="8.5703125" style="1" customWidth="1"/>
    <col min="3370" max="3372" width="8.85546875" style="1" customWidth="1"/>
    <col min="3373" max="3373" width="9.28515625" style="1" customWidth="1"/>
    <col min="3374" max="3375" width="8.85546875" style="1" customWidth="1"/>
    <col min="3376" max="3376" width="10" style="1" customWidth="1"/>
    <col min="3377" max="3378" width="8.85546875" style="1" customWidth="1"/>
    <col min="3379" max="3379" width="11" style="1" customWidth="1"/>
    <col min="3380" max="3381" width="9.5703125" style="1" customWidth="1"/>
    <col min="3382" max="3384" width="8.85546875" style="1" customWidth="1"/>
    <col min="3385" max="3385" width="10.42578125" style="1" customWidth="1"/>
    <col min="3386" max="3387" width="8.85546875" style="1" customWidth="1"/>
    <col min="3388" max="3388" width="9.7109375" style="1" customWidth="1"/>
    <col min="3389" max="3390" width="8.85546875" style="1" customWidth="1"/>
    <col min="3391" max="3391" width="9.28515625" style="1" customWidth="1"/>
    <col min="3392" max="3412" width="8.85546875" style="1" customWidth="1"/>
    <col min="3413" max="3413" width="9.85546875" style="1" customWidth="1"/>
    <col min="3414" max="3414" width="8.85546875" style="1" customWidth="1"/>
    <col min="3415" max="3415" width="10" style="1" customWidth="1"/>
    <col min="3416" max="3432" width="8.85546875" style="1" customWidth="1"/>
    <col min="3433" max="3433" width="9.42578125" style="1" customWidth="1"/>
    <col min="3434" max="3434" width="8.85546875" style="1" customWidth="1"/>
    <col min="3435" max="3435" width="12" style="1" customWidth="1"/>
    <col min="3436" max="3436" width="11.140625" style="1" customWidth="1"/>
    <col min="3437" max="3437" width="28.7109375" style="1" customWidth="1"/>
    <col min="3438" max="3438" width="5.85546875" style="1" customWidth="1"/>
    <col min="3439" max="3588" width="9.140625" style="1"/>
    <col min="3589" max="3589" width="3.42578125" style="1" customWidth="1"/>
    <col min="3590" max="3590" width="27.85546875" style="1" customWidth="1"/>
    <col min="3591" max="3591" width="11.85546875" style="1" customWidth="1"/>
    <col min="3592" max="3592" width="15.140625" style="1" customWidth="1"/>
    <col min="3593" max="3593" width="10.28515625" style="1" customWidth="1"/>
    <col min="3594" max="3595" width="9.7109375" style="1" customWidth="1"/>
    <col min="3596" max="3596" width="10.42578125" style="1" customWidth="1"/>
    <col min="3597" max="3597" width="10.42578125" style="1" bestFit="1" customWidth="1"/>
    <col min="3598" max="3598" width="16.28515625" style="1" customWidth="1"/>
    <col min="3599" max="3599" width="15.140625" style="1" customWidth="1"/>
    <col min="3600" max="3600" width="13.5703125" style="1" customWidth="1"/>
    <col min="3601" max="3601" width="10.5703125" style="1" customWidth="1"/>
    <col min="3602" max="3602" width="10.85546875" style="1" customWidth="1"/>
    <col min="3603" max="3603" width="18" style="1" customWidth="1"/>
    <col min="3604" max="3604" width="20.85546875" style="1" customWidth="1"/>
    <col min="3605" max="3605" width="13.5703125" style="1" customWidth="1"/>
    <col min="3606" max="3606" width="14.140625" style="1" customWidth="1"/>
    <col min="3607" max="3609" width="8.85546875" style="1" customWidth="1"/>
    <col min="3610" max="3610" width="9.28515625" style="1" customWidth="1"/>
    <col min="3611" max="3611" width="14" style="1" customWidth="1"/>
    <col min="3612" max="3613" width="8.85546875" style="1" customWidth="1"/>
    <col min="3614" max="3614" width="10.140625" style="1" customWidth="1"/>
    <col min="3615" max="3616" width="9.5703125" style="1" customWidth="1"/>
    <col min="3617" max="3617" width="9.85546875" style="1" customWidth="1"/>
    <col min="3618" max="3619" width="10.140625" style="1" customWidth="1"/>
    <col min="3620" max="3622" width="9.28515625" style="1" customWidth="1"/>
    <col min="3623" max="3623" width="9.85546875" style="1" customWidth="1"/>
    <col min="3624" max="3625" width="8.5703125" style="1" customWidth="1"/>
    <col min="3626" max="3628" width="8.85546875" style="1" customWidth="1"/>
    <col min="3629" max="3629" width="9.28515625" style="1" customWidth="1"/>
    <col min="3630" max="3631" width="8.85546875" style="1" customWidth="1"/>
    <col min="3632" max="3632" width="10" style="1" customWidth="1"/>
    <col min="3633" max="3634" width="8.85546875" style="1" customWidth="1"/>
    <col min="3635" max="3635" width="11" style="1" customWidth="1"/>
    <col min="3636" max="3637" width="9.5703125" style="1" customWidth="1"/>
    <col min="3638" max="3640" width="8.85546875" style="1" customWidth="1"/>
    <col min="3641" max="3641" width="10.42578125" style="1" customWidth="1"/>
    <col min="3642" max="3643" width="8.85546875" style="1" customWidth="1"/>
    <col min="3644" max="3644" width="9.7109375" style="1" customWidth="1"/>
    <col min="3645" max="3646" width="8.85546875" style="1" customWidth="1"/>
    <col min="3647" max="3647" width="9.28515625" style="1" customWidth="1"/>
    <col min="3648" max="3668" width="8.85546875" style="1" customWidth="1"/>
    <col min="3669" max="3669" width="9.85546875" style="1" customWidth="1"/>
    <col min="3670" max="3670" width="8.85546875" style="1" customWidth="1"/>
    <col min="3671" max="3671" width="10" style="1" customWidth="1"/>
    <col min="3672" max="3688" width="8.85546875" style="1" customWidth="1"/>
    <col min="3689" max="3689" width="9.42578125" style="1" customWidth="1"/>
    <col min="3690" max="3690" width="8.85546875" style="1" customWidth="1"/>
    <col min="3691" max="3691" width="12" style="1" customWidth="1"/>
    <col min="3692" max="3692" width="11.140625" style="1" customWidth="1"/>
    <col min="3693" max="3693" width="28.7109375" style="1" customWidth="1"/>
    <col min="3694" max="3694" width="5.85546875" style="1" customWidth="1"/>
    <col min="3695" max="3844" width="9.140625" style="1"/>
    <col min="3845" max="3845" width="3.42578125" style="1" customWidth="1"/>
    <col min="3846" max="3846" width="27.85546875" style="1" customWidth="1"/>
    <col min="3847" max="3847" width="11.85546875" style="1" customWidth="1"/>
    <col min="3848" max="3848" width="15.140625" style="1" customWidth="1"/>
    <col min="3849" max="3849" width="10.28515625" style="1" customWidth="1"/>
    <col min="3850" max="3851" width="9.7109375" style="1" customWidth="1"/>
    <col min="3852" max="3852" width="10.42578125" style="1" customWidth="1"/>
    <col min="3853" max="3853" width="10.42578125" style="1" bestFit="1" customWidth="1"/>
    <col min="3854" max="3854" width="16.28515625" style="1" customWidth="1"/>
    <col min="3855" max="3855" width="15.140625" style="1" customWidth="1"/>
    <col min="3856" max="3856" width="13.5703125" style="1" customWidth="1"/>
    <col min="3857" max="3857" width="10.5703125" style="1" customWidth="1"/>
    <col min="3858" max="3858" width="10.85546875" style="1" customWidth="1"/>
    <col min="3859" max="3859" width="18" style="1" customWidth="1"/>
    <col min="3860" max="3860" width="20.85546875" style="1" customWidth="1"/>
    <col min="3861" max="3861" width="13.5703125" style="1" customWidth="1"/>
    <col min="3862" max="3862" width="14.140625" style="1" customWidth="1"/>
    <col min="3863" max="3865" width="8.85546875" style="1" customWidth="1"/>
    <col min="3866" max="3866" width="9.28515625" style="1" customWidth="1"/>
    <col min="3867" max="3867" width="14" style="1" customWidth="1"/>
    <col min="3868" max="3869" width="8.85546875" style="1" customWidth="1"/>
    <col min="3870" max="3870" width="10.140625" style="1" customWidth="1"/>
    <col min="3871" max="3872" width="9.5703125" style="1" customWidth="1"/>
    <col min="3873" max="3873" width="9.85546875" style="1" customWidth="1"/>
    <col min="3874" max="3875" width="10.140625" style="1" customWidth="1"/>
    <col min="3876" max="3878" width="9.28515625" style="1" customWidth="1"/>
    <col min="3879" max="3879" width="9.85546875" style="1" customWidth="1"/>
    <col min="3880" max="3881" width="8.5703125" style="1" customWidth="1"/>
    <col min="3882" max="3884" width="8.85546875" style="1" customWidth="1"/>
    <col min="3885" max="3885" width="9.28515625" style="1" customWidth="1"/>
    <col min="3886" max="3887" width="8.85546875" style="1" customWidth="1"/>
    <col min="3888" max="3888" width="10" style="1" customWidth="1"/>
    <col min="3889" max="3890" width="8.85546875" style="1" customWidth="1"/>
    <col min="3891" max="3891" width="11" style="1" customWidth="1"/>
    <col min="3892" max="3893" width="9.5703125" style="1" customWidth="1"/>
    <col min="3894" max="3896" width="8.85546875" style="1" customWidth="1"/>
    <col min="3897" max="3897" width="10.42578125" style="1" customWidth="1"/>
    <col min="3898" max="3899" width="8.85546875" style="1" customWidth="1"/>
    <col min="3900" max="3900" width="9.7109375" style="1" customWidth="1"/>
    <col min="3901" max="3902" width="8.85546875" style="1" customWidth="1"/>
    <col min="3903" max="3903" width="9.28515625" style="1" customWidth="1"/>
    <col min="3904" max="3924" width="8.85546875" style="1" customWidth="1"/>
    <col min="3925" max="3925" width="9.85546875" style="1" customWidth="1"/>
    <col min="3926" max="3926" width="8.85546875" style="1" customWidth="1"/>
    <col min="3927" max="3927" width="10" style="1" customWidth="1"/>
    <col min="3928" max="3944" width="8.85546875" style="1" customWidth="1"/>
    <col min="3945" max="3945" width="9.42578125" style="1" customWidth="1"/>
    <col min="3946" max="3946" width="8.85546875" style="1" customWidth="1"/>
    <col min="3947" max="3947" width="12" style="1" customWidth="1"/>
    <col min="3948" max="3948" width="11.140625" style="1" customWidth="1"/>
    <col min="3949" max="3949" width="28.7109375" style="1" customWidth="1"/>
    <col min="3950" max="3950" width="5.85546875" style="1" customWidth="1"/>
    <col min="3951" max="4100" width="9.140625" style="1"/>
    <col min="4101" max="4101" width="3.42578125" style="1" customWidth="1"/>
    <col min="4102" max="4102" width="27.85546875" style="1" customWidth="1"/>
    <col min="4103" max="4103" width="11.85546875" style="1" customWidth="1"/>
    <col min="4104" max="4104" width="15.140625" style="1" customWidth="1"/>
    <col min="4105" max="4105" width="10.28515625" style="1" customWidth="1"/>
    <col min="4106" max="4107" width="9.7109375" style="1" customWidth="1"/>
    <col min="4108" max="4108" width="10.42578125" style="1" customWidth="1"/>
    <col min="4109" max="4109" width="10.42578125" style="1" bestFit="1" customWidth="1"/>
    <col min="4110" max="4110" width="16.28515625" style="1" customWidth="1"/>
    <col min="4111" max="4111" width="15.140625" style="1" customWidth="1"/>
    <col min="4112" max="4112" width="13.5703125" style="1" customWidth="1"/>
    <col min="4113" max="4113" width="10.5703125" style="1" customWidth="1"/>
    <col min="4114" max="4114" width="10.85546875" style="1" customWidth="1"/>
    <col min="4115" max="4115" width="18" style="1" customWidth="1"/>
    <col min="4116" max="4116" width="20.85546875" style="1" customWidth="1"/>
    <col min="4117" max="4117" width="13.5703125" style="1" customWidth="1"/>
    <col min="4118" max="4118" width="14.140625" style="1" customWidth="1"/>
    <col min="4119" max="4121" width="8.85546875" style="1" customWidth="1"/>
    <col min="4122" max="4122" width="9.28515625" style="1" customWidth="1"/>
    <col min="4123" max="4123" width="14" style="1" customWidth="1"/>
    <col min="4124" max="4125" width="8.85546875" style="1" customWidth="1"/>
    <col min="4126" max="4126" width="10.140625" style="1" customWidth="1"/>
    <col min="4127" max="4128" width="9.5703125" style="1" customWidth="1"/>
    <col min="4129" max="4129" width="9.85546875" style="1" customWidth="1"/>
    <col min="4130" max="4131" width="10.140625" style="1" customWidth="1"/>
    <col min="4132" max="4134" width="9.28515625" style="1" customWidth="1"/>
    <col min="4135" max="4135" width="9.85546875" style="1" customWidth="1"/>
    <col min="4136" max="4137" width="8.5703125" style="1" customWidth="1"/>
    <col min="4138" max="4140" width="8.85546875" style="1" customWidth="1"/>
    <col min="4141" max="4141" width="9.28515625" style="1" customWidth="1"/>
    <col min="4142" max="4143" width="8.85546875" style="1" customWidth="1"/>
    <col min="4144" max="4144" width="10" style="1" customWidth="1"/>
    <col min="4145" max="4146" width="8.85546875" style="1" customWidth="1"/>
    <col min="4147" max="4147" width="11" style="1" customWidth="1"/>
    <col min="4148" max="4149" width="9.5703125" style="1" customWidth="1"/>
    <col min="4150" max="4152" width="8.85546875" style="1" customWidth="1"/>
    <col min="4153" max="4153" width="10.42578125" style="1" customWidth="1"/>
    <col min="4154" max="4155" width="8.85546875" style="1" customWidth="1"/>
    <col min="4156" max="4156" width="9.7109375" style="1" customWidth="1"/>
    <col min="4157" max="4158" width="8.85546875" style="1" customWidth="1"/>
    <col min="4159" max="4159" width="9.28515625" style="1" customWidth="1"/>
    <col min="4160" max="4180" width="8.85546875" style="1" customWidth="1"/>
    <col min="4181" max="4181" width="9.85546875" style="1" customWidth="1"/>
    <col min="4182" max="4182" width="8.85546875" style="1" customWidth="1"/>
    <col min="4183" max="4183" width="10" style="1" customWidth="1"/>
    <col min="4184" max="4200" width="8.85546875" style="1" customWidth="1"/>
    <col min="4201" max="4201" width="9.42578125" style="1" customWidth="1"/>
    <col min="4202" max="4202" width="8.85546875" style="1" customWidth="1"/>
    <col min="4203" max="4203" width="12" style="1" customWidth="1"/>
    <col min="4204" max="4204" width="11.140625" style="1" customWidth="1"/>
    <col min="4205" max="4205" width="28.7109375" style="1" customWidth="1"/>
    <col min="4206" max="4206" width="5.85546875" style="1" customWidth="1"/>
    <col min="4207" max="4356" width="9.140625" style="1"/>
    <col min="4357" max="4357" width="3.42578125" style="1" customWidth="1"/>
    <col min="4358" max="4358" width="27.85546875" style="1" customWidth="1"/>
    <col min="4359" max="4359" width="11.85546875" style="1" customWidth="1"/>
    <col min="4360" max="4360" width="15.140625" style="1" customWidth="1"/>
    <col min="4361" max="4361" width="10.28515625" style="1" customWidth="1"/>
    <col min="4362" max="4363" width="9.7109375" style="1" customWidth="1"/>
    <col min="4364" max="4364" width="10.42578125" style="1" customWidth="1"/>
    <col min="4365" max="4365" width="10.42578125" style="1" bestFit="1" customWidth="1"/>
    <col min="4366" max="4366" width="16.28515625" style="1" customWidth="1"/>
    <col min="4367" max="4367" width="15.140625" style="1" customWidth="1"/>
    <col min="4368" max="4368" width="13.5703125" style="1" customWidth="1"/>
    <col min="4369" max="4369" width="10.5703125" style="1" customWidth="1"/>
    <col min="4370" max="4370" width="10.85546875" style="1" customWidth="1"/>
    <col min="4371" max="4371" width="18" style="1" customWidth="1"/>
    <col min="4372" max="4372" width="20.85546875" style="1" customWidth="1"/>
    <col min="4373" max="4373" width="13.5703125" style="1" customWidth="1"/>
    <col min="4374" max="4374" width="14.140625" style="1" customWidth="1"/>
    <col min="4375" max="4377" width="8.85546875" style="1" customWidth="1"/>
    <col min="4378" max="4378" width="9.28515625" style="1" customWidth="1"/>
    <col min="4379" max="4379" width="14" style="1" customWidth="1"/>
    <col min="4380" max="4381" width="8.85546875" style="1" customWidth="1"/>
    <col min="4382" max="4382" width="10.140625" style="1" customWidth="1"/>
    <col min="4383" max="4384" width="9.5703125" style="1" customWidth="1"/>
    <col min="4385" max="4385" width="9.85546875" style="1" customWidth="1"/>
    <col min="4386" max="4387" width="10.140625" style="1" customWidth="1"/>
    <col min="4388" max="4390" width="9.28515625" style="1" customWidth="1"/>
    <col min="4391" max="4391" width="9.85546875" style="1" customWidth="1"/>
    <col min="4392" max="4393" width="8.5703125" style="1" customWidth="1"/>
    <col min="4394" max="4396" width="8.85546875" style="1" customWidth="1"/>
    <col min="4397" max="4397" width="9.28515625" style="1" customWidth="1"/>
    <col min="4398" max="4399" width="8.85546875" style="1" customWidth="1"/>
    <col min="4400" max="4400" width="10" style="1" customWidth="1"/>
    <col min="4401" max="4402" width="8.85546875" style="1" customWidth="1"/>
    <col min="4403" max="4403" width="11" style="1" customWidth="1"/>
    <col min="4404" max="4405" width="9.5703125" style="1" customWidth="1"/>
    <col min="4406" max="4408" width="8.85546875" style="1" customWidth="1"/>
    <col min="4409" max="4409" width="10.42578125" style="1" customWidth="1"/>
    <col min="4410" max="4411" width="8.85546875" style="1" customWidth="1"/>
    <col min="4412" max="4412" width="9.7109375" style="1" customWidth="1"/>
    <col min="4413" max="4414" width="8.85546875" style="1" customWidth="1"/>
    <col min="4415" max="4415" width="9.28515625" style="1" customWidth="1"/>
    <col min="4416" max="4436" width="8.85546875" style="1" customWidth="1"/>
    <col min="4437" max="4437" width="9.85546875" style="1" customWidth="1"/>
    <col min="4438" max="4438" width="8.85546875" style="1" customWidth="1"/>
    <col min="4439" max="4439" width="10" style="1" customWidth="1"/>
    <col min="4440" max="4456" width="8.85546875" style="1" customWidth="1"/>
    <col min="4457" max="4457" width="9.42578125" style="1" customWidth="1"/>
    <col min="4458" max="4458" width="8.85546875" style="1" customWidth="1"/>
    <col min="4459" max="4459" width="12" style="1" customWidth="1"/>
    <col min="4460" max="4460" width="11.140625" style="1" customWidth="1"/>
    <col min="4461" max="4461" width="28.7109375" style="1" customWidth="1"/>
    <col min="4462" max="4462" width="5.85546875" style="1" customWidth="1"/>
    <col min="4463" max="4612" width="9.140625" style="1"/>
    <col min="4613" max="4613" width="3.42578125" style="1" customWidth="1"/>
    <col min="4614" max="4614" width="27.85546875" style="1" customWidth="1"/>
    <col min="4615" max="4615" width="11.85546875" style="1" customWidth="1"/>
    <col min="4616" max="4616" width="15.140625" style="1" customWidth="1"/>
    <col min="4617" max="4617" width="10.28515625" style="1" customWidth="1"/>
    <col min="4618" max="4619" width="9.7109375" style="1" customWidth="1"/>
    <col min="4620" max="4620" width="10.42578125" style="1" customWidth="1"/>
    <col min="4621" max="4621" width="10.42578125" style="1" bestFit="1" customWidth="1"/>
    <col min="4622" max="4622" width="16.28515625" style="1" customWidth="1"/>
    <col min="4623" max="4623" width="15.140625" style="1" customWidth="1"/>
    <col min="4624" max="4624" width="13.5703125" style="1" customWidth="1"/>
    <col min="4625" max="4625" width="10.5703125" style="1" customWidth="1"/>
    <col min="4626" max="4626" width="10.85546875" style="1" customWidth="1"/>
    <col min="4627" max="4627" width="18" style="1" customWidth="1"/>
    <col min="4628" max="4628" width="20.85546875" style="1" customWidth="1"/>
    <col min="4629" max="4629" width="13.5703125" style="1" customWidth="1"/>
    <col min="4630" max="4630" width="14.140625" style="1" customWidth="1"/>
    <col min="4631" max="4633" width="8.85546875" style="1" customWidth="1"/>
    <col min="4634" max="4634" width="9.28515625" style="1" customWidth="1"/>
    <col min="4635" max="4635" width="14" style="1" customWidth="1"/>
    <col min="4636" max="4637" width="8.85546875" style="1" customWidth="1"/>
    <col min="4638" max="4638" width="10.140625" style="1" customWidth="1"/>
    <col min="4639" max="4640" width="9.5703125" style="1" customWidth="1"/>
    <col min="4641" max="4641" width="9.85546875" style="1" customWidth="1"/>
    <col min="4642" max="4643" width="10.140625" style="1" customWidth="1"/>
    <col min="4644" max="4646" width="9.28515625" style="1" customWidth="1"/>
    <col min="4647" max="4647" width="9.85546875" style="1" customWidth="1"/>
    <col min="4648" max="4649" width="8.5703125" style="1" customWidth="1"/>
    <col min="4650" max="4652" width="8.85546875" style="1" customWidth="1"/>
    <col min="4653" max="4653" width="9.28515625" style="1" customWidth="1"/>
    <col min="4654" max="4655" width="8.85546875" style="1" customWidth="1"/>
    <col min="4656" max="4656" width="10" style="1" customWidth="1"/>
    <col min="4657" max="4658" width="8.85546875" style="1" customWidth="1"/>
    <col min="4659" max="4659" width="11" style="1" customWidth="1"/>
    <col min="4660" max="4661" width="9.5703125" style="1" customWidth="1"/>
    <col min="4662" max="4664" width="8.85546875" style="1" customWidth="1"/>
    <col min="4665" max="4665" width="10.42578125" style="1" customWidth="1"/>
    <col min="4666" max="4667" width="8.85546875" style="1" customWidth="1"/>
    <col min="4668" max="4668" width="9.7109375" style="1" customWidth="1"/>
    <col min="4669" max="4670" width="8.85546875" style="1" customWidth="1"/>
    <col min="4671" max="4671" width="9.28515625" style="1" customWidth="1"/>
    <col min="4672" max="4692" width="8.85546875" style="1" customWidth="1"/>
    <col min="4693" max="4693" width="9.85546875" style="1" customWidth="1"/>
    <col min="4694" max="4694" width="8.85546875" style="1" customWidth="1"/>
    <col min="4695" max="4695" width="10" style="1" customWidth="1"/>
    <col min="4696" max="4712" width="8.85546875" style="1" customWidth="1"/>
    <col min="4713" max="4713" width="9.42578125" style="1" customWidth="1"/>
    <col min="4714" max="4714" width="8.85546875" style="1" customWidth="1"/>
    <col min="4715" max="4715" width="12" style="1" customWidth="1"/>
    <col min="4716" max="4716" width="11.140625" style="1" customWidth="1"/>
    <col min="4717" max="4717" width="28.7109375" style="1" customWidth="1"/>
    <col min="4718" max="4718" width="5.85546875" style="1" customWidth="1"/>
    <col min="4719" max="4868" width="9.140625" style="1"/>
    <col min="4869" max="4869" width="3.42578125" style="1" customWidth="1"/>
    <col min="4870" max="4870" width="27.85546875" style="1" customWidth="1"/>
    <col min="4871" max="4871" width="11.85546875" style="1" customWidth="1"/>
    <col min="4872" max="4872" width="15.140625" style="1" customWidth="1"/>
    <col min="4873" max="4873" width="10.28515625" style="1" customWidth="1"/>
    <col min="4874" max="4875" width="9.7109375" style="1" customWidth="1"/>
    <col min="4876" max="4876" width="10.42578125" style="1" customWidth="1"/>
    <col min="4877" max="4877" width="10.42578125" style="1" bestFit="1" customWidth="1"/>
    <col min="4878" max="4878" width="16.28515625" style="1" customWidth="1"/>
    <col min="4879" max="4879" width="15.140625" style="1" customWidth="1"/>
    <col min="4880" max="4880" width="13.5703125" style="1" customWidth="1"/>
    <col min="4881" max="4881" width="10.5703125" style="1" customWidth="1"/>
    <col min="4882" max="4882" width="10.85546875" style="1" customWidth="1"/>
    <col min="4883" max="4883" width="18" style="1" customWidth="1"/>
    <col min="4884" max="4884" width="20.85546875" style="1" customWidth="1"/>
    <col min="4885" max="4885" width="13.5703125" style="1" customWidth="1"/>
    <col min="4886" max="4886" width="14.140625" style="1" customWidth="1"/>
    <col min="4887" max="4889" width="8.85546875" style="1" customWidth="1"/>
    <col min="4890" max="4890" width="9.28515625" style="1" customWidth="1"/>
    <col min="4891" max="4891" width="14" style="1" customWidth="1"/>
    <col min="4892" max="4893" width="8.85546875" style="1" customWidth="1"/>
    <col min="4894" max="4894" width="10.140625" style="1" customWidth="1"/>
    <col min="4895" max="4896" width="9.5703125" style="1" customWidth="1"/>
    <col min="4897" max="4897" width="9.85546875" style="1" customWidth="1"/>
    <col min="4898" max="4899" width="10.140625" style="1" customWidth="1"/>
    <col min="4900" max="4902" width="9.28515625" style="1" customWidth="1"/>
    <col min="4903" max="4903" width="9.85546875" style="1" customWidth="1"/>
    <col min="4904" max="4905" width="8.5703125" style="1" customWidth="1"/>
    <col min="4906" max="4908" width="8.85546875" style="1" customWidth="1"/>
    <col min="4909" max="4909" width="9.28515625" style="1" customWidth="1"/>
    <col min="4910" max="4911" width="8.85546875" style="1" customWidth="1"/>
    <col min="4912" max="4912" width="10" style="1" customWidth="1"/>
    <col min="4913" max="4914" width="8.85546875" style="1" customWidth="1"/>
    <col min="4915" max="4915" width="11" style="1" customWidth="1"/>
    <col min="4916" max="4917" width="9.5703125" style="1" customWidth="1"/>
    <col min="4918" max="4920" width="8.85546875" style="1" customWidth="1"/>
    <col min="4921" max="4921" width="10.42578125" style="1" customWidth="1"/>
    <col min="4922" max="4923" width="8.85546875" style="1" customWidth="1"/>
    <col min="4924" max="4924" width="9.7109375" style="1" customWidth="1"/>
    <col min="4925" max="4926" width="8.85546875" style="1" customWidth="1"/>
    <col min="4927" max="4927" width="9.28515625" style="1" customWidth="1"/>
    <col min="4928" max="4948" width="8.85546875" style="1" customWidth="1"/>
    <col min="4949" max="4949" width="9.85546875" style="1" customWidth="1"/>
    <col min="4950" max="4950" width="8.85546875" style="1" customWidth="1"/>
    <col min="4951" max="4951" width="10" style="1" customWidth="1"/>
    <col min="4952" max="4968" width="8.85546875" style="1" customWidth="1"/>
    <col min="4969" max="4969" width="9.42578125" style="1" customWidth="1"/>
    <col min="4970" max="4970" width="8.85546875" style="1" customWidth="1"/>
    <col min="4971" max="4971" width="12" style="1" customWidth="1"/>
    <col min="4972" max="4972" width="11.140625" style="1" customWidth="1"/>
    <col min="4973" max="4973" width="28.7109375" style="1" customWidth="1"/>
    <col min="4974" max="4974" width="5.85546875" style="1" customWidth="1"/>
    <col min="4975" max="5124" width="9.140625" style="1"/>
    <col min="5125" max="5125" width="3.42578125" style="1" customWidth="1"/>
    <col min="5126" max="5126" width="27.85546875" style="1" customWidth="1"/>
    <col min="5127" max="5127" width="11.85546875" style="1" customWidth="1"/>
    <col min="5128" max="5128" width="15.140625" style="1" customWidth="1"/>
    <col min="5129" max="5129" width="10.28515625" style="1" customWidth="1"/>
    <col min="5130" max="5131" width="9.7109375" style="1" customWidth="1"/>
    <col min="5132" max="5132" width="10.42578125" style="1" customWidth="1"/>
    <col min="5133" max="5133" width="10.42578125" style="1" bestFit="1" customWidth="1"/>
    <col min="5134" max="5134" width="16.28515625" style="1" customWidth="1"/>
    <col min="5135" max="5135" width="15.140625" style="1" customWidth="1"/>
    <col min="5136" max="5136" width="13.5703125" style="1" customWidth="1"/>
    <col min="5137" max="5137" width="10.5703125" style="1" customWidth="1"/>
    <col min="5138" max="5138" width="10.85546875" style="1" customWidth="1"/>
    <col min="5139" max="5139" width="18" style="1" customWidth="1"/>
    <col min="5140" max="5140" width="20.85546875" style="1" customWidth="1"/>
    <col min="5141" max="5141" width="13.5703125" style="1" customWidth="1"/>
    <col min="5142" max="5142" width="14.140625" style="1" customWidth="1"/>
    <col min="5143" max="5145" width="8.85546875" style="1" customWidth="1"/>
    <col min="5146" max="5146" width="9.28515625" style="1" customWidth="1"/>
    <col min="5147" max="5147" width="14" style="1" customWidth="1"/>
    <col min="5148" max="5149" width="8.85546875" style="1" customWidth="1"/>
    <col min="5150" max="5150" width="10.140625" style="1" customWidth="1"/>
    <col min="5151" max="5152" width="9.5703125" style="1" customWidth="1"/>
    <col min="5153" max="5153" width="9.85546875" style="1" customWidth="1"/>
    <col min="5154" max="5155" width="10.140625" style="1" customWidth="1"/>
    <col min="5156" max="5158" width="9.28515625" style="1" customWidth="1"/>
    <col min="5159" max="5159" width="9.85546875" style="1" customWidth="1"/>
    <col min="5160" max="5161" width="8.5703125" style="1" customWidth="1"/>
    <col min="5162" max="5164" width="8.85546875" style="1" customWidth="1"/>
    <col min="5165" max="5165" width="9.28515625" style="1" customWidth="1"/>
    <col min="5166" max="5167" width="8.85546875" style="1" customWidth="1"/>
    <col min="5168" max="5168" width="10" style="1" customWidth="1"/>
    <col min="5169" max="5170" width="8.85546875" style="1" customWidth="1"/>
    <col min="5171" max="5171" width="11" style="1" customWidth="1"/>
    <col min="5172" max="5173" width="9.5703125" style="1" customWidth="1"/>
    <col min="5174" max="5176" width="8.85546875" style="1" customWidth="1"/>
    <col min="5177" max="5177" width="10.42578125" style="1" customWidth="1"/>
    <col min="5178" max="5179" width="8.85546875" style="1" customWidth="1"/>
    <col min="5180" max="5180" width="9.7109375" style="1" customWidth="1"/>
    <col min="5181" max="5182" width="8.85546875" style="1" customWidth="1"/>
    <col min="5183" max="5183" width="9.28515625" style="1" customWidth="1"/>
    <col min="5184" max="5204" width="8.85546875" style="1" customWidth="1"/>
    <col min="5205" max="5205" width="9.85546875" style="1" customWidth="1"/>
    <col min="5206" max="5206" width="8.85546875" style="1" customWidth="1"/>
    <col min="5207" max="5207" width="10" style="1" customWidth="1"/>
    <col min="5208" max="5224" width="8.85546875" style="1" customWidth="1"/>
    <col min="5225" max="5225" width="9.42578125" style="1" customWidth="1"/>
    <col min="5226" max="5226" width="8.85546875" style="1" customWidth="1"/>
    <col min="5227" max="5227" width="12" style="1" customWidth="1"/>
    <col min="5228" max="5228" width="11.140625" style="1" customWidth="1"/>
    <col min="5229" max="5229" width="28.7109375" style="1" customWidth="1"/>
    <col min="5230" max="5230" width="5.85546875" style="1" customWidth="1"/>
    <col min="5231" max="5380" width="9.140625" style="1"/>
    <col min="5381" max="5381" width="3.42578125" style="1" customWidth="1"/>
    <col min="5382" max="5382" width="27.85546875" style="1" customWidth="1"/>
    <col min="5383" max="5383" width="11.85546875" style="1" customWidth="1"/>
    <col min="5384" max="5384" width="15.140625" style="1" customWidth="1"/>
    <col min="5385" max="5385" width="10.28515625" style="1" customWidth="1"/>
    <col min="5386" max="5387" width="9.7109375" style="1" customWidth="1"/>
    <col min="5388" max="5388" width="10.42578125" style="1" customWidth="1"/>
    <col min="5389" max="5389" width="10.42578125" style="1" bestFit="1" customWidth="1"/>
    <col min="5390" max="5390" width="16.28515625" style="1" customWidth="1"/>
    <col min="5391" max="5391" width="15.140625" style="1" customWidth="1"/>
    <col min="5392" max="5392" width="13.5703125" style="1" customWidth="1"/>
    <col min="5393" max="5393" width="10.5703125" style="1" customWidth="1"/>
    <col min="5394" max="5394" width="10.85546875" style="1" customWidth="1"/>
    <col min="5395" max="5395" width="18" style="1" customWidth="1"/>
    <col min="5396" max="5396" width="20.85546875" style="1" customWidth="1"/>
    <col min="5397" max="5397" width="13.5703125" style="1" customWidth="1"/>
    <col min="5398" max="5398" width="14.140625" style="1" customWidth="1"/>
    <col min="5399" max="5401" width="8.85546875" style="1" customWidth="1"/>
    <col min="5402" max="5402" width="9.28515625" style="1" customWidth="1"/>
    <col min="5403" max="5403" width="14" style="1" customWidth="1"/>
    <col min="5404" max="5405" width="8.85546875" style="1" customWidth="1"/>
    <col min="5406" max="5406" width="10.140625" style="1" customWidth="1"/>
    <col min="5407" max="5408" width="9.5703125" style="1" customWidth="1"/>
    <col min="5409" max="5409" width="9.85546875" style="1" customWidth="1"/>
    <col min="5410" max="5411" width="10.140625" style="1" customWidth="1"/>
    <col min="5412" max="5414" width="9.28515625" style="1" customWidth="1"/>
    <col min="5415" max="5415" width="9.85546875" style="1" customWidth="1"/>
    <col min="5416" max="5417" width="8.5703125" style="1" customWidth="1"/>
    <col min="5418" max="5420" width="8.85546875" style="1" customWidth="1"/>
    <col min="5421" max="5421" width="9.28515625" style="1" customWidth="1"/>
    <col min="5422" max="5423" width="8.85546875" style="1" customWidth="1"/>
    <col min="5424" max="5424" width="10" style="1" customWidth="1"/>
    <col min="5425" max="5426" width="8.85546875" style="1" customWidth="1"/>
    <col min="5427" max="5427" width="11" style="1" customWidth="1"/>
    <col min="5428" max="5429" width="9.5703125" style="1" customWidth="1"/>
    <col min="5430" max="5432" width="8.85546875" style="1" customWidth="1"/>
    <col min="5433" max="5433" width="10.42578125" style="1" customWidth="1"/>
    <col min="5434" max="5435" width="8.85546875" style="1" customWidth="1"/>
    <col min="5436" max="5436" width="9.7109375" style="1" customWidth="1"/>
    <col min="5437" max="5438" width="8.85546875" style="1" customWidth="1"/>
    <col min="5439" max="5439" width="9.28515625" style="1" customWidth="1"/>
    <col min="5440" max="5460" width="8.85546875" style="1" customWidth="1"/>
    <col min="5461" max="5461" width="9.85546875" style="1" customWidth="1"/>
    <col min="5462" max="5462" width="8.85546875" style="1" customWidth="1"/>
    <col min="5463" max="5463" width="10" style="1" customWidth="1"/>
    <col min="5464" max="5480" width="8.85546875" style="1" customWidth="1"/>
    <col min="5481" max="5481" width="9.42578125" style="1" customWidth="1"/>
    <col min="5482" max="5482" width="8.85546875" style="1" customWidth="1"/>
    <col min="5483" max="5483" width="12" style="1" customWidth="1"/>
    <col min="5484" max="5484" width="11.140625" style="1" customWidth="1"/>
    <col min="5485" max="5485" width="28.7109375" style="1" customWidth="1"/>
    <col min="5486" max="5486" width="5.85546875" style="1" customWidth="1"/>
    <col min="5487" max="5636" width="9.140625" style="1"/>
    <col min="5637" max="5637" width="3.42578125" style="1" customWidth="1"/>
    <col min="5638" max="5638" width="27.85546875" style="1" customWidth="1"/>
    <col min="5639" max="5639" width="11.85546875" style="1" customWidth="1"/>
    <col min="5640" max="5640" width="15.140625" style="1" customWidth="1"/>
    <col min="5641" max="5641" width="10.28515625" style="1" customWidth="1"/>
    <col min="5642" max="5643" width="9.7109375" style="1" customWidth="1"/>
    <col min="5644" max="5644" width="10.42578125" style="1" customWidth="1"/>
    <col min="5645" max="5645" width="10.42578125" style="1" bestFit="1" customWidth="1"/>
    <col min="5646" max="5646" width="16.28515625" style="1" customWidth="1"/>
    <col min="5647" max="5647" width="15.140625" style="1" customWidth="1"/>
    <col min="5648" max="5648" width="13.5703125" style="1" customWidth="1"/>
    <col min="5649" max="5649" width="10.5703125" style="1" customWidth="1"/>
    <col min="5650" max="5650" width="10.85546875" style="1" customWidth="1"/>
    <col min="5651" max="5651" width="18" style="1" customWidth="1"/>
    <col min="5652" max="5652" width="20.85546875" style="1" customWidth="1"/>
    <col min="5653" max="5653" width="13.5703125" style="1" customWidth="1"/>
    <col min="5654" max="5654" width="14.140625" style="1" customWidth="1"/>
    <col min="5655" max="5657" width="8.85546875" style="1" customWidth="1"/>
    <col min="5658" max="5658" width="9.28515625" style="1" customWidth="1"/>
    <col min="5659" max="5659" width="14" style="1" customWidth="1"/>
    <col min="5660" max="5661" width="8.85546875" style="1" customWidth="1"/>
    <col min="5662" max="5662" width="10.140625" style="1" customWidth="1"/>
    <col min="5663" max="5664" width="9.5703125" style="1" customWidth="1"/>
    <col min="5665" max="5665" width="9.85546875" style="1" customWidth="1"/>
    <col min="5666" max="5667" width="10.140625" style="1" customWidth="1"/>
    <col min="5668" max="5670" width="9.28515625" style="1" customWidth="1"/>
    <col min="5671" max="5671" width="9.85546875" style="1" customWidth="1"/>
    <col min="5672" max="5673" width="8.5703125" style="1" customWidth="1"/>
    <col min="5674" max="5676" width="8.85546875" style="1" customWidth="1"/>
    <col min="5677" max="5677" width="9.28515625" style="1" customWidth="1"/>
    <col min="5678" max="5679" width="8.85546875" style="1" customWidth="1"/>
    <col min="5680" max="5680" width="10" style="1" customWidth="1"/>
    <col min="5681" max="5682" width="8.85546875" style="1" customWidth="1"/>
    <col min="5683" max="5683" width="11" style="1" customWidth="1"/>
    <col min="5684" max="5685" width="9.5703125" style="1" customWidth="1"/>
    <col min="5686" max="5688" width="8.85546875" style="1" customWidth="1"/>
    <col min="5689" max="5689" width="10.42578125" style="1" customWidth="1"/>
    <col min="5690" max="5691" width="8.85546875" style="1" customWidth="1"/>
    <col min="5692" max="5692" width="9.7109375" style="1" customWidth="1"/>
    <col min="5693" max="5694" width="8.85546875" style="1" customWidth="1"/>
    <col min="5695" max="5695" width="9.28515625" style="1" customWidth="1"/>
    <col min="5696" max="5716" width="8.85546875" style="1" customWidth="1"/>
    <col min="5717" max="5717" width="9.85546875" style="1" customWidth="1"/>
    <col min="5718" max="5718" width="8.85546875" style="1" customWidth="1"/>
    <col min="5719" max="5719" width="10" style="1" customWidth="1"/>
    <col min="5720" max="5736" width="8.85546875" style="1" customWidth="1"/>
    <col min="5737" max="5737" width="9.42578125" style="1" customWidth="1"/>
    <col min="5738" max="5738" width="8.85546875" style="1" customWidth="1"/>
    <col min="5739" max="5739" width="12" style="1" customWidth="1"/>
    <col min="5740" max="5740" width="11.140625" style="1" customWidth="1"/>
    <col min="5741" max="5741" width="28.7109375" style="1" customWidth="1"/>
    <col min="5742" max="5742" width="5.85546875" style="1" customWidth="1"/>
    <col min="5743" max="5892" width="9.140625" style="1"/>
    <col min="5893" max="5893" width="3.42578125" style="1" customWidth="1"/>
    <col min="5894" max="5894" width="27.85546875" style="1" customWidth="1"/>
    <col min="5895" max="5895" width="11.85546875" style="1" customWidth="1"/>
    <col min="5896" max="5896" width="15.140625" style="1" customWidth="1"/>
    <col min="5897" max="5897" width="10.28515625" style="1" customWidth="1"/>
    <col min="5898" max="5899" width="9.7109375" style="1" customWidth="1"/>
    <col min="5900" max="5900" width="10.42578125" style="1" customWidth="1"/>
    <col min="5901" max="5901" width="10.42578125" style="1" bestFit="1" customWidth="1"/>
    <col min="5902" max="5902" width="16.28515625" style="1" customWidth="1"/>
    <col min="5903" max="5903" width="15.140625" style="1" customWidth="1"/>
    <col min="5904" max="5904" width="13.5703125" style="1" customWidth="1"/>
    <col min="5905" max="5905" width="10.5703125" style="1" customWidth="1"/>
    <col min="5906" max="5906" width="10.85546875" style="1" customWidth="1"/>
    <col min="5907" max="5907" width="18" style="1" customWidth="1"/>
    <col min="5908" max="5908" width="20.85546875" style="1" customWidth="1"/>
    <col min="5909" max="5909" width="13.5703125" style="1" customWidth="1"/>
    <col min="5910" max="5910" width="14.140625" style="1" customWidth="1"/>
    <col min="5911" max="5913" width="8.85546875" style="1" customWidth="1"/>
    <col min="5914" max="5914" width="9.28515625" style="1" customWidth="1"/>
    <col min="5915" max="5915" width="14" style="1" customWidth="1"/>
    <col min="5916" max="5917" width="8.85546875" style="1" customWidth="1"/>
    <col min="5918" max="5918" width="10.140625" style="1" customWidth="1"/>
    <col min="5919" max="5920" width="9.5703125" style="1" customWidth="1"/>
    <col min="5921" max="5921" width="9.85546875" style="1" customWidth="1"/>
    <col min="5922" max="5923" width="10.140625" style="1" customWidth="1"/>
    <col min="5924" max="5926" width="9.28515625" style="1" customWidth="1"/>
    <col min="5927" max="5927" width="9.85546875" style="1" customWidth="1"/>
    <col min="5928" max="5929" width="8.5703125" style="1" customWidth="1"/>
    <col min="5930" max="5932" width="8.85546875" style="1" customWidth="1"/>
    <col min="5933" max="5933" width="9.28515625" style="1" customWidth="1"/>
    <col min="5934" max="5935" width="8.85546875" style="1" customWidth="1"/>
    <col min="5936" max="5936" width="10" style="1" customWidth="1"/>
    <col min="5937" max="5938" width="8.85546875" style="1" customWidth="1"/>
    <col min="5939" max="5939" width="11" style="1" customWidth="1"/>
    <col min="5940" max="5941" width="9.5703125" style="1" customWidth="1"/>
    <col min="5942" max="5944" width="8.85546875" style="1" customWidth="1"/>
    <col min="5945" max="5945" width="10.42578125" style="1" customWidth="1"/>
    <col min="5946" max="5947" width="8.85546875" style="1" customWidth="1"/>
    <col min="5948" max="5948" width="9.7109375" style="1" customWidth="1"/>
    <col min="5949" max="5950" width="8.85546875" style="1" customWidth="1"/>
    <col min="5951" max="5951" width="9.28515625" style="1" customWidth="1"/>
    <col min="5952" max="5972" width="8.85546875" style="1" customWidth="1"/>
    <col min="5973" max="5973" width="9.85546875" style="1" customWidth="1"/>
    <col min="5974" max="5974" width="8.85546875" style="1" customWidth="1"/>
    <col min="5975" max="5975" width="10" style="1" customWidth="1"/>
    <col min="5976" max="5992" width="8.85546875" style="1" customWidth="1"/>
    <col min="5993" max="5993" width="9.42578125" style="1" customWidth="1"/>
    <col min="5994" max="5994" width="8.85546875" style="1" customWidth="1"/>
    <col min="5995" max="5995" width="12" style="1" customWidth="1"/>
    <col min="5996" max="5996" width="11.140625" style="1" customWidth="1"/>
    <col min="5997" max="5997" width="28.7109375" style="1" customWidth="1"/>
    <col min="5998" max="5998" width="5.85546875" style="1" customWidth="1"/>
    <col min="5999" max="6148" width="9.140625" style="1"/>
    <col min="6149" max="6149" width="3.42578125" style="1" customWidth="1"/>
    <col min="6150" max="6150" width="27.85546875" style="1" customWidth="1"/>
    <col min="6151" max="6151" width="11.85546875" style="1" customWidth="1"/>
    <col min="6152" max="6152" width="15.140625" style="1" customWidth="1"/>
    <col min="6153" max="6153" width="10.28515625" style="1" customWidth="1"/>
    <col min="6154" max="6155" width="9.7109375" style="1" customWidth="1"/>
    <col min="6156" max="6156" width="10.42578125" style="1" customWidth="1"/>
    <col min="6157" max="6157" width="10.42578125" style="1" bestFit="1" customWidth="1"/>
    <col min="6158" max="6158" width="16.28515625" style="1" customWidth="1"/>
    <col min="6159" max="6159" width="15.140625" style="1" customWidth="1"/>
    <col min="6160" max="6160" width="13.5703125" style="1" customWidth="1"/>
    <col min="6161" max="6161" width="10.5703125" style="1" customWidth="1"/>
    <col min="6162" max="6162" width="10.85546875" style="1" customWidth="1"/>
    <col min="6163" max="6163" width="18" style="1" customWidth="1"/>
    <col min="6164" max="6164" width="20.85546875" style="1" customWidth="1"/>
    <col min="6165" max="6165" width="13.5703125" style="1" customWidth="1"/>
    <col min="6166" max="6166" width="14.140625" style="1" customWidth="1"/>
    <col min="6167" max="6169" width="8.85546875" style="1" customWidth="1"/>
    <col min="6170" max="6170" width="9.28515625" style="1" customWidth="1"/>
    <col min="6171" max="6171" width="14" style="1" customWidth="1"/>
    <col min="6172" max="6173" width="8.85546875" style="1" customWidth="1"/>
    <col min="6174" max="6174" width="10.140625" style="1" customWidth="1"/>
    <col min="6175" max="6176" width="9.5703125" style="1" customWidth="1"/>
    <col min="6177" max="6177" width="9.85546875" style="1" customWidth="1"/>
    <col min="6178" max="6179" width="10.140625" style="1" customWidth="1"/>
    <col min="6180" max="6182" width="9.28515625" style="1" customWidth="1"/>
    <col min="6183" max="6183" width="9.85546875" style="1" customWidth="1"/>
    <col min="6184" max="6185" width="8.5703125" style="1" customWidth="1"/>
    <col min="6186" max="6188" width="8.85546875" style="1" customWidth="1"/>
    <col min="6189" max="6189" width="9.28515625" style="1" customWidth="1"/>
    <col min="6190" max="6191" width="8.85546875" style="1" customWidth="1"/>
    <col min="6192" max="6192" width="10" style="1" customWidth="1"/>
    <col min="6193" max="6194" width="8.85546875" style="1" customWidth="1"/>
    <col min="6195" max="6195" width="11" style="1" customWidth="1"/>
    <col min="6196" max="6197" width="9.5703125" style="1" customWidth="1"/>
    <col min="6198" max="6200" width="8.85546875" style="1" customWidth="1"/>
    <col min="6201" max="6201" width="10.42578125" style="1" customWidth="1"/>
    <col min="6202" max="6203" width="8.85546875" style="1" customWidth="1"/>
    <col min="6204" max="6204" width="9.7109375" style="1" customWidth="1"/>
    <col min="6205" max="6206" width="8.85546875" style="1" customWidth="1"/>
    <col min="6207" max="6207" width="9.28515625" style="1" customWidth="1"/>
    <col min="6208" max="6228" width="8.85546875" style="1" customWidth="1"/>
    <col min="6229" max="6229" width="9.85546875" style="1" customWidth="1"/>
    <col min="6230" max="6230" width="8.85546875" style="1" customWidth="1"/>
    <col min="6231" max="6231" width="10" style="1" customWidth="1"/>
    <col min="6232" max="6248" width="8.85546875" style="1" customWidth="1"/>
    <col min="6249" max="6249" width="9.42578125" style="1" customWidth="1"/>
    <col min="6250" max="6250" width="8.85546875" style="1" customWidth="1"/>
    <col min="6251" max="6251" width="12" style="1" customWidth="1"/>
    <col min="6252" max="6252" width="11.140625" style="1" customWidth="1"/>
    <col min="6253" max="6253" width="28.7109375" style="1" customWidth="1"/>
    <col min="6254" max="6254" width="5.85546875" style="1" customWidth="1"/>
    <col min="6255" max="6404" width="9.140625" style="1"/>
    <col min="6405" max="6405" width="3.42578125" style="1" customWidth="1"/>
    <col min="6406" max="6406" width="27.85546875" style="1" customWidth="1"/>
    <col min="6407" max="6407" width="11.85546875" style="1" customWidth="1"/>
    <col min="6408" max="6408" width="15.140625" style="1" customWidth="1"/>
    <col min="6409" max="6409" width="10.28515625" style="1" customWidth="1"/>
    <col min="6410" max="6411" width="9.7109375" style="1" customWidth="1"/>
    <col min="6412" max="6412" width="10.42578125" style="1" customWidth="1"/>
    <col min="6413" max="6413" width="10.42578125" style="1" bestFit="1" customWidth="1"/>
    <col min="6414" max="6414" width="16.28515625" style="1" customWidth="1"/>
    <col min="6415" max="6415" width="15.140625" style="1" customWidth="1"/>
    <col min="6416" max="6416" width="13.5703125" style="1" customWidth="1"/>
    <col min="6417" max="6417" width="10.5703125" style="1" customWidth="1"/>
    <col min="6418" max="6418" width="10.85546875" style="1" customWidth="1"/>
    <col min="6419" max="6419" width="18" style="1" customWidth="1"/>
    <col min="6420" max="6420" width="20.85546875" style="1" customWidth="1"/>
    <col min="6421" max="6421" width="13.5703125" style="1" customWidth="1"/>
    <col min="6422" max="6422" width="14.140625" style="1" customWidth="1"/>
    <col min="6423" max="6425" width="8.85546875" style="1" customWidth="1"/>
    <col min="6426" max="6426" width="9.28515625" style="1" customWidth="1"/>
    <col min="6427" max="6427" width="14" style="1" customWidth="1"/>
    <col min="6428" max="6429" width="8.85546875" style="1" customWidth="1"/>
    <col min="6430" max="6430" width="10.140625" style="1" customWidth="1"/>
    <col min="6431" max="6432" width="9.5703125" style="1" customWidth="1"/>
    <col min="6433" max="6433" width="9.85546875" style="1" customWidth="1"/>
    <col min="6434" max="6435" width="10.140625" style="1" customWidth="1"/>
    <col min="6436" max="6438" width="9.28515625" style="1" customWidth="1"/>
    <col min="6439" max="6439" width="9.85546875" style="1" customWidth="1"/>
    <col min="6440" max="6441" width="8.5703125" style="1" customWidth="1"/>
    <col min="6442" max="6444" width="8.85546875" style="1" customWidth="1"/>
    <col min="6445" max="6445" width="9.28515625" style="1" customWidth="1"/>
    <col min="6446" max="6447" width="8.85546875" style="1" customWidth="1"/>
    <col min="6448" max="6448" width="10" style="1" customWidth="1"/>
    <col min="6449" max="6450" width="8.85546875" style="1" customWidth="1"/>
    <col min="6451" max="6451" width="11" style="1" customWidth="1"/>
    <col min="6452" max="6453" width="9.5703125" style="1" customWidth="1"/>
    <col min="6454" max="6456" width="8.85546875" style="1" customWidth="1"/>
    <col min="6457" max="6457" width="10.42578125" style="1" customWidth="1"/>
    <col min="6458" max="6459" width="8.85546875" style="1" customWidth="1"/>
    <col min="6460" max="6460" width="9.7109375" style="1" customWidth="1"/>
    <col min="6461" max="6462" width="8.85546875" style="1" customWidth="1"/>
    <col min="6463" max="6463" width="9.28515625" style="1" customWidth="1"/>
    <col min="6464" max="6484" width="8.85546875" style="1" customWidth="1"/>
    <col min="6485" max="6485" width="9.85546875" style="1" customWidth="1"/>
    <col min="6486" max="6486" width="8.85546875" style="1" customWidth="1"/>
    <col min="6487" max="6487" width="10" style="1" customWidth="1"/>
    <col min="6488" max="6504" width="8.85546875" style="1" customWidth="1"/>
    <col min="6505" max="6505" width="9.42578125" style="1" customWidth="1"/>
    <col min="6506" max="6506" width="8.85546875" style="1" customWidth="1"/>
    <col min="6507" max="6507" width="12" style="1" customWidth="1"/>
    <col min="6508" max="6508" width="11.140625" style="1" customWidth="1"/>
    <col min="6509" max="6509" width="28.7109375" style="1" customWidth="1"/>
    <col min="6510" max="6510" width="5.85546875" style="1" customWidth="1"/>
    <col min="6511" max="6660" width="9.140625" style="1"/>
    <col min="6661" max="6661" width="3.42578125" style="1" customWidth="1"/>
    <col min="6662" max="6662" width="27.85546875" style="1" customWidth="1"/>
    <col min="6663" max="6663" width="11.85546875" style="1" customWidth="1"/>
    <col min="6664" max="6664" width="15.140625" style="1" customWidth="1"/>
    <col min="6665" max="6665" width="10.28515625" style="1" customWidth="1"/>
    <col min="6666" max="6667" width="9.7109375" style="1" customWidth="1"/>
    <col min="6668" max="6668" width="10.42578125" style="1" customWidth="1"/>
    <col min="6669" max="6669" width="10.42578125" style="1" bestFit="1" customWidth="1"/>
    <col min="6670" max="6670" width="16.28515625" style="1" customWidth="1"/>
    <col min="6671" max="6671" width="15.140625" style="1" customWidth="1"/>
    <col min="6672" max="6672" width="13.5703125" style="1" customWidth="1"/>
    <col min="6673" max="6673" width="10.5703125" style="1" customWidth="1"/>
    <col min="6674" max="6674" width="10.85546875" style="1" customWidth="1"/>
    <col min="6675" max="6675" width="18" style="1" customWidth="1"/>
    <col min="6676" max="6676" width="20.85546875" style="1" customWidth="1"/>
    <col min="6677" max="6677" width="13.5703125" style="1" customWidth="1"/>
    <col min="6678" max="6678" width="14.140625" style="1" customWidth="1"/>
    <col min="6679" max="6681" width="8.85546875" style="1" customWidth="1"/>
    <col min="6682" max="6682" width="9.28515625" style="1" customWidth="1"/>
    <col min="6683" max="6683" width="14" style="1" customWidth="1"/>
    <col min="6684" max="6685" width="8.85546875" style="1" customWidth="1"/>
    <col min="6686" max="6686" width="10.140625" style="1" customWidth="1"/>
    <col min="6687" max="6688" width="9.5703125" style="1" customWidth="1"/>
    <col min="6689" max="6689" width="9.85546875" style="1" customWidth="1"/>
    <col min="6690" max="6691" width="10.140625" style="1" customWidth="1"/>
    <col min="6692" max="6694" width="9.28515625" style="1" customWidth="1"/>
    <col min="6695" max="6695" width="9.85546875" style="1" customWidth="1"/>
    <col min="6696" max="6697" width="8.5703125" style="1" customWidth="1"/>
    <col min="6698" max="6700" width="8.85546875" style="1" customWidth="1"/>
    <col min="6701" max="6701" width="9.28515625" style="1" customWidth="1"/>
    <col min="6702" max="6703" width="8.85546875" style="1" customWidth="1"/>
    <col min="6704" max="6704" width="10" style="1" customWidth="1"/>
    <col min="6705" max="6706" width="8.85546875" style="1" customWidth="1"/>
    <col min="6707" max="6707" width="11" style="1" customWidth="1"/>
    <col min="6708" max="6709" width="9.5703125" style="1" customWidth="1"/>
    <col min="6710" max="6712" width="8.85546875" style="1" customWidth="1"/>
    <col min="6713" max="6713" width="10.42578125" style="1" customWidth="1"/>
    <col min="6714" max="6715" width="8.85546875" style="1" customWidth="1"/>
    <col min="6716" max="6716" width="9.7109375" style="1" customWidth="1"/>
    <col min="6717" max="6718" width="8.85546875" style="1" customWidth="1"/>
    <col min="6719" max="6719" width="9.28515625" style="1" customWidth="1"/>
    <col min="6720" max="6740" width="8.85546875" style="1" customWidth="1"/>
    <col min="6741" max="6741" width="9.85546875" style="1" customWidth="1"/>
    <col min="6742" max="6742" width="8.85546875" style="1" customWidth="1"/>
    <col min="6743" max="6743" width="10" style="1" customWidth="1"/>
    <col min="6744" max="6760" width="8.85546875" style="1" customWidth="1"/>
    <col min="6761" max="6761" width="9.42578125" style="1" customWidth="1"/>
    <col min="6762" max="6762" width="8.85546875" style="1" customWidth="1"/>
    <col min="6763" max="6763" width="12" style="1" customWidth="1"/>
    <col min="6764" max="6764" width="11.140625" style="1" customWidth="1"/>
    <col min="6765" max="6765" width="28.7109375" style="1" customWidth="1"/>
    <col min="6766" max="6766" width="5.85546875" style="1" customWidth="1"/>
    <col min="6767" max="6916" width="9.140625" style="1"/>
    <col min="6917" max="6917" width="3.42578125" style="1" customWidth="1"/>
    <col min="6918" max="6918" width="27.85546875" style="1" customWidth="1"/>
    <col min="6919" max="6919" width="11.85546875" style="1" customWidth="1"/>
    <col min="6920" max="6920" width="15.140625" style="1" customWidth="1"/>
    <col min="6921" max="6921" width="10.28515625" style="1" customWidth="1"/>
    <col min="6922" max="6923" width="9.7109375" style="1" customWidth="1"/>
    <col min="6924" max="6924" width="10.42578125" style="1" customWidth="1"/>
    <col min="6925" max="6925" width="10.42578125" style="1" bestFit="1" customWidth="1"/>
    <col min="6926" max="6926" width="16.28515625" style="1" customWidth="1"/>
    <col min="6927" max="6927" width="15.140625" style="1" customWidth="1"/>
    <col min="6928" max="6928" width="13.5703125" style="1" customWidth="1"/>
    <col min="6929" max="6929" width="10.5703125" style="1" customWidth="1"/>
    <col min="6930" max="6930" width="10.85546875" style="1" customWidth="1"/>
    <col min="6931" max="6931" width="18" style="1" customWidth="1"/>
    <col min="6932" max="6932" width="20.85546875" style="1" customWidth="1"/>
    <col min="6933" max="6933" width="13.5703125" style="1" customWidth="1"/>
    <col min="6934" max="6934" width="14.140625" style="1" customWidth="1"/>
    <col min="6935" max="6937" width="8.85546875" style="1" customWidth="1"/>
    <col min="6938" max="6938" width="9.28515625" style="1" customWidth="1"/>
    <col min="6939" max="6939" width="14" style="1" customWidth="1"/>
    <col min="6940" max="6941" width="8.85546875" style="1" customWidth="1"/>
    <col min="6942" max="6942" width="10.140625" style="1" customWidth="1"/>
    <col min="6943" max="6944" width="9.5703125" style="1" customWidth="1"/>
    <col min="6945" max="6945" width="9.85546875" style="1" customWidth="1"/>
    <col min="6946" max="6947" width="10.140625" style="1" customWidth="1"/>
    <col min="6948" max="6950" width="9.28515625" style="1" customWidth="1"/>
    <col min="6951" max="6951" width="9.85546875" style="1" customWidth="1"/>
    <col min="6952" max="6953" width="8.5703125" style="1" customWidth="1"/>
    <col min="6954" max="6956" width="8.85546875" style="1" customWidth="1"/>
    <col min="6957" max="6957" width="9.28515625" style="1" customWidth="1"/>
    <col min="6958" max="6959" width="8.85546875" style="1" customWidth="1"/>
    <col min="6960" max="6960" width="10" style="1" customWidth="1"/>
    <col min="6961" max="6962" width="8.85546875" style="1" customWidth="1"/>
    <col min="6963" max="6963" width="11" style="1" customWidth="1"/>
    <col min="6964" max="6965" width="9.5703125" style="1" customWidth="1"/>
    <col min="6966" max="6968" width="8.85546875" style="1" customWidth="1"/>
    <col min="6969" max="6969" width="10.42578125" style="1" customWidth="1"/>
    <col min="6970" max="6971" width="8.85546875" style="1" customWidth="1"/>
    <col min="6972" max="6972" width="9.7109375" style="1" customWidth="1"/>
    <col min="6973" max="6974" width="8.85546875" style="1" customWidth="1"/>
    <col min="6975" max="6975" width="9.28515625" style="1" customWidth="1"/>
    <col min="6976" max="6996" width="8.85546875" style="1" customWidth="1"/>
    <col min="6997" max="6997" width="9.85546875" style="1" customWidth="1"/>
    <col min="6998" max="6998" width="8.85546875" style="1" customWidth="1"/>
    <col min="6999" max="6999" width="10" style="1" customWidth="1"/>
    <col min="7000" max="7016" width="8.85546875" style="1" customWidth="1"/>
    <col min="7017" max="7017" width="9.42578125" style="1" customWidth="1"/>
    <col min="7018" max="7018" width="8.85546875" style="1" customWidth="1"/>
    <col min="7019" max="7019" width="12" style="1" customWidth="1"/>
    <col min="7020" max="7020" width="11.140625" style="1" customWidth="1"/>
    <col min="7021" max="7021" width="28.7109375" style="1" customWidth="1"/>
    <col min="7022" max="7022" width="5.85546875" style="1" customWidth="1"/>
    <col min="7023" max="7172" width="9.140625" style="1"/>
    <col min="7173" max="7173" width="3.42578125" style="1" customWidth="1"/>
    <col min="7174" max="7174" width="27.85546875" style="1" customWidth="1"/>
    <col min="7175" max="7175" width="11.85546875" style="1" customWidth="1"/>
    <col min="7176" max="7176" width="15.140625" style="1" customWidth="1"/>
    <col min="7177" max="7177" width="10.28515625" style="1" customWidth="1"/>
    <col min="7178" max="7179" width="9.7109375" style="1" customWidth="1"/>
    <col min="7180" max="7180" width="10.42578125" style="1" customWidth="1"/>
    <col min="7181" max="7181" width="10.42578125" style="1" bestFit="1" customWidth="1"/>
    <col min="7182" max="7182" width="16.28515625" style="1" customWidth="1"/>
    <col min="7183" max="7183" width="15.140625" style="1" customWidth="1"/>
    <col min="7184" max="7184" width="13.5703125" style="1" customWidth="1"/>
    <col min="7185" max="7185" width="10.5703125" style="1" customWidth="1"/>
    <col min="7186" max="7186" width="10.85546875" style="1" customWidth="1"/>
    <col min="7187" max="7187" width="18" style="1" customWidth="1"/>
    <col min="7188" max="7188" width="20.85546875" style="1" customWidth="1"/>
    <col min="7189" max="7189" width="13.5703125" style="1" customWidth="1"/>
    <col min="7190" max="7190" width="14.140625" style="1" customWidth="1"/>
    <col min="7191" max="7193" width="8.85546875" style="1" customWidth="1"/>
    <col min="7194" max="7194" width="9.28515625" style="1" customWidth="1"/>
    <col min="7195" max="7195" width="14" style="1" customWidth="1"/>
    <col min="7196" max="7197" width="8.85546875" style="1" customWidth="1"/>
    <col min="7198" max="7198" width="10.140625" style="1" customWidth="1"/>
    <col min="7199" max="7200" width="9.5703125" style="1" customWidth="1"/>
    <col min="7201" max="7201" width="9.85546875" style="1" customWidth="1"/>
    <col min="7202" max="7203" width="10.140625" style="1" customWidth="1"/>
    <col min="7204" max="7206" width="9.28515625" style="1" customWidth="1"/>
    <col min="7207" max="7207" width="9.85546875" style="1" customWidth="1"/>
    <col min="7208" max="7209" width="8.5703125" style="1" customWidth="1"/>
    <col min="7210" max="7212" width="8.85546875" style="1" customWidth="1"/>
    <col min="7213" max="7213" width="9.28515625" style="1" customWidth="1"/>
    <col min="7214" max="7215" width="8.85546875" style="1" customWidth="1"/>
    <col min="7216" max="7216" width="10" style="1" customWidth="1"/>
    <col min="7217" max="7218" width="8.85546875" style="1" customWidth="1"/>
    <col min="7219" max="7219" width="11" style="1" customWidth="1"/>
    <col min="7220" max="7221" width="9.5703125" style="1" customWidth="1"/>
    <col min="7222" max="7224" width="8.85546875" style="1" customWidth="1"/>
    <col min="7225" max="7225" width="10.42578125" style="1" customWidth="1"/>
    <col min="7226" max="7227" width="8.85546875" style="1" customWidth="1"/>
    <col min="7228" max="7228" width="9.7109375" style="1" customWidth="1"/>
    <col min="7229" max="7230" width="8.85546875" style="1" customWidth="1"/>
    <col min="7231" max="7231" width="9.28515625" style="1" customWidth="1"/>
    <col min="7232" max="7252" width="8.85546875" style="1" customWidth="1"/>
    <col min="7253" max="7253" width="9.85546875" style="1" customWidth="1"/>
    <col min="7254" max="7254" width="8.85546875" style="1" customWidth="1"/>
    <col min="7255" max="7255" width="10" style="1" customWidth="1"/>
    <col min="7256" max="7272" width="8.85546875" style="1" customWidth="1"/>
    <col min="7273" max="7273" width="9.42578125" style="1" customWidth="1"/>
    <col min="7274" max="7274" width="8.85546875" style="1" customWidth="1"/>
    <col min="7275" max="7275" width="12" style="1" customWidth="1"/>
    <col min="7276" max="7276" width="11.140625" style="1" customWidth="1"/>
    <col min="7277" max="7277" width="28.7109375" style="1" customWidth="1"/>
    <col min="7278" max="7278" width="5.85546875" style="1" customWidth="1"/>
    <col min="7279" max="7428" width="9.140625" style="1"/>
    <col min="7429" max="7429" width="3.42578125" style="1" customWidth="1"/>
    <col min="7430" max="7430" width="27.85546875" style="1" customWidth="1"/>
    <col min="7431" max="7431" width="11.85546875" style="1" customWidth="1"/>
    <col min="7432" max="7432" width="15.140625" style="1" customWidth="1"/>
    <col min="7433" max="7433" width="10.28515625" style="1" customWidth="1"/>
    <col min="7434" max="7435" width="9.7109375" style="1" customWidth="1"/>
    <col min="7436" max="7436" width="10.42578125" style="1" customWidth="1"/>
    <col min="7437" max="7437" width="10.42578125" style="1" bestFit="1" customWidth="1"/>
    <col min="7438" max="7438" width="16.28515625" style="1" customWidth="1"/>
    <col min="7439" max="7439" width="15.140625" style="1" customWidth="1"/>
    <col min="7440" max="7440" width="13.5703125" style="1" customWidth="1"/>
    <col min="7441" max="7441" width="10.5703125" style="1" customWidth="1"/>
    <col min="7442" max="7442" width="10.85546875" style="1" customWidth="1"/>
    <col min="7443" max="7443" width="18" style="1" customWidth="1"/>
    <col min="7444" max="7444" width="20.85546875" style="1" customWidth="1"/>
    <col min="7445" max="7445" width="13.5703125" style="1" customWidth="1"/>
    <col min="7446" max="7446" width="14.140625" style="1" customWidth="1"/>
    <col min="7447" max="7449" width="8.85546875" style="1" customWidth="1"/>
    <col min="7450" max="7450" width="9.28515625" style="1" customWidth="1"/>
    <col min="7451" max="7451" width="14" style="1" customWidth="1"/>
    <col min="7452" max="7453" width="8.85546875" style="1" customWidth="1"/>
    <col min="7454" max="7454" width="10.140625" style="1" customWidth="1"/>
    <col min="7455" max="7456" width="9.5703125" style="1" customWidth="1"/>
    <col min="7457" max="7457" width="9.85546875" style="1" customWidth="1"/>
    <col min="7458" max="7459" width="10.140625" style="1" customWidth="1"/>
    <col min="7460" max="7462" width="9.28515625" style="1" customWidth="1"/>
    <col min="7463" max="7463" width="9.85546875" style="1" customWidth="1"/>
    <col min="7464" max="7465" width="8.5703125" style="1" customWidth="1"/>
    <col min="7466" max="7468" width="8.85546875" style="1" customWidth="1"/>
    <col min="7469" max="7469" width="9.28515625" style="1" customWidth="1"/>
    <col min="7470" max="7471" width="8.85546875" style="1" customWidth="1"/>
    <col min="7472" max="7472" width="10" style="1" customWidth="1"/>
    <col min="7473" max="7474" width="8.85546875" style="1" customWidth="1"/>
    <col min="7475" max="7475" width="11" style="1" customWidth="1"/>
    <col min="7476" max="7477" width="9.5703125" style="1" customWidth="1"/>
    <col min="7478" max="7480" width="8.85546875" style="1" customWidth="1"/>
    <col min="7481" max="7481" width="10.42578125" style="1" customWidth="1"/>
    <col min="7482" max="7483" width="8.85546875" style="1" customWidth="1"/>
    <col min="7484" max="7484" width="9.7109375" style="1" customWidth="1"/>
    <col min="7485" max="7486" width="8.85546875" style="1" customWidth="1"/>
    <col min="7487" max="7487" width="9.28515625" style="1" customWidth="1"/>
    <col min="7488" max="7508" width="8.85546875" style="1" customWidth="1"/>
    <col min="7509" max="7509" width="9.85546875" style="1" customWidth="1"/>
    <col min="7510" max="7510" width="8.85546875" style="1" customWidth="1"/>
    <col min="7511" max="7511" width="10" style="1" customWidth="1"/>
    <col min="7512" max="7528" width="8.85546875" style="1" customWidth="1"/>
    <col min="7529" max="7529" width="9.42578125" style="1" customWidth="1"/>
    <col min="7530" max="7530" width="8.85546875" style="1" customWidth="1"/>
    <col min="7531" max="7531" width="12" style="1" customWidth="1"/>
    <col min="7532" max="7532" width="11.140625" style="1" customWidth="1"/>
    <col min="7533" max="7533" width="28.7109375" style="1" customWidth="1"/>
    <col min="7534" max="7534" width="5.85546875" style="1" customWidth="1"/>
    <col min="7535" max="7684" width="9.140625" style="1"/>
    <col min="7685" max="7685" width="3.42578125" style="1" customWidth="1"/>
    <col min="7686" max="7686" width="27.85546875" style="1" customWidth="1"/>
    <col min="7687" max="7687" width="11.85546875" style="1" customWidth="1"/>
    <col min="7688" max="7688" width="15.140625" style="1" customWidth="1"/>
    <col min="7689" max="7689" width="10.28515625" style="1" customWidth="1"/>
    <col min="7690" max="7691" width="9.7109375" style="1" customWidth="1"/>
    <col min="7692" max="7692" width="10.42578125" style="1" customWidth="1"/>
    <col min="7693" max="7693" width="10.42578125" style="1" bestFit="1" customWidth="1"/>
    <col min="7694" max="7694" width="16.28515625" style="1" customWidth="1"/>
    <col min="7695" max="7695" width="15.140625" style="1" customWidth="1"/>
    <col min="7696" max="7696" width="13.5703125" style="1" customWidth="1"/>
    <col min="7697" max="7697" width="10.5703125" style="1" customWidth="1"/>
    <col min="7698" max="7698" width="10.85546875" style="1" customWidth="1"/>
    <col min="7699" max="7699" width="18" style="1" customWidth="1"/>
    <col min="7700" max="7700" width="20.85546875" style="1" customWidth="1"/>
    <col min="7701" max="7701" width="13.5703125" style="1" customWidth="1"/>
    <col min="7702" max="7702" width="14.140625" style="1" customWidth="1"/>
    <col min="7703" max="7705" width="8.85546875" style="1" customWidth="1"/>
    <col min="7706" max="7706" width="9.28515625" style="1" customWidth="1"/>
    <col min="7707" max="7707" width="14" style="1" customWidth="1"/>
    <col min="7708" max="7709" width="8.85546875" style="1" customWidth="1"/>
    <col min="7710" max="7710" width="10.140625" style="1" customWidth="1"/>
    <col min="7711" max="7712" width="9.5703125" style="1" customWidth="1"/>
    <col min="7713" max="7713" width="9.85546875" style="1" customWidth="1"/>
    <col min="7714" max="7715" width="10.140625" style="1" customWidth="1"/>
    <col min="7716" max="7718" width="9.28515625" style="1" customWidth="1"/>
    <col min="7719" max="7719" width="9.85546875" style="1" customWidth="1"/>
    <col min="7720" max="7721" width="8.5703125" style="1" customWidth="1"/>
    <col min="7722" max="7724" width="8.85546875" style="1" customWidth="1"/>
    <col min="7725" max="7725" width="9.28515625" style="1" customWidth="1"/>
    <col min="7726" max="7727" width="8.85546875" style="1" customWidth="1"/>
    <col min="7728" max="7728" width="10" style="1" customWidth="1"/>
    <col min="7729" max="7730" width="8.85546875" style="1" customWidth="1"/>
    <col min="7731" max="7731" width="11" style="1" customWidth="1"/>
    <col min="7732" max="7733" width="9.5703125" style="1" customWidth="1"/>
    <col min="7734" max="7736" width="8.85546875" style="1" customWidth="1"/>
    <col min="7737" max="7737" width="10.42578125" style="1" customWidth="1"/>
    <col min="7738" max="7739" width="8.85546875" style="1" customWidth="1"/>
    <col min="7740" max="7740" width="9.7109375" style="1" customWidth="1"/>
    <col min="7741" max="7742" width="8.85546875" style="1" customWidth="1"/>
    <col min="7743" max="7743" width="9.28515625" style="1" customWidth="1"/>
    <col min="7744" max="7764" width="8.85546875" style="1" customWidth="1"/>
    <col min="7765" max="7765" width="9.85546875" style="1" customWidth="1"/>
    <col min="7766" max="7766" width="8.85546875" style="1" customWidth="1"/>
    <col min="7767" max="7767" width="10" style="1" customWidth="1"/>
    <col min="7768" max="7784" width="8.85546875" style="1" customWidth="1"/>
    <col min="7785" max="7785" width="9.42578125" style="1" customWidth="1"/>
    <col min="7786" max="7786" width="8.85546875" style="1" customWidth="1"/>
    <col min="7787" max="7787" width="12" style="1" customWidth="1"/>
    <col min="7788" max="7788" width="11.140625" style="1" customWidth="1"/>
    <col min="7789" max="7789" width="28.7109375" style="1" customWidth="1"/>
    <col min="7790" max="7790" width="5.85546875" style="1" customWidth="1"/>
    <col min="7791" max="7940" width="9.140625" style="1"/>
    <col min="7941" max="7941" width="3.42578125" style="1" customWidth="1"/>
    <col min="7942" max="7942" width="27.85546875" style="1" customWidth="1"/>
    <col min="7943" max="7943" width="11.85546875" style="1" customWidth="1"/>
    <col min="7944" max="7944" width="15.140625" style="1" customWidth="1"/>
    <col min="7945" max="7945" width="10.28515625" style="1" customWidth="1"/>
    <col min="7946" max="7947" width="9.7109375" style="1" customWidth="1"/>
    <col min="7948" max="7948" width="10.42578125" style="1" customWidth="1"/>
    <col min="7949" max="7949" width="10.42578125" style="1" bestFit="1" customWidth="1"/>
    <col min="7950" max="7950" width="16.28515625" style="1" customWidth="1"/>
    <col min="7951" max="7951" width="15.140625" style="1" customWidth="1"/>
    <col min="7952" max="7952" width="13.5703125" style="1" customWidth="1"/>
    <col min="7953" max="7953" width="10.5703125" style="1" customWidth="1"/>
    <col min="7954" max="7954" width="10.85546875" style="1" customWidth="1"/>
    <col min="7955" max="7955" width="18" style="1" customWidth="1"/>
    <col min="7956" max="7956" width="20.85546875" style="1" customWidth="1"/>
    <col min="7957" max="7957" width="13.5703125" style="1" customWidth="1"/>
    <col min="7958" max="7958" width="14.140625" style="1" customWidth="1"/>
    <col min="7959" max="7961" width="8.85546875" style="1" customWidth="1"/>
    <col min="7962" max="7962" width="9.28515625" style="1" customWidth="1"/>
    <col min="7963" max="7963" width="14" style="1" customWidth="1"/>
    <col min="7964" max="7965" width="8.85546875" style="1" customWidth="1"/>
    <col min="7966" max="7966" width="10.140625" style="1" customWidth="1"/>
    <col min="7967" max="7968" width="9.5703125" style="1" customWidth="1"/>
    <col min="7969" max="7969" width="9.85546875" style="1" customWidth="1"/>
    <col min="7970" max="7971" width="10.140625" style="1" customWidth="1"/>
    <col min="7972" max="7974" width="9.28515625" style="1" customWidth="1"/>
    <col min="7975" max="7975" width="9.85546875" style="1" customWidth="1"/>
    <col min="7976" max="7977" width="8.5703125" style="1" customWidth="1"/>
    <col min="7978" max="7980" width="8.85546875" style="1" customWidth="1"/>
    <col min="7981" max="7981" width="9.28515625" style="1" customWidth="1"/>
    <col min="7982" max="7983" width="8.85546875" style="1" customWidth="1"/>
    <col min="7984" max="7984" width="10" style="1" customWidth="1"/>
    <col min="7985" max="7986" width="8.85546875" style="1" customWidth="1"/>
    <col min="7987" max="7987" width="11" style="1" customWidth="1"/>
    <col min="7988" max="7989" width="9.5703125" style="1" customWidth="1"/>
    <col min="7990" max="7992" width="8.85546875" style="1" customWidth="1"/>
    <col min="7993" max="7993" width="10.42578125" style="1" customWidth="1"/>
    <col min="7994" max="7995" width="8.85546875" style="1" customWidth="1"/>
    <col min="7996" max="7996" width="9.7109375" style="1" customWidth="1"/>
    <col min="7997" max="7998" width="8.85546875" style="1" customWidth="1"/>
    <col min="7999" max="7999" width="9.28515625" style="1" customWidth="1"/>
    <col min="8000" max="8020" width="8.85546875" style="1" customWidth="1"/>
    <col min="8021" max="8021" width="9.85546875" style="1" customWidth="1"/>
    <col min="8022" max="8022" width="8.85546875" style="1" customWidth="1"/>
    <col min="8023" max="8023" width="10" style="1" customWidth="1"/>
    <col min="8024" max="8040" width="8.85546875" style="1" customWidth="1"/>
    <col min="8041" max="8041" width="9.42578125" style="1" customWidth="1"/>
    <col min="8042" max="8042" width="8.85546875" style="1" customWidth="1"/>
    <col min="8043" max="8043" width="12" style="1" customWidth="1"/>
    <col min="8044" max="8044" width="11.140625" style="1" customWidth="1"/>
    <col min="8045" max="8045" width="28.7109375" style="1" customWidth="1"/>
    <col min="8046" max="8046" width="5.85546875" style="1" customWidth="1"/>
    <col min="8047" max="8196" width="9.140625" style="1"/>
    <col min="8197" max="8197" width="3.42578125" style="1" customWidth="1"/>
    <col min="8198" max="8198" width="27.85546875" style="1" customWidth="1"/>
    <col min="8199" max="8199" width="11.85546875" style="1" customWidth="1"/>
    <col min="8200" max="8200" width="15.140625" style="1" customWidth="1"/>
    <col min="8201" max="8201" width="10.28515625" style="1" customWidth="1"/>
    <col min="8202" max="8203" width="9.7109375" style="1" customWidth="1"/>
    <col min="8204" max="8204" width="10.42578125" style="1" customWidth="1"/>
    <col min="8205" max="8205" width="10.42578125" style="1" bestFit="1" customWidth="1"/>
    <col min="8206" max="8206" width="16.28515625" style="1" customWidth="1"/>
    <col min="8207" max="8207" width="15.140625" style="1" customWidth="1"/>
    <col min="8208" max="8208" width="13.5703125" style="1" customWidth="1"/>
    <col min="8209" max="8209" width="10.5703125" style="1" customWidth="1"/>
    <col min="8210" max="8210" width="10.85546875" style="1" customWidth="1"/>
    <col min="8211" max="8211" width="18" style="1" customWidth="1"/>
    <col min="8212" max="8212" width="20.85546875" style="1" customWidth="1"/>
    <col min="8213" max="8213" width="13.5703125" style="1" customWidth="1"/>
    <col min="8214" max="8214" width="14.140625" style="1" customWidth="1"/>
    <col min="8215" max="8217" width="8.85546875" style="1" customWidth="1"/>
    <col min="8218" max="8218" width="9.28515625" style="1" customWidth="1"/>
    <col min="8219" max="8219" width="14" style="1" customWidth="1"/>
    <col min="8220" max="8221" width="8.85546875" style="1" customWidth="1"/>
    <col min="8222" max="8222" width="10.140625" style="1" customWidth="1"/>
    <col min="8223" max="8224" width="9.5703125" style="1" customWidth="1"/>
    <col min="8225" max="8225" width="9.85546875" style="1" customWidth="1"/>
    <col min="8226" max="8227" width="10.140625" style="1" customWidth="1"/>
    <col min="8228" max="8230" width="9.28515625" style="1" customWidth="1"/>
    <col min="8231" max="8231" width="9.85546875" style="1" customWidth="1"/>
    <col min="8232" max="8233" width="8.5703125" style="1" customWidth="1"/>
    <col min="8234" max="8236" width="8.85546875" style="1" customWidth="1"/>
    <col min="8237" max="8237" width="9.28515625" style="1" customWidth="1"/>
    <col min="8238" max="8239" width="8.85546875" style="1" customWidth="1"/>
    <col min="8240" max="8240" width="10" style="1" customWidth="1"/>
    <col min="8241" max="8242" width="8.85546875" style="1" customWidth="1"/>
    <col min="8243" max="8243" width="11" style="1" customWidth="1"/>
    <col min="8244" max="8245" width="9.5703125" style="1" customWidth="1"/>
    <col min="8246" max="8248" width="8.85546875" style="1" customWidth="1"/>
    <col min="8249" max="8249" width="10.42578125" style="1" customWidth="1"/>
    <col min="8250" max="8251" width="8.85546875" style="1" customWidth="1"/>
    <col min="8252" max="8252" width="9.7109375" style="1" customWidth="1"/>
    <col min="8253" max="8254" width="8.85546875" style="1" customWidth="1"/>
    <col min="8255" max="8255" width="9.28515625" style="1" customWidth="1"/>
    <col min="8256" max="8276" width="8.85546875" style="1" customWidth="1"/>
    <col min="8277" max="8277" width="9.85546875" style="1" customWidth="1"/>
    <col min="8278" max="8278" width="8.85546875" style="1" customWidth="1"/>
    <col min="8279" max="8279" width="10" style="1" customWidth="1"/>
    <col min="8280" max="8296" width="8.85546875" style="1" customWidth="1"/>
    <col min="8297" max="8297" width="9.42578125" style="1" customWidth="1"/>
    <col min="8298" max="8298" width="8.85546875" style="1" customWidth="1"/>
    <col min="8299" max="8299" width="12" style="1" customWidth="1"/>
    <col min="8300" max="8300" width="11.140625" style="1" customWidth="1"/>
    <col min="8301" max="8301" width="28.7109375" style="1" customWidth="1"/>
    <col min="8302" max="8302" width="5.85546875" style="1" customWidth="1"/>
    <col min="8303" max="8452" width="9.140625" style="1"/>
    <col min="8453" max="8453" width="3.42578125" style="1" customWidth="1"/>
    <col min="8454" max="8454" width="27.85546875" style="1" customWidth="1"/>
    <col min="8455" max="8455" width="11.85546875" style="1" customWidth="1"/>
    <col min="8456" max="8456" width="15.140625" style="1" customWidth="1"/>
    <col min="8457" max="8457" width="10.28515625" style="1" customWidth="1"/>
    <col min="8458" max="8459" width="9.7109375" style="1" customWidth="1"/>
    <col min="8460" max="8460" width="10.42578125" style="1" customWidth="1"/>
    <col min="8461" max="8461" width="10.42578125" style="1" bestFit="1" customWidth="1"/>
    <col min="8462" max="8462" width="16.28515625" style="1" customWidth="1"/>
    <col min="8463" max="8463" width="15.140625" style="1" customWidth="1"/>
    <col min="8464" max="8464" width="13.5703125" style="1" customWidth="1"/>
    <col min="8465" max="8465" width="10.5703125" style="1" customWidth="1"/>
    <col min="8466" max="8466" width="10.85546875" style="1" customWidth="1"/>
    <col min="8467" max="8467" width="18" style="1" customWidth="1"/>
    <col min="8468" max="8468" width="20.85546875" style="1" customWidth="1"/>
    <col min="8469" max="8469" width="13.5703125" style="1" customWidth="1"/>
    <col min="8470" max="8470" width="14.140625" style="1" customWidth="1"/>
    <col min="8471" max="8473" width="8.85546875" style="1" customWidth="1"/>
    <col min="8474" max="8474" width="9.28515625" style="1" customWidth="1"/>
    <col min="8475" max="8475" width="14" style="1" customWidth="1"/>
    <col min="8476" max="8477" width="8.85546875" style="1" customWidth="1"/>
    <col min="8478" max="8478" width="10.140625" style="1" customWidth="1"/>
    <col min="8479" max="8480" width="9.5703125" style="1" customWidth="1"/>
    <col min="8481" max="8481" width="9.85546875" style="1" customWidth="1"/>
    <col min="8482" max="8483" width="10.140625" style="1" customWidth="1"/>
    <col min="8484" max="8486" width="9.28515625" style="1" customWidth="1"/>
    <col min="8487" max="8487" width="9.85546875" style="1" customWidth="1"/>
    <col min="8488" max="8489" width="8.5703125" style="1" customWidth="1"/>
    <col min="8490" max="8492" width="8.85546875" style="1" customWidth="1"/>
    <col min="8493" max="8493" width="9.28515625" style="1" customWidth="1"/>
    <col min="8494" max="8495" width="8.85546875" style="1" customWidth="1"/>
    <col min="8496" max="8496" width="10" style="1" customWidth="1"/>
    <col min="8497" max="8498" width="8.85546875" style="1" customWidth="1"/>
    <col min="8499" max="8499" width="11" style="1" customWidth="1"/>
    <col min="8500" max="8501" width="9.5703125" style="1" customWidth="1"/>
    <col min="8502" max="8504" width="8.85546875" style="1" customWidth="1"/>
    <col min="8505" max="8505" width="10.42578125" style="1" customWidth="1"/>
    <col min="8506" max="8507" width="8.85546875" style="1" customWidth="1"/>
    <col min="8508" max="8508" width="9.7109375" style="1" customWidth="1"/>
    <col min="8509" max="8510" width="8.85546875" style="1" customWidth="1"/>
    <col min="8511" max="8511" width="9.28515625" style="1" customWidth="1"/>
    <col min="8512" max="8532" width="8.85546875" style="1" customWidth="1"/>
    <col min="8533" max="8533" width="9.85546875" style="1" customWidth="1"/>
    <col min="8534" max="8534" width="8.85546875" style="1" customWidth="1"/>
    <col min="8535" max="8535" width="10" style="1" customWidth="1"/>
    <col min="8536" max="8552" width="8.85546875" style="1" customWidth="1"/>
    <col min="8553" max="8553" width="9.42578125" style="1" customWidth="1"/>
    <col min="8554" max="8554" width="8.85546875" style="1" customWidth="1"/>
    <col min="8555" max="8555" width="12" style="1" customWidth="1"/>
    <col min="8556" max="8556" width="11.140625" style="1" customWidth="1"/>
    <col min="8557" max="8557" width="28.7109375" style="1" customWidth="1"/>
    <col min="8558" max="8558" width="5.85546875" style="1" customWidth="1"/>
    <col min="8559" max="8708" width="9.140625" style="1"/>
    <col min="8709" max="8709" width="3.42578125" style="1" customWidth="1"/>
    <col min="8710" max="8710" width="27.85546875" style="1" customWidth="1"/>
    <col min="8711" max="8711" width="11.85546875" style="1" customWidth="1"/>
    <col min="8712" max="8712" width="15.140625" style="1" customWidth="1"/>
    <col min="8713" max="8713" width="10.28515625" style="1" customWidth="1"/>
    <col min="8714" max="8715" width="9.7109375" style="1" customWidth="1"/>
    <col min="8716" max="8716" width="10.42578125" style="1" customWidth="1"/>
    <col min="8717" max="8717" width="10.42578125" style="1" bestFit="1" customWidth="1"/>
    <col min="8718" max="8718" width="16.28515625" style="1" customWidth="1"/>
    <col min="8719" max="8719" width="15.140625" style="1" customWidth="1"/>
    <col min="8720" max="8720" width="13.5703125" style="1" customWidth="1"/>
    <col min="8721" max="8721" width="10.5703125" style="1" customWidth="1"/>
    <col min="8722" max="8722" width="10.85546875" style="1" customWidth="1"/>
    <col min="8723" max="8723" width="18" style="1" customWidth="1"/>
    <col min="8724" max="8724" width="20.85546875" style="1" customWidth="1"/>
    <col min="8725" max="8725" width="13.5703125" style="1" customWidth="1"/>
    <col min="8726" max="8726" width="14.140625" style="1" customWidth="1"/>
    <col min="8727" max="8729" width="8.85546875" style="1" customWidth="1"/>
    <col min="8730" max="8730" width="9.28515625" style="1" customWidth="1"/>
    <col min="8731" max="8731" width="14" style="1" customWidth="1"/>
    <col min="8732" max="8733" width="8.85546875" style="1" customWidth="1"/>
    <col min="8734" max="8734" width="10.140625" style="1" customWidth="1"/>
    <col min="8735" max="8736" width="9.5703125" style="1" customWidth="1"/>
    <col min="8737" max="8737" width="9.85546875" style="1" customWidth="1"/>
    <col min="8738" max="8739" width="10.140625" style="1" customWidth="1"/>
    <col min="8740" max="8742" width="9.28515625" style="1" customWidth="1"/>
    <col min="8743" max="8743" width="9.85546875" style="1" customWidth="1"/>
    <col min="8744" max="8745" width="8.5703125" style="1" customWidth="1"/>
    <col min="8746" max="8748" width="8.85546875" style="1" customWidth="1"/>
    <col min="8749" max="8749" width="9.28515625" style="1" customWidth="1"/>
    <col min="8750" max="8751" width="8.85546875" style="1" customWidth="1"/>
    <col min="8752" max="8752" width="10" style="1" customWidth="1"/>
    <col min="8753" max="8754" width="8.85546875" style="1" customWidth="1"/>
    <col min="8755" max="8755" width="11" style="1" customWidth="1"/>
    <col min="8756" max="8757" width="9.5703125" style="1" customWidth="1"/>
    <col min="8758" max="8760" width="8.85546875" style="1" customWidth="1"/>
    <col min="8761" max="8761" width="10.42578125" style="1" customWidth="1"/>
    <col min="8762" max="8763" width="8.85546875" style="1" customWidth="1"/>
    <col min="8764" max="8764" width="9.7109375" style="1" customWidth="1"/>
    <col min="8765" max="8766" width="8.85546875" style="1" customWidth="1"/>
    <col min="8767" max="8767" width="9.28515625" style="1" customWidth="1"/>
    <col min="8768" max="8788" width="8.85546875" style="1" customWidth="1"/>
    <col min="8789" max="8789" width="9.85546875" style="1" customWidth="1"/>
    <col min="8790" max="8790" width="8.85546875" style="1" customWidth="1"/>
    <col min="8791" max="8791" width="10" style="1" customWidth="1"/>
    <col min="8792" max="8808" width="8.85546875" style="1" customWidth="1"/>
    <col min="8809" max="8809" width="9.42578125" style="1" customWidth="1"/>
    <col min="8810" max="8810" width="8.85546875" style="1" customWidth="1"/>
    <col min="8811" max="8811" width="12" style="1" customWidth="1"/>
    <col min="8812" max="8812" width="11.140625" style="1" customWidth="1"/>
    <col min="8813" max="8813" width="28.7109375" style="1" customWidth="1"/>
    <col min="8814" max="8814" width="5.85546875" style="1" customWidth="1"/>
    <col min="8815" max="8964" width="9.140625" style="1"/>
    <col min="8965" max="8965" width="3.42578125" style="1" customWidth="1"/>
    <col min="8966" max="8966" width="27.85546875" style="1" customWidth="1"/>
    <col min="8967" max="8967" width="11.85546875" style="1" customWidth="1"/>
    <col min="8968" max="8968" width="15.140625" style="1" customWidth="1"/>
    <col min="8969" max="8969" width="10.28515625" style="1" customWidth="1"/>
    <col min="8970" max="8971" width="9.7109375" style="1" customWidth="1"/>
    <col min="8972" max="8972" width="10.42578125" style="1" customWidth="1"/>
    <col min="8973" max="8973" width="10.42578125" style="1" bestFit="1" customWidth="1"/>
    <col min="8974" max="8974" width="16.28515625" style="1" customWidth="1"/>
    <col min="8975" max="8975" width="15.140625" style="1" customWidth="1"/>
    <col min="8976" max="8976" width="13.5703125" style="1" customWidth="1"/>
    <col min="8977" max="8977" width="10.5703125" style="1" customWidth="1"/>
    <col min="8978" max="8978" width="10.85546875" style="1" customWidth="1"/>
    <col min="8979" max="8979" width="18" style="1" customWidth="1"/>
    <col min="8980" max="8980" width="20.85546875" style="1" customWidth="1"/>
    <col min="8981" max="8981" width="13.5703125" style="1" customWidth="1"/>
    <col min="8982" max="8982" width="14.140625" style="1" customWidth="1"/>
    <col min="8983" max="8985" width="8.85546875" style="1" customWidth="1"/>
    <col min="8986" max="8986" width="9.28515625" style="1" customWidth="1"/>
    <col min="8987" max="8987" width="14" style="1" customWidth="1"/>
    <col min="8988" max="8989" width="8.85546875" style="1" customWidth="1"/>
    <col min="8990" max="8990" width="10.140625" style="1" customWidth="1"/>
    <col min="8991" max="8992" width="9.5703125" style="1" customWidth="1"/>
    <col min="8993" max="8993" width="9.85546875" style="1" customWidth="1"/>
    <col min="8994" max="8995" width="10.140625" style="1" customWidth="1"/>
    <col min="8996" max="8998" width="9.28515625" style="1" customWidth="1"/>
    <col min="8999" max="8999" width="9.85546875" style="1" customWidth="1"/>
    <col min="9000" max="9001" width="8.5703125" style="1" customWidth="1"/>
    <col min="9002" max="9004" width="8.85546875" style="1" customWidth="1"/>
    <col min="9005" max="9005" width="9.28515625" style="1" customWidth="1"/>
    <col min="9006" max="9007" width="8.85546875" style="1" customWidth="1"/>
    <col min="9008" max="9008" width="10" style="1" customWidth="1"/>
    <col min="9009" max="9010" width="8.85546875" style="1" customWidth="1"/>
    <col min="9011" max="9011" width="11" style="1" customWidth="1"/>
    <col min="9012" max="9013" width="9.5703125" style="1" customWidth="1"/>
    <col min="9014" max="9016" width="8.85546875" style="1" customWidth="1"/>
    <col min="9017" max="9017" width="10.42578125" style="1" customWidth="1"/>
    <col min="9018" max="9019" width="8.85546875" style="1" customWidth="1"/>
    <col min="9020" max="9020" width="9.7109375" style="1" customWidth="1"/>
    <col min="9021" max="9022" width="8.85546875" style="1" customWidth="1"/>
    <col min="9023" max="9023" width="9.28515625" style="1" customWidth="1"/>
    <col min="9024" max="9044" width="8.85546875" style="1" customWidth="1"/>
    <col min="9045" max="9045" width="9.85546875" style="1" customWidth="1"/>
    <col min="9046" max="9046" width="8.85546875" style="1" customWidth="1"/>
    <col min="9047" max="9047" width="10" style="1" customWidth="1"/>
    <col min="9048" max="9064" width="8.85546875" style="1" customWidth="1"/>
    <col min="9065" max="9065" width="9.42578125" style="1" customWidth="1"/>
    <col min="9066" max="9066" width="8.85546875" style="1" customWidth="1"/>
    <col min="9067" max="9067" width="12" style="1" customWidth="1"/>
    <col min="9068" max="9068" width="11.140625" style="1" customWidth="1"/>
    <col min="9069" max="9069" width="28.7109375" style="1" customWidth="1"/>
    <col min="9070" max="9070" width="5.85546875" style="1" customWidth="1"/>
    <col min="9071" max="9220" width="9.140625" style="1"/>
    <col min="9221" max="9221" width="3.42578125" style="1" customWidth="1"/>
    <col min="9222" max="9222" width="27.85546875" style="1" customWidth="1"/>
    <col min="9223" max="9223" width="11.85546875" style="1" customWidth="1"/>
    <col min="9224" max="9224" width="15.140625" style="1" customWidth="1"/>
    <col min="9225" max="9225" width="10.28515625" style="1" customWidth="1"/>
    <col min="9226" max="9227" width="9.7109375" style="1" customWidth="1"/>
    <col min="9228" max="9228" width="10.42578125" style="1" customWidth="1"/>
    <col min="9229" max="9229" width="10.42578125" style="1" bestFit="1" customWidth="1"/>
    <col min="9230" max="9230" width="16.28515625" style="1" customWidth="1"/>
    <col min="9231" max="9231" width="15.140625" style="1" customWidth="1"/>
    <col min="9232" max="9232" width="13.5703125" style="1" customWidth="1"/>
    <col min="9233" max="9233" width="10.5703125" style="1" customWidth="1"/>
    <col min="9234" max="9234" width="10.85546875" style="1" customWidth="1"/>
    <col min="9235" max="9235" width="18" style="1" customWidth="1"/>
    <col min="9236" max="9236" width="20.85546875" style="1" customWidth="1"/>
    <col min="9237" max="9237" width="13.5703125" style="1" customWidth="1"/>
    <col min="9238" max="9238" width="14.140625" style="1" customWidth="1"/>
    <col min="9239" max="9241" width="8.85546875" style="1" customWidth="1"/>
    <col min="9242" max="9242" width="9.28515625" style="1" customWidth="1"/>
    <col min="9243" max="9243" width="14" style="1" customWidth="1"/>
    <col min="9244" max="9245" width="8.85546875" style="1" customWidth="1"/>
    <col min="9246" max="9246" width="10.140625" style="1" customWidth="1"/>
    <col min="9247" max="9248" width="9.5703125" style="1" customWidth="1"/>
    <col min="9249" max="9249" width="9.85546875" style="1" customWidth="1"/>
    <col min="9250" max="9251" width="10.140625" style="1" customWidth="1"/>
    <col min="9252" max="9254" width="9.28515625" style="1" customWidth="1"/>
    <col min="9255" max="9255" width="9.85546875" style="1" customWidth="1"/>
    <col min="9256" max="9257" width="8.5703125" style="1" customWidth="1"/>
    <col min="9258" max="9260" width="8.85546875" style="1" customWidth="1"/>
    <col min="9261" max="9261" width="9.28515625" style="1" customWidth="1"/>
    <col min="9262" max="9263" width="8.85546875" style="1" customWidth="1"/>
    <col min="9264" max="9264" width="10" style="1" customWidth="1"/>
    <col min="9265" max="9266" width="8.85546875" style="1" customWidth="1"/>
    <col min="9267" max="9267" width="11" style="1" customWidth="1"/>
    <col min="9268" max="9269" width="9.5703125" style="1" customWidth="1"/>
    <col min="9270" max="9272" width="8.85546875" style="1" customWidth="1"/>
    <col min="9273" max="9273" width="10.42578125" style="1" customWidth="1"/>
    <col min="9274" max="9275" width="8.85546875" style="1" customWidth="1"/>
    <col min="9276" max="9276" width="9.7109375" style="1" customWidth="1"/>
    <col min="9277" max="9278" width="8.85546875" style="1" customWidth="1"/>
    <col min="9279" max="9279" width="9.28515625" style="1" customWidth="1"/>
    <col min="9280" max="9300" width="8.85546875" style="1" customWidth="1"/>
    <col min="9301" max="9301" width="9.85546875" style="1" customWidth="1"/>
    <col min="9302" max="9302" width="8.85546875" style="1" customWidth="1"/>
    <col min="9303" max="9303" width="10" style="1" customWidth="1"/>
    <col min="9304" max="9320" width="8.85546875" style="1" customWidth="1"/>
    <col min="9321" max="9321" width="9.42578125" style="1" customWidth="1"/>
    <col min="9322" max="9322" width="8.85546875" style="1" customWidth="1"/>
    <col min="9323" max="9323" width="12" style="1" customWidth="1"/>
    <col min="9324" max="9324" width="11.140625" style="1" customWidth="1"/>
    <col min="9325" max="9325" width="28.7109375" style="1" customWidth="1"/>
    <col min="9326" max="9326" width="5.85546875" style="1" customWidth="1"/>
    <col min="9327" max="9476" width="9.140625" style="1"/>
    <col min="9477" max="9477" width="3.42578125" style="1" customWidth="1"/>
    <col min="9478" max="9478" width="27.85546875" style="1" customWidth="1"/>
    <col min="9479" max="9479" width="11.85546875" style="1" customWidth="1"/>
    <col min="9480" max="9480" width="15.140625" style="1" customWidth="1"/>
    <col min="9481" max="9481" width="10.28515625" style="1" customWidth="1"/>
    <col min="9482" max="9483" width="9.7109375" style="1" customWidth="1"/>
    <col min="9484" max="9484" width="10.42578125" style="1" customWidth="1"/>
    <col min="9485" max="9485" width="10.42578125" style="1" bestFit="1" customWidth="1"/>
    <col min="9486" max="9486" width="16.28515625" style="1" customWidth="1"/>
    <col min="9487" max="9487" width="15.140625" style="1" customWidth="1"/>
    <col min="9488" max="9488" width="13.5703125" style="1" customWidth="1"/>
    <col min="9489" max="9489" width="10.5703125" style="1" customWidth="1"/>
    <col min="9490" max="9490" width="10.85546875" style="1" customWidth="1"/>
    <col min="9491" max="9491" width="18" style="1" customWidth="1"/>
    <col min="9492" max="9492" width="20.85546875" style="1" customWidth="1"/>
    <col min="9493" max="9493" width="13.5703125" style="1" customWidth="1"/>
    <col min="9494" max="9494" width="14.140625" style="1" customWidth="1"/>
    <col min="9495" max="9497" width="8.85546875" style="1" customWidth="1"/>
    <col min="9498" max="9498" width="9.28515625" style="1" customWidth="1"/>
    <col min="9499" max="9499" width="14" style="1" customWidth="1"/>
    <col min="9500" max="9501" width="8.85546875" style="1" customWidth="1"/>
    <col min="9502" max="9502" width="10.140625" style="1" customWidth="1"/>
    <col min="9503" max="9504" width="9.5703125" style="1" customWidth="1"/>
    <col min="9505" max="9505" width="9.85546875" style="1" customWidth="1"/>
    <col min="9506" max="9507" width="10.140625" style="1" customWidth="1"/>
    <col min="9508" max="9510" width="9.28515625" style="1" customWidth="1"/>
    <col min="9511" max="9511" width="9.85546875" style="1" customWidth="1"/>
    <col min="9512" max="9513" width="8.5703125" style="1" customWidth="1"/>
    <col min="9514" max="9516" width="8.85546875" style="1" customWidth="1"/>
    <col min="9517" max="9517" width="9.28515625" style="1" customWidth="1"/>
    <col min="9518" max="9519" width="8.85546875" style="1" customWidth="1"/>
    <col min="9520" max="9520" width="10" style="1" customWidth="1"/>
    <col min="9521" max="9522" width="8.85546875" style="1" customWidth="1"/>
    <col min="9523" max="9523" width="11" style="1" customWidth="1"/>
    <col min="9524" max="9525" width="9.5703125" style="1" customWidth="1"/>
    <col min="9526" max="9528" width="8.85546875" style="1" customWidth="1"/>
    <col min="9529" max="9529" width="10.42578125" style="1" customWidth="1"/>
    <col min="9530" max="9531" width="8.85546875" style="1" customWidth="1"/>
    <col min="9532" max="9532" width="9.7109375" style="1" customWidth="1"/>
    <col min="9533" max="9534" width="8.85546875" style="1" customWidth="1"/>
    <col min="9535" max="9535" width="9.28515625" style="1" customWidth="1"/>
    <col min="9536" max="9556" width="8.85546875" style="1" customWidth="1"/>
    <col min="9557" max="9557" width="9.85546875" style="1" customWidth="1"/>
    <col min="9558" max="9558" width="8.85546875" style="1" customWidth="1"/>
    <col min="9559" max="9559" width="10" style="1" customWidth="1"/>
    <col min="9560" max="9576" width="8.85546875" style="1" customWidth="1"/>
    <col min="9577" max="9577" width="9.42578125" style="1" customWidth="1"/>
    <col min="9578" max="9578" width="8.85546875" style="1" customWidth="1"/>
    <col min="9579" max="9579" width="12" style="1" customWidth="1"/>
    <col min="9580" max="9580" width="11.140625" style="1" customWidth="1"/>
    <col min="9581" max="9581" width="28.7109375" style="1" customWidth="1"/>
    <col min="9582" max="9582" width="5.85546875" style="1" customWidth="1"/>
    <col min="9583" max="9732" width="9.140625" style="1"/>
    <col min="9733" max="9733" width="3.42578125" style="1" customWidth="1"/>
    <col min="9734" max="9734" width="27.85546875" style="1" customWidth="1"/>
    <col min="9735" max="9735" width="11.85546875" style="1" customWidth="1"/>
    <col min="9736" max="9736" width="15.140625" style="1" customWidth="1"/>
    <col min="9737" max="9737" width="10.28515625" style="1" customWidth="1"/>
    <col min="9738" max="9739" width="9.7109375" style="1" customWidth="1"/>
    <col min="9740" max="9740" width="10.42578125" style="1" customWidth="1"/>
    <col min="9741" max="9741" width="10.42578125" style="1" bestFit="1" customWidth="1"/>
    <col min="9742" max="9742" width="16.28515625" style="1" customWidth="1"/>
    <col min="9743" max="9743" width="15.140625" style="1" customWidth="1"/>
    <col min="9744" max="9744" width="13.5703125" style="1" customWidth="1"/>
    <col min="9745" max="9745" width="10.5703125" style="1" customWidth="1"/>
    <col min="9746" max="9746" width="10.85546875" style="1" customWidth="1"/>
    <col min="9747" max="9747" width="18" style="1" customWidth="1"/>
    <col min="9748" max="9748" width="20.85546875" style="1" customWidth="1"/>
    <col min="9749" max="9749" width="13.5703125" style="1" customWidth="1"/>
    <col min="9750" max="9750" width="14.140625" style="1" customWidth="1"/>
    <col min="9751" max="9753" width="8.85546875" style="1" customWidth="1"/>
    <col min="9754" max="9754" width="9.28515625" style="1" customWidth="1"/>
    <col min="9755" max="9755" width="14" style="1" customWidth="1"/>
    <col min="9756" max="9757" width="8.85546875" style="1" customWidth="1"/>
    <col min="9758" max="9758" width="10.140625" style="1" customWidth="1"/>
    <col min="9759" max="9760" width="9.5703125" style="1" customWidth="1"/>
    <col min="9761" max="9761" width="9.85546875" style="1" customWidth="1"/>
    <col min="9762" max="9763" width="10.140625" style="1" customWidth="1"/>
    <col min="9764" max="9766" width="9.28515625" style="1" customWidth="1"/>
    <col min="9767" max="9767" width="9.85546875" style="1" customWidth="1"/>
    <col min="9768" max="9769" width="8.5703125" style="1" customWidth="1"/>
    <col min="9770" max="9772" width="8.85546875" style="1" customWidth="1"/>
    <col min="9773" max="9773" width="9.28515625" style="1" customWidth="1"/>
    <col min="9774" max="9775" width="8.85546875" style="1" customWidth="1"/>
    <col min="9776" max="9776" width="10" style="1" customWidth="1"/>
    <col min="9777" max="9778" width="8.85546875" style="1" customWidth="1"/>
    <col min="9779" max="9779" width="11" style="1" customWidth="1"/>
    <col min="9780" max="9781" width="9.5703125" style="1" customWidth="1"/>
    <col min="9782" max="9784" width="8.85546875" style="1" customWidth="1"/>
    <col min="9785" max="9785" width="10.42578125" style="1" customWidth="1"/>
    <col min="9786" max="9787" width="8.85546875" style="1" customWidth="1"/>
    <col min="9788" max="9788" width="9.7109375" style="1" customWidth="1"/>
    <col min="9789" max="9790" width="8.85546875" style="1" customWidth="1"/>
    <col min="9791" max="9791" width="9.28515625" style="1" customWidth="1"/>
    <col min="9792" max="9812" width="8.85546875" style="1" customWidth="1"/>
    <col min="9813" max="9813" width="9.85546875" style="1" customWidth="1"/>
    <col min="9814" max="9814" width="8.85546875" style="1" customWidth="1"/>
    <col min="9815" max="9815" width="10" style="1" customWidth="1"/>
    <col min="9816" max="9832" width="8.85546875" style="1" customWidth="1"/>
    <col min="9833" max="9833" width="9.42578125" style="1" customWidth="1"/>
    <col min="9834" max="9834" width="8.85546875" style="1" customWidth="1"/>
    <col min="9835" max="9835" width="12" style="1" customWidth="1"/>
    <col min="9836" max="9836" width="11.140625" style="1" customWidth="1"/>
    <col min="9837" max="9837" width="28.7109375" style="1" customWidth="1"/>
    <col min="9838" max="9838" width="5.85546875" style="1" customWidth="1"/>
    <col min="9839" max="9988" width="9.140625" style="1"/>
    <col min="9989" max="9989" width="3.42578125" style="1" customWidth="1"/>
    <col min="9990" max="9990" width="27.85546875" style="1" customWidth="1"/>
    <col min="9991" max="9991" width="11.85546875" style="1" customWidth="1"/>
    <col min="9992" max="9992" width="15.140625" style="1" customWidth="1"/>
    <col min="9993" max="9993" width="10.28515625" style="1" customWidth="1"/>
    <col min="9994" max="9995" width="9.7109375" style="1" customWidth="1"/>
    <col min="9996" max="9996" width="10.42578125" style="1" customWidth="1"/>
    <col min="9997" max="9997" width="10.42578125" style="1" bestFit="1" customWidth="1"/>
    <col min="9998" max="9998" width="16.28515625" style="1" customWidth="1"/>
    <col min="9999" max="9999" width="15.140625" style="1" customWidth="1"/>
    <col min="10000" max="10000" width="13.5703125" style="1" customWidth="1"/>
    <col min="10001" max="10001" width="10.5703125" style="1" customWidth="1"/>
    <col min="10002" max="10002" width="10.85546875" style="1" customWidth="1"/>
    <col min="10003" max="10003" width="18" style="1" customWidth="1"/>
    <col min="10004" max="10004" width="20.85546875" style="1" customWidth="1"/>
    <col min="10005" max="10005" width="13.5703125" style="1" customWidth="1"/>
    <col min="10006" max="10006" width="14.140625" style="1" customWidth="1"/>
    <col min="10007" max="10009" width="8.85546875" style="1" customWidth="1"/>
    <col min="10010" max="10010" width="9.28515625" style="1" customWidth="1"/>
    <col min="10011" max="10011" width="14" style="1" customWidth="1"/>
    <col min="10012" max="10013" width="8.85546875" style="1" customWidth="1"/>
    <col min="10014" max="10014" width="10.140625" style="1" customWidth="1"/>
    <col min="10015" max="10016" width="9.5703125" style="1" customWidth="1"/>
    <col min="10017" max="10017" width="9.85546875" style="1" customWidth="1"/>
    <col min="10018" max="10019" width="10.140625" style="1" customWidth="1"/>
    <col min="10020" max="10022" width="9.28515625" style="1" customWidth="1"/>
    <col min="10023" max="10023" width="9.85546875" style="1" customWidth="1"/>
    <col min="10024" max="10025" width="8.5703125" style="1" customWidth="1"/>
    <col min="10026" max="10028" width="8.85546875" style="1" customWidth="1"/>
    <col min="10029" max="10029" width="9.28515625" style="1" customWidth="1"/>
    <col min="10030" max="10031" width="8.85546875" style="1" customWidth="1"/>
    <col min="10032" max="10032" width="10" style="1" customWidth="1"/>
    <col min="10033" max="10034" width="8.85546875" style="1" customWidth="1"/>
    <col min="10035" max="10035" width="11" style="1" customWidth="1"/>
    <col min="10036" max="10037" width="9.5703125" style="1" customWidth="1"/>
    <col min="10038" max="10040" width="8.85546875" style="1" customWidth="1"/>
    <col min="10041" max="10041" width="10.42578125" style="1" customWidth="1"/>
    <col min="10042" max="10043" width="8.85546875" style="1" customWidth="1"/>
    <col min="10044" max="10044" width="9.7109375" style="1" customWidth="1"/>
    <col min="10045" max="10046" width="8.85546875" style="1" customWidth="1"/>
    <col min="10047" max="10047" width="9.28515625" style="1" customWidth="1"/>
    <col min="10048" max="10068" width="8.85546875" style="1" customWidth="1"/>
    <col min="10069" max="10069" width="9.85546875" style="1" customWidth="1"/>
    <col min="10070" max="10070" width="8.85546875" style="1" customWidth="1"/>
    <col min="10071" max="10071" width="10" style="1" customWidth="1"/>
    <col min="10072" max="10088" width="8.85546875" style="1" customWidth="1"/>
    <col min="10089" max="10089" width="9.42578125" style="1" customWidth="1"/>
    <col min="10090" max="10090" width="8.85546875" style="1" customWidth="1"/>
    <col min="10091" max="10091" width="12" style="1" customWidth="1"/>
    <col min="10092" max="10092" width="11.140625" style="1" customWidth="1"/>
    <col min="10093" max="10093" width="28.7109375" style="1" customWidth="1"/>
    <col min="10094" max="10094" width="5.85546875" style="1" customWidth="1"/>
    <col min="10095" max="10244" width="9.140625" style="1"/>
    <col min="10245" max="10245" width="3.42578125" style="1" customWidth="1"/>
    <col min="10246" max="10246" width="27.85546875" style="1" customWidth="1"/>
    <col min="10247" max="10247" width="11.85546875" style="1" customWidth="1"/>
    <col min="10248" max="10248" width="15.140625" style="1" customWidth="1"/>
    <col min="10249" max="10249" width="10.28515625" style="1" customWidth="1"/>
    <col min="10250" max="10251" width="9.7109375" style="1" customWidth="1"/>
    <col min="10252" max="10252" width="10.42578125" style="1" customWidth="1"/>
    <col min="10253" max="10253" width="10.42578125" style="1" bestFit="1" customWidth="1"/>
    <col min="10254" max="10254" width="16.28515625" style="1" customWidth="1"/>
    <col min="10255" max="10255" width="15.140625" style="1" customWidth="1"/>
    <col min="10256" max="10256" width="13.5703125" style="1" customWidth="1"/>
    <col min="10257" max="10257" width="10.5703125" style="1" customWidth="1"/>
    <col min="10258" max="10258" width="10.85546875" style="1" customWidth="1"/>
    <col min="10259" max="10259" width="18" style="1" customWidth="1"/>
    <col min="10260" max="10260" width="20.85546875" style="1" customWidth="1"/>
    <col min="10261" max="10261" width="13.5703125" style="1" customWidth="1"/>
    <col min="10262" max="10262" width="14.140625" style="1" customWidth="1"/>
    <col min="10263" max="10265" width="8.85546875" style="1" customWidth="1"/>
    <col min="10266" max="10266" width="9.28515625" style="1" customWidth="1"/>
    <col min="10267" max="10267" width="14" style="1" customWidth="1"/>
    <col min="10268" max="10269" width="8.85546875" style="1" customWidth="1"/>
    <col min="10270" max="10270" width="10.140625" style="1" customWidth="1"/>
    <col min="10271" max="10272" width="9.5703125" style="1" customWidth="1"/>
    <col min="10273" max="10273" width="9.85546875" style="1" customWidth="1"/>
    <col min="10274" max="10275" width="10.140625" style="1" customWidth="1"/>
    <col min="10276" max="10278" width="9.28515625" style="1" customWidth="1"/>
    <col min="10279" max="10279" width="9.85546875" style="1" customWidth="1"/>
    <col min="10280" max="10281" width="8.5703125" style="1" customWidth="1"/>
    <col min="10282" max="10284" width="8.85546875" style="1" customWidth="1"/>
    <col min="10285" max="10285" width="9.28515625" style="1" customWidth="1"/>
    <col min="10286" max="10287" width="8.85546875" style="1" customWidth="1"/>
    <col min="10288" max="10288" width="10" style="1" customWidth="1"/>
    <col min="10289" max="10290" width="8.85546875" style="1" customWidth="1"/>
    <col min="10291" max="10291" width="11" style="1" customWidth="1"/>
    <col min="10292" max="10293" width="9.5703125" style="1" customWidth="1"/>
    <col min="10294" max="10296" width="8.85546875" style="1" customWidth="1"/>
    <col min="10297" max="10297" width="10.42578125" style="1" customWidth="1"/>
    <col min="10298" max="10299" width="8.85546875" style="1" customWidth="1"/>
    <col min="10300" max="10300" width="9.7109375" style="1" customWidth="1"/>
    <col min="10301" max="10302" width="8.85546875" style="1" customWidth="1"/>
    <col min="10303" max="10303" width="9.28515625" style="1" customWidth="1"/>
    <col min="10304" max="10324" width="8.85546875" style="1" customWidth="1"/>
    <col min="10325" max="10325" width="9.85546875" style="1" customWidth="1"/>
    <col min="10326" max="10326" width="8.85546875" style="1" customWidth="1"/>
    <col min="10327" max="10327" width="10" style="1" customWidth="1"/>
    <col min="10328" max="10344" width="8.85546875" style="1" customWidth="1"/>
    <col min="10345" max="10345" width="9.42578125" style="1" customWidth="1"/>
    <col min="10346" max="10346" width="8.85546875" style="1" customWidth="1"/>
    <col min="10347" max="10347" width="12" style="1" customWidth="1"/>
    <col min="10348" max="10348" width="11.140625" style="1" customWidth="1"/>
    <col min="10349" max="10349" width="28.7109375" style="1" customWidth="1"/>
    <col min="10350" max="10350" width="5.85546875" style="1" customWidth="1"/>
    <col min="10351" max="10500" width="9.140625" style="1"/>
    <col min="10501" max="10501" width="3.42578125" style="1" customWidth="1"/>
    <col min="10502" max="10502" width="27.85546875" style="1" customWidth="1"/>
    <col min="10503" max="10503" width="11.85546875" style="1" customWidth="1"/>
    <col min="10504" max="10504" width="15.140625" style="1" customWidth="1"/>
    <col min="10505" max="10505" width="10.28515625" style="1" customWidth="1"/>
    <col min="10506" max="10507" width="9.7109375" style="1" customWidth="1"/>
    <col min="10508" max="10508" width="10.42578125" style="1" customWidth="1"/>
    <col min="10509" max="10509" width="10.42578125" style="1" bestFit="1" customWidth="1"/>
    <col min="10510" max="10510" width="16.28515625" style="1" customWidth="1"/>
    <col min="10511" max="10511" width="15.140625" style="1" customWidth="1"/>
    <col min="10512" max="10512" width="13.5703125" style="1" customWidth="1"/>
    <col min="10513" max="10513" width="10.5703125" style="1" customWidth="1"/>
    <col min="10514" max="10514" width="10.85546875" style="1" customWidth="1"/>
    <col min="10515" max="10515" width="18" style="1" customWidth="1"/>
    <col min="10516" max="10516" width="20.85546875" style="1" customWidth="1"/>
    <col min="10517" max="10517" width="13.5703125" style="1" customWidth="1"/>
    <col min="10518" max="10518" width="14.140625" style="1" customWidth="1"/>
    <col min="10519" max="10521" width="8.85546875" style="1" customWidth="1"/>
    <col min="10522" max="10522" width="9.28515625" style="1" customWidth="1"/>
    <col min="10523" max="10523" width="14" style="1" customWidth="1"/>
    <col min="10524" max="10525" width="8.85546875" style="1" customWidth="1"/>
    <col min="10526" max="10526" width="10.140625" style="1" customWidth="1"/>
    <col min="10527" max="10528" width="9.5703125" style="1" customWidth="1"/>
    <col min="10529" max="10529" width="9.85546875" style="1" customWidth="1"/>
    <col min="10530" max="10531" width="10.140625" style="1" customWidth="1"/>
    <col min="10532" max="10534" width="9.28515625" style="1" customWidth="1"/>
    <col min="10535" max="10535" width="9.85546875" style="1" customWidth="1"/>
    <col min="10536" max="10537" width="8.5703125" style="1" customWidth="1"/>
    <col min="10538" max="10540" width="8.85546875" style="1" customWidth="1"/>
    <col min="10541" max="10541" width="9.28515625" style="1" customWidth="1"/>
    <col min="10542" max="10543" width="8.85546875" style="1" customWidth="1"/>
    <col min="10544" max="10544" width="10" style="1" customWidth="1"/>
    <col min="10545" max="10546" width="8.85546875" style="1" customWidth="1"/>
    <col min="10547" max="10547" width="11" style="1" customWidth="1"/>
    <col min="10548" max="10549" width="9.5703125" style="1" customWidth="1"/>
    <col min="10550" max="10552" width="8.85546875" style="1" customWidth="1"/>
    <col min="10553" max="10553" width="10.42578125" style="1" customWidth="1"/>
    <col min="10554" max="10555" width="8.85546875" style="1" customWidth="1"/>
    <col min="10556" max="10556" width="9.7109375" style="1" customWidth="1"/>
    <col min="10557" max="10558" width="8.85546875" style="1" customWidth="1"/>
    <col min="10559" max="10559" width="9.28515625" style="1" customWidth="1"/>
    <col min="10560" max="10580" width="8.85546875" style="1" customWidth="1"/>
    <col min="10581" max="10581" width="9.85546875" style="1" customWidth="1"/>
    <col min="10582" max="10582" width="8.85546875" style="1" customWidth="1"/>
    <col min="10583" max="10583" width="10" style="1" customWidth="1"/>
    <col min="10584" max="10600" width="8.85546875" style="1" customWidth="1"/>
    <col min="10601" max="10601" width="9.42578125" style="1" customWidth="1"/>
    <col min="10602" max="10602" width="8.85546875" style="1" customWidth="1"/>
    <col min="10603" max="10603" width="12" style="1" customWidth="1"/>
    <col min="10604" max="10604" width="11.140625" style="1" customWidth="1"/>
    <col min="10605" max="10605" width="28.7109375" style="1" customWidth="1"/>
    <col min="10606" max="10606" width="5.85546875" style="1" customWidth="1"/>
    <col min="10607" max="10756" width="9.140625" style="1"/>
    <col min="10757" max="10757" width="3.42578125" style="1" customWidth="1"/>
    <col min="10758" max="10758" width="27.85546875" style="1" customWidth="1"/>
    <col min="10759" max="10759" width="11.85546875" style="1" customWidth="1"/>
    <col min="10760" max="10760" width="15.140625" style="1" customWidth="1"/>
    <col min="10761" max="10761" width="10.28515625" style="1" customWidth="1"/>
    <col min="10762" max="10763" width="9.7109375" style="1" customWidth="1"/>
    <col min="10764" max="10764" width="10.42578125" style="1" customWidth="1"/>
    <col min="10765" max="10765" width="10.42578125" style="1" bestFit="1" customWidth="1"/>
    <col min="10766" max="10766" width="16.28515625" style="1" customWidth="1"/>
    <col min="10767" max="10767" width="15.140625" style="1" customWidth="1"/>
    <col min="10768" max="10768" width="13.5703125" style="1" customWidth="1"/>
    <col min="10769" max="10769" width="10.5703125" style="1" customWidth="1"/>
    <col min="10770" max="10770" width="10.85546875" style="1" customWidth="1"/>
    <col min="10771" max="10771" width="18" style="1" customWidth="1"/>
    <col min="10772" max="10772" width="20.85546875" style="1" customWidth="1"/>
    <col min="10773" max="10773" width="13.5703125" style="1" customWidth="1"/>
    <col min="10774" max="10774" width="14.140625" style="1" customWidth="1"/>
    <col min="10775" max="10777" width="8.85546875" style="1" customWidth="1"/>
    <col min="10778" max="10778" width="9.28515625" style="1" customWidth="1"/>
    <col min="10779" max="10779" width="14" style="1" customWidth="1"/>
    <col min="10780" max="10781" width="8.85546875" style="1" customWidth="1"/>
    <col min="10782" max="10782" width="10.140625" style="1" customWidth="1"/>
    <col min="10783" max="10784" width="9.5703125" style="1" customWidth="1"/>
    <col min="10785" max="10785" width="9.85546875" style="1" customWidth="1"/>
    <col min="10786" max="10787" width="10.140625" style="1" customWidth="1"/>
    <col min="10788" max="10790" width="9.28515625" style="1" customWidth="1"/>
    <col min="10791" max="10791" width="9.85546875" style="1" customWidth="1"/>
    <col min="10792" max="10793" width="8.5703125" style="1" customWidth="1"/>
    <col min="10794" max="10796" width="8.85546875" style="1" customWidth="1"/>
    <col min="10797" max="10797" width="9.28515625" style="1" customWidth="1"/>
    <col min="10798" max="10799" width="8.85546875" style="1" customWidth="1"/>
    <col min="10800" max="10800" width="10" style="1" customWidth="1"/>
    <col min="10801" max="10802" width="8.85546875" style="1" customWidth="1"/>
    <col min="10803" max="10803" width="11" style="1" customWidth="1"/>
    <col min="10804" max="10805" width="9.5703125" style="1" customWidth="1"/>
    <col min="10806" max="10808" width="8.85546875" style="1" customWidth="1"/>
    <col min="10809" max="10809" width="10.42578125" style="1" customWidth="1"/>
    <col min="10810" max="10811" width="8.85546875" style="1" customWidth="1"/>
    <col min="10812" max="10812" width="9.7109375" style="1" customWidth="1"/>
    <col min="10813" max="10814" width="8.85546875" style="1" customWidth="1"/>
    <col min="10815" max="10815" width="9.28515625" style="1" customWidth="1"/>
    <col min="10816" max="10836" width="8.85546875" style="1" customWidth="1"/>
    <col min="10837" max="10837" width="9.85546875" style="1" customWidth="1"/>
    <col min="10838" max="10838" width="8.85546875" style="1" customWidth="1"/>
    <col min="10839" max="10839" width="10" style="1" customWidth="1"/>
    <col min="10840" max="10856" width="8.85546875" style="1" customWidth="1"/>
    <col min="10857" max="10857" width="9.42578125" style="1" customWidth="1"/>
    <col min="10858" max="10858" width="8.85546875" style="1" customWidth="1"/>
    <col min="10859" max="10859" width="12" style="1" customWidth="1"/>
    <col min="10860" max="10860" width="11.140625" style="1" customWidth="1"/>
    <col min="10861" max="10861" width="28.7109375" style="1" customWidth="1"/>
    <col min="10862" max="10862" width="5.85546875" style="1" customWidth="1"/>
    <col min="10863" max="11012" width="9.140625" style="1"/>
    <col min="11013" max="11013" width="3.42578125" style="1" customWidth="1"/>
    <col min="11014" max="11014" width="27.85546875" style="1" customWidth="1"/>
    <col min="11015" max="11015" width="11.85546875" style="1" customWidth="1"/>
    <col min="11016" max="11016" width="15.140625" style="1" customWidth="1"/>
    <col min="11017" max="11017" width="10.28515625" style="1" customWidth="1"/>
    <col min="11018" max="11019" width="9.7109375" style="1" customWidth="1"/>
    <col min="11020" max="11020" width="10.42578125" style="1" customWidth="1"/>
    <col min="11021" max="11021" width="10.42578125" style="1" bestFit="1" customWidth="1"/>
    <col min="11022" max="11022" width="16.28515625" style="1" customWidth="1"/>
    <col min="11023" max="11023" width="15.140625" style="1" customWidth="1"/>
    <col min="11024" max="11024" width="13.5703125" style="1" customWidth="1"/>
    <col min="11025" max="11025" width="10.5703125" style="1" customWidth="1"/>
    <col min="11026" max="11026" width="10.85546875" style="1" customWidth="1"/>
    <col min="11027" max="11027" width="18" style="1" customWidth="1"/>
    <col min="11028" max="11028" width="20.85546875" style="1" customWidth="1"/>
    <col min="11029" max="11029" width="13.5703125" style="1" customWidth="1"/>
    <col min="11030" max="11030" width="14.140625" style="1" customWidth="1"/>
    <col min="11031" max="11033" width="8.85546875" style="1" customWidth="1"/>
    <col min="11034" max="11034" width="9.28515625" style="1" customWidth="1"/>
    <col min="11035" max="11035" width="14" style="1" customWidth="1"/>
    <col min="11036" max="11037" width="8.85546875" style="1" customWidth="1"/>
    <col min="11038" max="11038" width="10.140625" style="1" customWidth="1"/>
    <col min="11039" max="11040" width="9.5703125" style="1" customWidth="1"/>
    <col min="11041" max="11041" width="9.85546875" style="1" customWidth="1"/>
    <col min="11042" max="11043" width="10.140625" style="1" customWidth="1"/>
    <col min="11044" max="11046" width="9.28515625" style="1" customWidth="1"/>
    <col min="11047" max="11047" width="9.85546875" style="1" customWidth="1"/>
    <col min="11048" max="11049" width="8.5703125" style="1" customWidth="1"/>
    <col min="11050" max="11052" width="8.85546875" style="1" customWidth="1"/>
    <col min="11053" max="11053" width="9.28515625" style="1" customWidth="1"/>
    <col min="11054" max="11055" width="8.85546875" style="1" customWidth="1"/>
    <col min="11056" max="11056" width="10" style="1" customWidth="1"/>
    <col min="11057" max="11058" width="8.85546875" style="1" customWidth="1"/>
    <col min="11059" max="11059" width="11" style="1" customWidth="1"/>
    <col min="11060" max="11061" width="9.5703125" style="1" customWidth="1"/>
    <col min="11062" max="11064" width="8.85546875" style="1" customWidth="1"/>
    <col min="11065" max="11065" width="10.42578125" style="1" customWidth="1"/>
    <col min="11066" max="11067" width="8.85546875" style="1" customWidth="1"/>
    <col min="11068" max="11068" width="9.7109375" style="1" customWidth="1"/>
    <col min="11069" max="11070" width="8.85546875" style="1" customWidth="1"/>
    <col min="11071" max="11071" width="9.28515625" style="1" customWidth="1"/>
    <col min="11072" max="11092" width="8.85546875" style="1" customWidth="1"/>
    <col min="11093" max="11093" width="9.85546875" style="1" customWidth="1"/>
    <col min="11094" max="11094" width="8.85546875" style="1" customWidth="1"/>
    <col min="11095" max="11095" width="10" style="1" customWidth="1"/>
    <col min="11096" max="11112" width="8.85546875" style="1" customWidth="1"/>
    <col min="11113" max="11113" width="9.42578125" style="1" customWidth="1"/>
    <col min="11114" max="11114" width="8.85546875" style="1" customWidth="1"/>
    <col min="11115" max="11115" width="12" style="1" customWidth="1"/>
    <col min="11116" max="11116" width="11.140625" style="1" customWidth="1"/>
    <col min="11117" max="11117" width="28.7109375" style="1" customWidth="1"/>
    <col min="11118" max="11118" width="5.85546875" style="1" customWidth="1"/>
    <col min="11119" max="11268" width="9.140625" style="1"/>
    <col min="11269" max="11269" width="3.42578125" style="1" customWidth="1"/>
    <col min="11270" max="11270" width="27.85546875" style="1" customWidth="1"/>
    <col min="11271" max="11271" width="11.85546875" style="1" customWidth="1"/>
    <col min="11272" max="11272" width="15.140625" style="1" customWidth="1"/>
    <col min="11273" max="11273" width="10.28515625" style="1" customWidth="1"/>
    <col min="11274" max="11275" width="9.7109375" style="1" customWidth="1"/>
    <col min="11276" max="11276" width="10.42578125" style="1" customWidth="1"/>
    <col min="11277" max="11277" width="10.42578125" style="1" bestFit="1" customWidth="1"/>
    <col min="11278" max="11278" width="16.28515625" style="1" customWidth="1"/>
    <col min="11279" max="11279" width="15.140625" style="1" customWidth="1"/>
    <col min="11280" max="11280" width="13.5703125" style="1" customWidth="1"/>
    <col min="11281" max="11281" width="10.5703125" style="1" customWidth="1"/>
    <col min="11282" max="11282" width="10.85546875" style="1" customWidth="1"/>
    <col min="11283" max="11283" width="18" style="1" customWidth="1"/>
    <col min="11284" max="11284" width="20.85546875" style="1" customWidth="1"/>
    <col min="11285" max="11285" width="13.5703125" style="1" customWidth="1"/>
    <col min="11286" max="11286" width="14.140625" style="1" customWidth="1"/>
    <col min="11287" max="11289" width="8.85546875" style="1" customWidth="1"/>
    <col min="11290" max="11290" width="9.28515625" style="1" customWidth="1"/>
    <col min="11291" max="11291" width="14" style="1" customWidth="1"/>
    <col min="11292" max="11293" width="8.85546875" style="1" customWidth="1"/>
    <col min="11294" max="11294" width="10.140625" style="1" customWidth="1"/>
    <col min="11295" max="11296" width="9.5703125" style="1" customWidth="1"/>
    <col min="11297" max="11297" width="9.85546875" style="1" customWidth="1"/>
    <col min="11298" max="11299" width="10.140625" style="1" customWidth="1"/>
    <col min="11300" max="11302" width="9.28515625" style="1" customWidth="1"/>
    <col min="11303" max="11303" width="9.85546875" style="1" customWidth="1"/>
    <col min="11304" max="11305" width="8.5703125" style="1" customWidth="1"/>
    <col min="11306" max="11308" width="8.85546875" style="1" customWidth="1"/>
    <col min="11309" max="11309" width="9.28515625" style="1" customWidth="1"/>
    <col min="11310" max="11311" width="8.85546875" style="1" customWidth="1"/>
    <col min="11312" max="11312" width="10" style="1" customWidth="1"/>
    <col min="11313" max="11314" width="8.85546875" style="1" customWidth="1"/>
    <col min="11315" max="11315" width="11" style="1" customWidth="1"/>
    <col min="11316" max="11317" width="9.5703125" style="1" customWidth="1"/>
    <col min="11318" max="11320" width="8.85546875" style="1" customWidth="1"/>
    <col min="11321" max="11321" width="10.42578125" style="1" customWidth="1"/>
    <col min="11322" max="11323" width="8.85546875" style="1" customWidth="1"/>
    <col min="11324" max="11324" width="9.7109375" style="1" customWidth="1"/>
    <col min="11325" max="11326" width="8.85546875" style="1" customWidth="1"/>
    <col min="11327" max="11327" width="9.28515625" style="1" customWidth="1"/>
    <col min="11328" max="11348" width="8.85546875" style="1" customWidth="1"/>
    <col min="11349" max="11349" width="9.85546875" style="1" customWidth="1"/>
    <col min="11350" max="11350" width="8.85546875" style="1" customWidth="1"/>
    <col min="11351" max="11351" width="10" style="1" customWidth="1"/>
    <col min="11352" max="11368" width="8.85546875" style="1" customWidth="1"/>
    <col min="11369" max="11369" width="9.42578125" style="1" customWidth="1"/>
    <col min="11370" max="11370" width="8.85546875" style="1" customWidth="1"/>
    <col min="11371" max="11371" width="12" style="1" customWidth="1"/>
    <col min="11372" max="11372" width="11.140625" style="1" customWidth="1"/>
    <col min="11373" max="11373" width="28.7109375" style="1" customWidth="1"/>
    <col min="11374" max="11374" width="5.85546875" style="1" customWidth="1"/>
    <col min="11375" max="11524" width="9.140625" style="1"/>
    <col min="11525" max="11525" width="3.42578125" style="1" customWidth="1"/>
    <col min="11526" max="11526" width="27.85546875" style="1" customWidth="1"/>
    <col min="11527" max="11527" width="11.85546875" style="1" customWidth="1"/>
    <col min="11528" max="11528" width="15.140625" style="1" customWidth="1"/>
    <col min="11529" max="11529" width="10.28515625" style="1" customWidth="1"/>
    <col min="11530" max="11531" width="9.7109375" style="1" customWidth="1"/>
    <col min="11532" max="11532" width="10.42578125" style="1" customWidth="1"/>
    <col min="11533" max="11533" width="10.42578125" style="1" bestFit="1" customWidth="1"/>
    <col min="11534" max="11534" width="16.28515625" style="1" customWidth="1"/>
    <col min="11535" max="11535" width="15.140625" style="1" customWidth="1"/>
    <col min="11536" max="11536" width="13.5703125" style="1" customWidth="1"/>
    <col min="11537" max="11537" width="10.5703125" style="1" customWidth="1"/>
    <col min="11538" max="11538" width="10.85546875" style="1" customWidth="1"/>
    <col min="11539" max="11539" width="18" style="1" customWidth="1"/>
    <col min="11540" max="11540" width="20.85546875" style="1" customWidth="1"/>
    <col min="11541" max="11541" width="13.5703125" style="1" customWidth="1"/>
    <col min="11542" max="11542" width="14.140625" style="1" customWidth="1"/>
    <col min="11543" max="11545" width="8.85546875" style="1" customWidth="1"/>
    <col min="11546" max="11546" width="9.28515625" style="1" customWidth="1"/>
    <col min="11547" max="11547" width="14" style="1" customWidth="1"/>
    <col min="11548" max="11549" width="8.85546875" style="1" customWidth="1"/>
    <col min="11550" max="11550" width="10.140625" style="1" customWidth="1"/>
    <col min="11551" max="11552" width="9.5703125" style="1" customWidth="1"/>
    <col min="11553" max="11553" width="9.85546875" style="1" customWidth="1"/>
    <col min="11554" max="11555" width="10.140625" style="1" customWidth="1"/>
    <col min="11556" max="11558" width="9.28515625" style="1" customWidth="1"/>
    <col min="11559" max="11559" width="9.85546875" style="1" customWidth="1"/>
    <col min="11560" max="11561" width="8.5703125" style="1" customWidth="1"/>
    <col min="11562" max="11564" width="8.85546875" style="1" customWidth="1"/>
    <col min="11565" max="11565" width="9.28515625" style="1" customWidth="1"/>
    <col min="11566" max="11567" width="8.85546875" style="1" customWidth="1"/>
    <col min="11568" max="11568" width="10" style="1" customWidth="1"/>
    <col min="11569" max="11570" width="8.85546875" style="1" customWidth="1"/>
    <col min="11571" max="11571" width="11" style="1" customWidth="1"/>
    <col min="11572" max="11573" width="9.5703125" style="1" customWidth="1"/>
    <col min="11574" max="11576" width="8.85546875" style="1" customWidth="1"/>
    <col min="11577" max="11577" width="10.42578125" style="1" customWidth="1"/>
    <col min="11578" max="11579" width="8.85546875" style="1" customWidth="1"/>
    <col min="11580" max="11580" width="9.7109375" style="1" customWidth="1"/>
    <col min="11581" max="11582" width="8.85546875" style="1" customWidth="1"/>
    <col min="11583" max="11583" width="9.28515625" style="1" customWidth="1"/>
    <col min="11584" max="11604" width="8.85546875" style="1" customWidth="1"/>
    <col min="11605" max="11605" width="9.85546875" style="1" customWidth="1"/>
    <col min="11606" max="11606" width="8.85546875" style="1" customWidth="1"/>
    <col min="11607" max="11607" width="10" style="1" customWidth="1"/>
    <col min="11608" max="11624" width="8.85546875" style="1" customWidth="1"/>
    <col min="11625" max="11625" width="9.42578125" style="1" customWidth="1"/>
    <col min="11626" max="11626" width="8.85546875" style="1" customWidth="1"/>
    <col min="11627" max="11627" width="12" style="1" customWidth="1"/>
    <col min="11628" max="11628" width="11.140625" style="1" customWidth="1"/>
    <col min="11629" max="11629" width="28.7109375" style="1" customWidth="1"/>
    <col min="11630" max="11630" width="5.85546875" style="1" customWidth="1"/>
    <col min="11631" max="11780" width="9.140625" style="1"/>
    <col min="11781" max="11781" width="3.42578125" style="1" customWidth="1"/>
    <col min="11782" max="11782" width="27.85546875" style="1" customWidth="1"/>
    <col min="11783" max="11783" width="11.85546875" style="1" customWidth="1"/>
    <col min="11784" max="11784" width="15.140625" style="1" customWidth="1"/>
    <col min="11785" max="11785" width="10.28515625" style="1" customWidth="1"/>
    <col min="11786" max="11787" width="9.7109375" style="1" customWidth="1"/>
    <col min="11788" max="11788" width="10.42578125" style="1" customWidth="1"/>
    <col min="11789" max="11789" width="10.42578125" style="1" bestFit="1" customWidth="1"/>
    <col min="11790" max="11790" width="16.28515625" style="1" customWidth="1"/>
    <col min="11791" max="11791" width="15.140625" style="1" customWidth="1"/>
    <col min="11792" max="11792" width="13.5703125" style="1" customWidth="1"/>
    <col min="11793" max="11793" width="10.5703125" style="1" customWidth="1"/>
    <col min="11794" max="11794" width="10.85546875" style="1" customWidth="1"/>
    <col min="11795" max="11795" width="18" style="1" customWidth="1"/>
    <col min="11796" max="11796" width="20.85546875" style="1" customWidth="1"/>
    <col min="11797" max="11797" width="13.5703125" style="1" customWidth="1"/>
    <col min="11798" max="11798" width="14.140625" style="1" customWidth="1"/>
    <col min="11799" max="11801" width="8.85546875" style="1" customWidth="1"/>
    <col min="11802" max="11802" width="9.28515625" style="1" customWidth="1"/>
    <col min="11803" max="11803" width="14" style="1" customWidth="1"/>
    <col min="11804" max="11805" width="8.85546875" style="1" customWidth="1"/>
    <col min="11806" max="11806" width="10.140625" style="1" customWidth="1"/>
    <col min="11807" max="11808" width="9.5703125" style="1" customWidth="1"/>
    <col min="11809" max="11809" width="9.85546875" style="1" customWidth="1"/>
    <col min="11810" max="11811" width="10.140625" style="1" customWidth="1"/>
    <col min="11812" max="11814" width="9.28515625" style="1" customWidth="1"/>
    <col min="11815" max="11815" width="9.85546875" style="1" customWidth="1"/>
    <col min="11816" max="11817" width="8.5703125" style="1" customWidth="1"/>
    <col min="11818" max="11820" width="8.85546875" style="1" customWidth="1"/>
    <col min="11821" max="11821" width="9.28515625" style="1" customWidth="1"/>
    <col min="11822" max="11823" width="8.85546875" style="1" customWidth="1"/>
    <col min="11824" max="11824" width="10" style="1" customWidth="1"/>
    <col min="11825" max="11826" width="8.85546875" style="1" customWidth="1"/>
    <col min="11827" max="11827" width="11" style="1" customWidth="1"/>
    <col min="11828" max="11829" width="9.5703125" style="1" customWidth="1"/>
    <col min="11830" max="11832" width="8.85546875" style="1" customWidth="1"/>
    <col min="11833" max="11833" width="10.42578125" style="1" customWidth="1"/>
    <col min="11834" max="11835" width="8.85546875" style="1" customWidth="1"/>
    <col min="11836" max="11836" width="9.7109375" style="1" customWidth="1"/>
    <col min="11837" max="11838" width="8.85546875" style="1" customWidth="1"/>
    <col min="11839" max="11839" width="9.28515625" style="1" customWidth="1"/>
    <col min="11840" max="11860" width="8.85546875" style="1" customWidth="1"/>
    <col min="11861" max="11861" width="9.85546875" style="1" customWidth="1"/>
    <col min="11862" max="11862" width="8.85546875" style="1" customWidth="1"/>
    <col min="11863" max="11863" width="10" style="1" customWidth="1"/>
    <col min="11864" max="11880" width="8.85546875" style="1" customWidth="1"/>
    <col min="11881" max="11881" width="9.42578125" style="1" customWidth="1"/>
    <col min="11882" max="11882" width="8.85546875" style="1" customWidth="1"/>
    <col min="11883" max="11883" width="12" style="1" customWidth="1"/>
    <col min="11884" max="11884" width="11.140625" style="1" customWidth="1"/>
    <col min="11885" max="11885" width="28.7109375" style="1" customWidth="1"/>
    <col min="11886" max="11886" width="5.85546875" style="1" customWidth="1"/>
    <col min="11887" max="12036" width="9.140625" style="1"/>
    <col min="12037" max="12037" width="3.42578125" style="1" customWidth="1"/>
    <col min="12038" max="12038" width="27.85546875" style="1" customWidth="1"/>
    <col min="12039" max="12039" width="11.85546875" style="1" customWidth="1"/>
    <col min="12040" max="12040" width="15.140625" style="1" customWidth="1"/>
    <col min="12041" max="12041" width="10.28515625" style="1" customWidth="1"/>
    <col min="12042" max="12043" width="9.7109375" style="1" customWidth="1"/>
    <col min="12044" max="12044" width="10.42578125" style="1" customWidth="1"/>
    <col min="12045" max="12045" width="10.42578125" style="1" bestFit="1" customWidth="1"/>
    <col min="12046" max="12046" width="16.28515625" style="1" customWidth="1"/>
    <col min="12047" max="12047" width="15.140625" style="1" customWidth="1"/>
    <col min="12048" max="12048" width="13.5703125" style="1" customWidth="1"/>
    <col min="12049" max="12049" width="10.5703125" style="1" customWidth="1"/>
    <col min="12050" max="12050" width="10.85546875" style="1" customWidth="1"/>
    <col min="12051" max="12051" width="18" style="1" customWidth="1"/>
    <col min="12052" max="12052" width="20.85546875" style="1" customWidth="1"/>
    <col min="12053" max="12053" width="13.5703125" style="1" customWidth="1"/>
    <col min="12054" max="12054" width="14.140625" style="1" customWidth="1"/>
    <col min="12055" max="12057" width="8.85546875" style="1" customWidth="1"/>
    <col min="12058" max="12058" width="9.28515625" style="1" customWidth="1"/>
    <col min="12059" max="12059" width="14" style="1" customWidth="1"/>
    <col min="12060" max="12061" width="8.85546875" style="1" customWidth="1"/>
    <col min="12062" max="12062" width="10.140625" style="1" customWidth="1"/>
    <col min="12063" max="12064" width="9.5703125" style="1" customWidth="1"/>
    <col min="12065" max="12065" width="9.85546875" style="1" customWidth="1"/>
    <col min="12066" max="12067" width="10.140625" style="1" customWidth="1"/>
    <col min="12068" max="12070" width="9.28515625" style="1" customWidth="1"/>
    <col min="12071" max="12071" width="9.85546875" style="1" customWidth="1"/>
    <col min="12072" max="12073" width="8.5703125" style="1" customWidth="1"/>
    <col min="12074" max="12076" width="8.85546875" style="1" customWidth="1"/>
    <col min="12077" max="12077" width="9.28515625" style="1" customWidth="1"/>
    <col min="12078" max="12079" width="8.85546875" style="1" customWidth="1"/>
    <col min="12080" max="12080" width="10" style="1" customWidth="1"/>
    <col min="12081" max="12082" width="8.85546875" style="1" customWidth="1"/>
    <col min="12083" max="12083" width="11" style="1" customWidth="1"/>
    <col min="12084" max="12085" width="9.5703125" style="1" customWidth="1"/>
    <col min="12086" max="12088" width="8.85546875" style="1" customWidth="1"/>
    <col min="12089" max="12089" width="10.42578125" style="1" customWidth="1"/>
    <col min="12090" max="12091" width="8.85546875" style="1" customWidth="1"/>
    <col min="12092" max="12092" width="9.7109375" style="1" customWidth="1"/>
    <col min="12093" max="12094" width="8.85546875" style="1" customWidth="1"/>
    <col min="12095" max="12095" width="9.28515625" style="1" customWidth="1"/>
    <col min="12096" max="12116" width="8.85546875" style="1" customWidth="1"/>
    <col min="12117" max="12117" width="9.85546875" style="1" customWidth="1"/>
    <col min="12118" max="12118" width="8.85546875" style="1" customWidth="1"/>
    <col min="12119" max="12119" width="10" style="1" customWidth="1"/>
    <col min="12120" max="12136" width="8.85546875" style="1" customWidth="1"/>
    <col min="12137" max="12137" width="9.42578125" style="1" customWidth="1"/>
    <col min="12138" max="12138" width="8.85546875" style="1" customWidth="1"/>
    <col min="12139" max="12139" width="12" style="1" customWidth="1"/>
    <col min="12140" max="12140" width="11.140625" style="1" customWidth="1"/>
    <col min="12141" max="12141" width="28.7109375" style="1" customWidth="1"/>
    <col min="12142" max="12142" width="5.85546875" style="1" customWidth="1"/>
    <col min="12143" max="12292" width="9.140625" style="1"/>
    <col min="12293" max="12293" width="3.42578125" style="1" customWidth="1"/>
    <col min="12294" max="12294" width="27.85546875" style="1" customWidth="1"/>
    <col min="12295" max="12295" width="11.85546875" style="1" customWidth="1"/>
    <col min="12296" max="12296" width="15.140625" style="1" customWidth="1"/>
    <col min="12297" max="12297" width="10.28515625" style="1" customWidth="1"/>
    <col min="12298" max="12299" width="9.7109375" style="1" customWidth="1"/>
    <col min="12300" max="12300" width="10.42578125" style="1" customWidth="1"/>
    <col min="12301" max="12301" width="10.42578125" style="1" bestFit="1" customWidth="1"/>
    <col min="12302" max="12302" width="16.28515625" style="1" customWidth="1"/>
    <col min="12303" max="12303" width="15.140625" style="1" customWidth="1"/>
    <col min="12304" max="12304" width="13.5703125" style="1" customWidth="1"/>
    <col min="12305" max="12305" width="10.5703125" style="1" customWidth="1"/>
    <col min="12306" max="12306" width="10.85546875" style="1" customWidth="1"/>
    <col min="12307" max="12307" width="18" style="1" customWidth="1"/>
    <col min="12308" max="12308" width="20.85546875" style="1" customWidth="1"/>
    <col min="12309" max="12309" width="13.5703125" style="1" customWidth="1"/>
    <col min="12310" max="12310" width="14.140625" style="1" customWidth="1"/>
    <col min="12311" max="12313" width="8.85546875" style="1" customWidth="1"/>
    <col min="12314" max="12314" width="9.28515625" style="1" customWidth="1"/>
    <col min="12315" max="12315" width="14" style="1" customWidth="1"/>
    <col min="12316" max="12317" width="8.85546875" style="1" customWidth="1"/>
    <col min="12318" max="12318" width="10.140625" style="1" customWidth="1"/>
    <col min="12319" max="12320" width="9.5703125" style="1" customWidth="1"/>
    <col min="12321" max="12321" width="9.85546875" style="1" customWidth="1"/>
    <col min="12322" max="12323" width="10.140625" style="1" customWidth="1"/>
    <col min="12324" max="12326" width="9.28515625" style="1" customWidth="1"/>
    <col min="12327" max="12327" width="9.85546875" style="1" customWidth="1"/>
    <col min="12328" max="12329" width="8.5703125" style="1" customWidth="1"/>
    <col min="12330" max="12332" width="8.85546875" style="1" customWidth="1"/>
    <col min="12333" max="12333" width="9.28515625" style="1" customWidth="1"/>
    <col min="12334" max="12335" width="8.85546875" style="1" customWidth="1"/>
    <col min="12336" max="12336" width="10" style="1" customWidth="1"/>
    <col min="12337" max="12338" width="8.85546875" style="1" customWidth="1"/>
    <col min="12339" max="12339" width="11" style="1" customWidth="1"/>
    <col min="12340" max="12341" width="9.5703125" style="1" customWidth="1"/>
    <col min="12342" max="12344" width="8.85546875" style="1" customWidth="1"/>
    <col min="12345" max="12345" width="10.42578125" style="1" customWidth="1"/>
    <col min="12346" max="12347" width="8.85546875" style="1" customWidth="1"/>
    <col min="12348" max="12348" width="9.7109375" style="1" customWidth="1"/>
    <col min="12349" max="12350" width="8.85546875" style="1" customWidth="1"/>
    <col min="12351" max="12351" width="9.28515625" style="1" customWidth="1"/>
    <col min="12352" max="12372" width="8.85546875" style="1" customWidth="1"/>
    <col min="12373" max="12373" width="9.85546875" style="1" customWidth="1"/>
    <col min="12374" max="12374" width="8.85546875" style="1" customWidth="1"/>
    <col min="12375" max="12375" width="10" style="1" customWidth="1"/>
    <col min="12376" max="12392" width="8.85546875" style="1" customWidth="1"/>
    <col min="12393" max="12393" width="9.42578125" style="1" customWidth="1"/>
    <col min="12394" max="12394" width="8.85546875" style="1" customWidth="1"/>
    <col min="12395" max="12395" width="12" style="1" customWidth="1"/>
    <col min="12396" max="12396" width="11.140625" style="1" customWidth="1"/>
    <col min="12397" max="12397" width="28.7109375" style="1" customWidth="1"/>
    <col min="12398" max="12398" width="5.85546875" style="1" customWidth="1"/>
    <col min="12399" max="12548" width="9.140625" style="1"/>
    <col min="12549" max="12549" width="3.42578125" style="1" customWidth="1"/>
    <col min="12550" max="12550" width="27.85546875" style="1" customWidth="1"/>
    <col min="12551" max="12551" width="11.85546875" style="1" customWidth="1"/>
    <col min="12552" max="12552" width="15.140625" style="1" customWidth="1"/>
    <col min="12553" max="12553" width="10.28515625" style="1" customWidth="1"/>
    <col min="12554" max="12555" width="9.7109375" style="1" customWidth="1"/>
    <col min="12556" max="12556" width="10.42578125" style="1" customWidth="1"/>
    <col min="12557" max="12557" width="10.42578125" style="1" bestFit="1" customWidth="1"/>
    <col min="12558" max="12558" width="16.28515625" style="1" customWidth="1"/>
    <col min="12559" max="12559" width="15.140625" style="1" customWidth="1"/>
    <col min="12560" max="12560" width="13.5703125" style="1" customWidth="1"/>
    <col min="12561" max="12561" width="10.5703125" style="1" customWidth="1"/>
    <col min="12562" max="12562" width="10.85546875" style="1" customWidth="1"/>
    <col min="12563" max="12563" width="18" style="1" customWidth="1"/>
    <col min="12564" max="12564" width="20.85546875" style="1" customWidth="1"/>
    <col min="12565" max="12565" width="13.5703125" style="1" customWidth="1"/>
    <col min="12566" max="12566" width="14.140625" style="1" customWidth="1"/>
    <col min="12567" max="12569" width="8.85546875" style="1" customWidth="1"/>
    <col min="12570" max="12570" width="9.28515625" style="1" customWidth="1"/>
    <col min="12571" max="12571" width="14" style="1" customWidth="1"/>
    <col min="12572" max="12573" width="8.85546875" style="1" customWidth="1"/>
    <col min="12574" max="12574" width="10.140625" style="1" customWidth="1"/>
    <col min="12575" max="12576" width="9.5703125" style="1" customWidth="1"/>
    <col min="12577" max="12577" width="9.85546875" style="1" customWidth="1"/>
    <col min="12578" max="12579" width="10.140625" style="1" customWidth="1"/>
    <col min="12580" max="12582" width="9.28515625" style="1" customWidth="1"/>
    <col min="12583" max="12583" width="9.85546875" style="1" customWidth="1"/>
    <col min="12584" max="12585" width="8.5703125" style="1" customWidth="1"/>
    <col min="12586" max="12588" width="8.85546875" style="1" customWidth="1"/>
    <col min="12589" max="12589" width="9.28515625" style="1" customWidth="1"/>
    <col min="12590" max="12591" width="8.85546875" style="1" customWidth="1"/>
    <col min="12592" max="12592" width="10" style="1" customWidth="1"/>
    <col min="12593" max="12594" width="8.85546875" style="1" customWidth="1"/>
    <col min="12595" max="12595" width="11" style="1" customWidth="1"/>
    <col min="12596" max="12597" width="9.5703125" style="1" customWidth="1"/>
    <col min="12598" max="12600" width="8.85546875" style="1" customWidth="1"/>
    <col min="12601" max="12601" width="10.42578125" style="1" customWidth="1"/>
    <col min="12602" max="12603" width="8.85546875" style="1" customWidth="1"/>
    <col min="12604" max="12604" width="9.7109375" style="1" customWidth="1"/>
    <col min="12605" max="12606" width="8.85546875" style="1" customWidth="1"/>
    <col min="12607" max="12607" width="9.28515625" style="1" customWidth="1"/>
    <col min="12608" max="12628" width="8.85546875" style="1" customWidth="1"/>
    <col min="12629" max="12629" width="9.85546875" style="1" customWidth="1"/>
    <col min="12630" max="12630" width="8.85546875" style="1" customWidth="1"/>
    <col min="12631" max="12631" width="10" style="1" customWidth="1"/>
    <col min="12632" max="12648" width="8.85546875" style="1" customWidth="1"/>
    <col min="12649" max="12649" width="9.42578125" style="1" customWidth="1"/>
    <col min="12650" max="12650" width="8.85546875" style="1" customWidth="1"/>
    <col min="12651" max="12651" width="12" style="1" customWidth="1"/>
    <col min="12652" max="12652" width="11.140625" style="1" customWidth="1"/>
    <col min="12653" max="12653" width="28.7109375" style="1" customWidth="1"/>
    <col min="12654" max="12654" width="5.85546875" style="1" customWidth="1"/>
    <col min="12655" max="12804" width="9.140625" style="1"/>
    <col min="12805" max="12805" width="3.42578125" style="1" customWidth="1"/>
    <col min="12806" max="12806" width="27.85546875" style="1" customWidth="1"/>
    <col min="12807" max="12807" width="11.85546875" style="1" customWidth="1"/>
    <col min="12808" max="12808" width="15.140625" style="1" customWidth="1"/>
    <col min="12809" max="12809" width="10.28515625" style="1" customWidth="1"/>
    <col min="12810" max="12811" width="9.7109375" style="1" customWidth="1"/>
    <col min="12812" max="12812" width="10.42578125" style="1" customWidth="1"/>
    <col min="12813" max="12813" width="10.42578125" style="1" bestFit="1" customWidth="1"/>
    <col min="12814" max="12814" width="16.28515625" style="1" customWidth="1"/>
    <col min="12815" max="12815" width="15.140625" style="1" customWidth="1"/>
    <col min="12816" max="12816" width="13.5703125" style="1" customWidth="1"/>
    <col min="12817" max="12817" width="10.5703125" style="1" customWidth="1"/>
    <col min="12818" max="12818" width="10.85546875" style="1" customWidth="1"/>
    <col min="12819" max="12819" width="18" style="1" customWidth="1"/>
    <col min="12820" max="12820" width="20.85546875" style="1" customWidth="1"/>
    <col min="12821" max="12821" width="13.5703125" style="1" customWidth="1"/>
    <col min="12822" max="12822" width="14.140625" style="1" customWidth="1"/>
    <col min="12823" max="12825" width="8.85546875" style="1" customWidth="1"/>
    <col min="12826" max="12826" width="9.28515625" style="1" customWidth="1"/>
    <col min="12827" max="12827" width="14" style="1" customWidth="1"/>
    <col min="12828" max="12829" width="8.85546875" style="1" customWidth="1"/>
    <col min="12830" max="12830" width="10.140625" style="1" customWidth="1"/>
    <col min="12831" max="12832" width="9.5703125" style="1" customWidth="1"/>
    <col min="12833" max="12833" width="9.85546875" style="1" customWidth="1"/>
    <col min="12834" max="12835" width="10.140625" style="1" customWidth="1"/>
    <col min="12836" max="12838" width="9.28515625" style="1" customWidth="1"/>
    <col min="12839" max="12839" width="9.85546875" style="1" customWidth="1"/>
    <col min="12840" max="12841" width="8.5703125" style="1" customWidth="1"/>
    <col min="12842" max="12844" width="8.85546875" style="1" customWidth="1"/>
    <col min="12845" max="12845" width="9.28515625" style="1" customWidth="1"/>
    <col min="12846" max="12847" width="8.85546875" style="1" customWidth="1"/>
    <col min="12848" max="12848" width="10" style="1" customWidth="1"/>
    <col min="12849" max="12850" width="8.85546875" style="1" customWidth="1"/>
    <col min="12851" max="12851" width="11" style="1" customWidth="1"/>
    <col min="12852" max="12853" width="9.5703125" style="1" customWidth="1"/>
    <col min="12854" max="12856" width="8.85546875" style="1" customWidth="1"/>
    <col min="12857" max="12857" width="10.42578125" style="1" customWidth="1"/>
    <col min="12858" max="12859" width="8.85546875" style="1" customWidth="1"/>
    <col min="12860" max="12860" width="9.7109375" style="1" customWidth="1"/>
    <col min="12861" max="12862" width="8.85546875" style="1" customWidth="1"/>
    <col min="12863" max="12863" width="9.28515625" style="1" customWidth="1"/>
    <col min="12864" max="12884" width="8.85546875" style="1" customWidth="1"/>
    <col min="12885" max="12885" width="9.85546875" style="1" customWidth="1"/>
    <col min="12886" max="12886" width="8.85546875" style="1" customWidth="1"/>
    <col min="12887" max="12887" width="10" style="1" customWidth="1"/>
    <col min="12888" max="12904" width="8.85546875" style="1" customWidth="1"/>
    <col min="12905" max="12905" width="9.42578125" style="1" customWidth="1"/>
    <col min="12906" max="12906" width="8.85546875" style="1" customWidth="1"/>
    <col min="12907" max="12907" width="12" style="1" customWidth="1"/>
    <col min="12908" max="12908" width="11.140625" style="1" customWidth="1"/>
    <col min="12909" max="12909" width="28.7109375" style="1" customWidth="1"/>
    <col min="12910" max="12910" width="5.85546875" style="1" customWidth="1"/>
    <col min="12911" max="13060" width="9.140625" style="1"/>
    <col min="13061" max="13061" width="3.42578125" style="1" customWidth="1"/>
    <col min="13062" max="13062" width="27.85546875" style="1" customWidth="1"/>
    <col min="13063" max="13063" width="11.85546875" style="1" customWidth="1"/>
    <col min="13064" max="13064" width="15.140625" style="1" customWidth="1"/>
    <col min="13065" max="13065" width="10.28515625" style="1" customWidth="1"/>
    <col min="13066" max="13067" width="9.7109375" style="1" customWidth="1"/>
    <col min="13068" max="13068" width="10.42578125" style="1" customWidth="1"/>
    <col min="13069" max="13069" width="10.42578125" style="1" bestFit="1" customWidth="1"/>
    <col min="13070" max="13070" width="16.28515625" style="1" customWidth="1"/>
    <col min="13071" max="13071" width="15.140625" style="1" customWidth="1"/>
    <col min="13072" max="13072" width="13.5703125" style="1" customWidth="1"/>
    <col min="13073" max="13073" width="10.5703125" style="1" customWidth="1"/>
    <col min="13074" max="13074" width="10.85546875" style="1" customWidth="1"/>
    <col min="13075" max="13075" width="18" style="1" customWidth="1"/>
    <col min="13076" max="13076" width="20.85546875" style="1" customWidth="1"/>
    <col min="13077" max="13077" width="13.5703125" style="1" customWidth="1"/>
    <col min="13078" max="13078" width="14.140625" style="1" customWidth="1"/>
    <col min="13079" max="13081" width="8.85546875" style="1" customWidth="1"/>
    <col min="13082" max="13082" width="9.28515625" style="1" customWidth="1"/>
    <col min="13083" max="13083" width="14" style="1" customWidth="1"/>
    <col min="13084" max="13085" width="8.85546875" style="1" customWidth="1"/>
    <col min="13086" max="13086" width="10.140625" style="1" customWidth="1"/>
    <col min="13087" max="13088" width="9.5703125" style="1" customWidth="1"/>
    <col min="13089" max="13089" width="9.85546875" style="1" customWidth="1"/>
    <col min="13090" max="13091" width="10.140625" style="1" customWidth="1"/>
    <col min="13092" max="13094" width="9.28515625" style="1" customWidth="1"/>
    <col min="13095" max="13095" width="9.85546875" style="1" customWidth="1"/>
    <col min="13096" max="13097" width="8.5703125" style="1" customWidth="1"/>
    <col min="13098" max="13100" width="8.85546875" style="1" customWidth="1"/>
    <col min="13101" max="13101" width="9.28515625" style="1" customWidth="1"/>
    <col min="13102" max="13103" width="8.85546875" style="1" customWidth="1"/>
    <col min="13104" max="13104" width="10" style="1" customWidth="1"/>
    <col min="13105" max="13106" width="8.85546875" style="1" customWidth="1"/>
    <col min="13107" max="13107" width="11" style="1" customWidth="1"/>
    <col min="13108" max="13109" width="9.5703125" style="1" customWidth="1"/>
    <col min="13110" max="13112" width="8.85546875" style="1" customWidth="1"/>
    <col min="13113" max="13113" width="10.42578125" style="1" customWidth="1"/>
    <col min="13114" max="13115" width="8.85546875" style="1" customWidth="1"/>
    <col min="13116" max="13116" width="9.7109375" style="1" customWidth="1"/>
    <col min="13117" max="13118" width="8.85546875" style="1" customWidth="1"/>
    <col min="13119" max="13119" width="9.28515625" style="1" customWidth="1"/>
    <col min="13120" max="13140" width="8.85546875" style="1" customWidth="1"/>
    <col min="13141" max="13141" width="9.85546875" style="1" customWidth="1"/>
    <col min="13142" max="13142" width="8.85546875" style="1" customWidth="1"/>
    <col min="13143" max="13143" width="10" style="1" customWidth="1"/>
    <col min="13144" max="13160" width="8.85546875" style="1" customWidth="1"/>
    <col min="13161" max="13161" width="9.42578125" style="1" customWidth="1"/>
    <col min="13162" max="13162" width="8.85546875" style="1" customWidth="1"/>
    <col min="13163" max="13163" width="12" style="1" customWidth="1"/>
    <col min="13164" max="13164" width="11.140625" style="1" customWidth="1"/>
    <col min="13165" max="13165" width="28.7109375" style="1" customWidth="1"/>
    <col min="13166" max="13166" width="5.85546875" style="1" customWidth="1"/>
    <col min="13167" max="13316" width="9.140625" style="1"/>
    <col min="13317" max="13317" width="3.42578125" style="1" customWidth="1"/>
    <col min="13318" max="13318" width="27.85546875" style="1" customWidth="1"/>
    <col min="13319" max="13319" width="11.85546875" style="1" customWidth="1"/>
    <col min="13320" max="13320" width="15.140625" style="1" customWidth="1"/>
    <col min="13321" max="13321" width="10.28515625" style="1" customWidth="1"/>
    <col min="13322" max="13323" width="9.7109375" style="1" customWidth="1"/>
    <col min="13324" max="13324" width="10.42578125" style="1" customWidth="1"/>
    <col min="13325" max="13325" width="10.42578125" style="1" bestFit="1" customWidth="1"/>
    <col min="13326" max="13326" width="16.28515625" style="1" customWidth="1"/>
    <col min="13327" max="13327" width="15.140625" style="1" customWidth="1"/>
    <col min="13328" max="13328" width="13.5703125" style="1" customWidth="1"/>
    <col min="13329" max="13329" width="10.5703125" style="1" customWidth="1"/>
    <col min="13330" max="13330" width="10.85546875" style="1" customWidth="1"/>
    <col min="13331" max="13331" width="18" style="1" customWidth="1"/>
    <col min="13332" max="13332" width="20.85546875" style="1" customWidth="1"/>
    <col min="13333" max="13333" width="13.5703125" style="1" customWidth="1"/>
    <col min="13334" max="13334" width="14.140625" style="1" customWidth="1"/>
    <col min="13335" max="13337" width="8.85546875" style="1" customWidth="1"/>
    <col min="13338" max="13338" width="9.28515625" style="1" customWidth="1"/>
    <col min="13339" max="13339" width="14" style="1" customWidth="1"/>
    <col min="13340" max="13341" width="8.85546875" style="1" customWidth="1"/>
    <col min="13342" max="13342" width="10.140625" style="1" customWidth="1"/>
    <col min="13343" max="13344" width="9.5703125" style="1" customWidth="1"/>
    <col min="13345" max="13345" width="9.85546875" style="1" customWidth="1"/>
    <col min="13346" max="13347" width="10.140625" style="1" customWidth="1"/>
    <col min="13348" max="13350" width="9.28515625" style="1" customWidth="1"/>
    <col min="13351" max="13351" width="9.85546875" style="1" customWidth="1"/>
    <col min="13352" max="13353" width="8.5703125" style="1" customWidth="1"/>
    <col min="13354" max="13356" width="8.85546875" style="1" customWidth="1"/>
    <col min="13357" max="13357" width="9.28515625" style="1" customWidth="1"/>
    <col min="13358" max="13359" width="8.85546875" style="1" customWidth="1"/>
    <col min="13360" max="13360" width="10" style="1" customWidth="1"/>
    <col min="13361" max="13362" width="8.85546875" style="1" customWidth="1"/>
    <col min="13363" max="13363" width="11" style="1" customWidth="1"/>
    <col min="13364" max="13365" width="9.5703125" style="1" customWidth="1"/>
    <col min="13366" max="13368" width="8.85546875" style="1" customWidth="1"/>
    <col min="13369" max="13369" width="10.42578125" style="1" customWidth="1"/>
    <col min="13370" max="13371" width="8.85546875" style="1" customWidth="1"/>
    <col min="13372" max="13372" width="9.7109375" style="1" customWidth="1"/>
    <col min="13373" max="13374" width="8.85546875" style="1" customWidth="1"/>
    <col min="13375" max="13375" width="9.28515625" style="1" customWidth="1"/>
    <col min="13376" max="13396" width="8.85546875" style="1" customWidth="1"/>
    <col min="13397" max="13397" width="9.85546875" style="1" customWidth="1"/>
    <col min="13398" max="13398" width="8.85546875" style="1" customWidth="1"/>
    <col min="13399" max="13399" width="10" style="1" customWidth="1"/>
    <col min="13400" max="13416" width="8.85546875" style="1" customWidth="1"/>
    <col min="13417" max="13417" width="9.42578125" style="1" customWidth="1"/>
    <col min="13418" max="13418" width="8.85546875" style="1" customWidth="1"/>
    <col min="13419" max="13419" width="12" style="1" customWidth="1"/>
    <col min="13420" max="13420" width="11.140625" style="1" customWidth="1"/>
    <col min="13421" max="13421" width="28.7109375" style="1" customWidth="1"/>
    <col min="13422" max="13422" width="5.85546875" style="1" customWidth="1"/>
    <col min="13423" max="13572" width="9.140625" style="1"/>
    <col min="13573" max="13573" width="3.42578125" style="1" customWidth="1"/>
    <col min="13574" max="13574" width="27.85546875" style="1" customWidth="1"/>
    <col min="13575" max="13575" width="11.85546875" style="1" customWidth="1"/>
    <col min="13576" max="13576" width="15.140625" style="1" customWidth="1"/>
    <col min="13577" max="13577" width="10.28515625" style="1" customWidth="1"/>
    <col min="13578" max="13579" width="9.7109375" style="1" customWidth="1"/>
    <col min="13580" max="13580" width="10.42578125" style="1" customWidth="1"/>
    <col min="13581" max="13581" width="10.42578125" style="1" bestFit="1" customWidth="1"/>
    <col min="13582" max="13582" width="16.28515625" style="1" customWidth="1"/>
    <col min="13583" max="13583" width="15.140625" style="1" customWidth="1"/>
    <col min="13584" max="13584" width="13.5703125" style="1" customWidth="1"/>
    <col min="13585" max="13585" width="10.5703125" style="1" customWidth="1"/>
    <col min="13586" max="13586" width="10.85546875" style="1" customWidth="1"/>
    <col min="13587" max="13587" width="18" style="1" customWidth="1"/>
    <col min="13588" max="13588" width="20.85546875" style="1" customWidth="1"/>
    <col min="13589" max="13589" width="13.5703125" style="1" customWidth="1"/>
    <col min="13590" max="13590" width="14.140625" style="1" customWidth="1"/>
    <col min="13591" max="13593" width="8.85546875" style="1" customWidth="1"/>
    <col min="13594" max="13594" width="9.28515625" style="1" customWidth="1"/>
    <col min="13595" max="13595" width="14" style="1" customWidth="1"/>
    <col min="13596" max="13597" width="8.85546875" style="1" customWidth="1"/>
    <col min="13598" max="13598" width="10.140625" style="1" customWidth="1"/>
    <col min="13599" max="13600" width="9.5703125" style="1" customWidth="1"/>
    <col min="13601" max="13601" width="9.85546875" style="1" customWidth="1"/>
    <col min="13602" max="13603" width="10.140625" style="1" customWidth="1"/>
    <col min="13604" max="13606" width="9.28515625" style="1" customWidth="1"/>
    <col min="13607" max="13607" width="9.85546875" style="1" customWidth="1"/>
    <col min="13608" max="13609" width="8.5703125" style="1" customWidth="1"/>
    <col min="13610" max="13612" width="8.85546875" style="1" customWidth="1"/>
    <col min="13613" max="13613" width="9.28515625" style="1" customWidth="1"/>
    <col min="13614" max="13615" width="8.85546875" style="1" customWidth="1"/>
    <col min="13616" max="13616" width="10" style="1" customWidth="1"/>
    <col min="13617" max="13618" width="8.85546875" style="1" customWidth="1"/>
    <col min="13619" max="13619" width="11" style="1" customWidth="1"/>
    <col min="13620" max="13621" width="9.5703125" style="1" customWidth="1"/>
    <col min="13622" max="13624" width="8.85546875" style="1" customWidth="1"/>
    <col min="13625" max="13625" width="10.42578125" style="1" customWidth="1"/>
    <col min="13626" max="13627" width="8.85546875" style="1" customWidth="1"/>
    <col min="13628" max="13628" width="9.7109375" style="1" customWidth="1"/>
    <col min="13629" max="13630" width="8.85546875" style="1" customWidth="1"/>
    <col min="13631" max="13631" width="9.28515625" style="1" customWidth="1"/>
    <col min="13632" max="13652" width="8.85546875" style="1" customWidth="1"/>
    <col min="13653" max="13653" width="9.85546875" style="1" customWidth="1"/>
    <col min="13654" max="13654" width="8.85546875" style="1" customWidth="1"/>
    <col min="13655" max="13655" width="10" style="1" customWidth="1"/>
    <col min="13656" max="13672" width="8.85546875" style="1" customWidth="1"/>
    <col min="13673" max="13673" width="9.42578125" style="1" customWidth="1"/>
    <col min="13674" max="13674" width="8.85546875" style="1" customWidth="1"/>
    <col min="13675" max="13675" width="12" style="1" customWidth="1"/>
    <col min="13676" max="13676" width="11.140625" style="1" customWidth="1"/>
    <col min="13677" max="13677" width="28.7109375" style="1" customWidth="1"/>
    <col min="13678" max="13678" width="5.85546875" style="1" customWidth="1"/>
    <col min="13679" max="13828" width="9.140625" style="1"/>
    <col min="13829" max="13829" width="3.42578125" style="1" customWidth="1"/>
    <col min="13830" max="13830" width="27.85546875" style="1" customWidth="1"/>
    <col min="13831" max="13831" width="11.85546875" style="1" customWidth="1"/>
    <col min="13832" max="13832" width="15.140625" style="1" customWidth="1"/>
    <col min="13833" max="13833" width="10.28515625" style="1" customWidth="1"/>
    <col min="13834" max="13835" width="9.7109375" style="1" customWidth="1"/>
    <col min="13836" max="13836" width="10.42578125" style="1" customWidth="1"/>
    <col min="13837" max="13837" width="10.42578125" style="1" bestFit="1" customWidth="1"/>
    <col min="13838" max="13838" width="16.28515625" style="1" customWidth="1"/>
    <col min="13839" max="13839" width="15.140625" style="1" customWidth="1"/>
    <col min="13840" max="13840" width="13.5703125" style="1" customWidth="1"/>
    <col min="13841" max="13841" width="10.5703125" style="1" customWidth="1"/>
    <col min="13842" max="13842" width="10.85546875" style="1" customWidth="1"/>
    <col min="13843" max="13843" width="18" style="1" customWidth="1"/>
    <col min="13844" max="13844" width="20.85546875" style="1" customWidth="1"/>
    <col min="13845" max="13845" width="13.5703125" style="1" customWidth="1"/>
    <col min="13846" max="13846" width="14.140625" style="1" customWidth="1"/>
    <col min="13847" max="13849" width="8.85546875" style="1" customWidth="1"/>
    <col min="13850" max="13850" width="9.28515625" style="1" customWidth="1"/>
    <col min="13851" max="13851" width="14" style="1" customWidth="1"/>
    <col min="13852" max="13853" width="8.85546875" style="1" customWidth="1"/>
    <col min="13854" max="13854" width="10.140625" style="1" customWidth="1"/>
    <col min="13855" max="13856" width="9.5703125" style="1" customWidth="1"/>
    <col min="13857" max="13857" width="9.85546875" style="1" customWidth="1"/>
    <col min="13858" max="13859" width="10.140625" style="1" customWidth="1"/>
    <col min="13860" max="13862" width="9.28515625" style="1" customWidth="1"/>
    <col min="13863" max="13863" width="9.85546875" style="1" customWidth="1"/>
    <col min="13864" max="13865" width="8.5703125" style="1" customWidth="1"/>
    <col min="13866" max="13868" width="8.85546875" style="1" customWidth="1"/>
    <col min="13869" max="13869" width="9.28515625" style="1" customWidth="1"/>
    <col min="13870" max="13871" width="8.85546875" style="1" customWidth="1"/>
    <col min="13872" max="13872" width="10" style="1" customWidth="1"/>
    <col min="13873" max="13874" width="8.85546875" style="1" customWidth="1"/>
    <col min="13875" max="13875" width="11" style="1" customWidth="1"/>
    <col min="13876" max="13877" width="9.5703125" style="1" customWidth="1"/>
    <col min="13878" max="13880" width="8.85546875" style="1" customWidth="1"/>
    <col min="13881" max="13881" width="10.42578125" style="1" customWidth="1"/>
    <col min="13882" max="13883" width="8.85546875" style="1" customWidth="1"/>
    <col min="13884" max="13884" width="9.7109375" style="1" customWidth="1"/>
    <col min="13885" max="13886" width="8.85546875" style="1" customWidth="1"/>
    <col min="13887" max="13887" width="9.28515625" style="1" customWidth="1"/>
    <col min="13888" max="13908" width="8.85546875" style="1" customWidth="1"/>
    <col min="13909" max="13909" width="9.85546875" style="1" customWidth="1"/>
    <col min="13910" max="13910" width="8.85546875" style="1" customWidth="1"/>
    <col min="13911" max="13911" width="10" style="1" customWidth="1"/>
    <col min="13912" max="13928" width="8.85546875" style="1" customWidth="1"/>
    <col min="13929" max="13929" width="9.42578125" style="1" customWidth="1"/>
    <col min="13930" max="13930" width="8.85546875" style="1" customWidth="1"/>
    <col min="13931" max="13931" width="12" style="1" customWidth="1"/>
    <col min="13932" max="13932" width="11.140625" style="1" customWidth="1"/>
    <col min="13933" max="13933" width="28.7109375" style="1" customWidth="1"/>
    <col min="13934" max="13934" width="5.85546875" style="1" customWidth="1"/>
    <col min="13935" max="14084" width="9.140625" style="1"/>
    <col min="14085" max="14085" width="3.42578125" style="1" customWidth="1"/>
    <col min="14086" max="14086" width="27.85546875" style="1" customWidth="1"/>
    <col min="14087" max="14087" width="11.85546875" style="1" customWidth="1"/>
    <col min="14088" max="14088" width="15.140625" style="1" customWidth="1"/>
    <col min="14089" max="14089" width="10.28515625" style="1" customWidth="1"/>
    <col min="14090" max="14091" width="9.7109375" style="1" customWidth="1"/>
    <col min="14092" max="14092" width="10.42578125" style="1" customWidth="1"/>
    <col min="14093" max="14093" width="10.42578125" style="1" bestFit="1" customWidth="1"/>
    <col min="14094" max="14094" width="16.28515625" style="1" customWidth="1"/>
    <col min="14095" max="14095" width="15.140625" style="1" customWidth="1"/>
    <col min="14096" max="14096" width="13.5703125" style="1" customWidth="1"/>
    <col min="14097" max="14097" width="10.5703125" style="1" customWidth="1"/>
    <col min="14098" max="14098" width="10.85546875" style="1" customWidth="1"/>
    <col min="14099" max="14099" width="18" style="1" customWidth="1"/>
    <col min="14100" max="14100" width="20.85546875" style="1" customWidth="1"/>
    <col min="14101" max="14101" width="13.5703125" style="1" customWidth="1"/>
    <col min="14102" max="14102" width="14.140625" style="1" customWidth="1"/>
    <col min="14103" max="14105" width="8.85546875" style="1" customWidth="1"/>
    <col min="14106" max="14106" width="9.28515625" style="1" customWidth="1"/>
    <col min="14107" max="14107" width="14" style="1" customWidth="1"/>
    <col min="14108" max="14109" width="8.85546875" style="1" customWidth="1"/>
    <col min="14110" max="14110" width="10.140625" style="1" customWidth="1"/>
    <col min="14111" max="14112" width="9.5703125" style="1" customWidth="1"/>
    <col min="14113" max="14113" width="9.85546875" style="1" customWidth="1"/>
    <col min="14114" max="14115" width="10.140625" style="1" customWidth="1"/>
    <col min="14116" max="14118" width="9.28515625" style="1" customWidth="1"/>
    <col min="14119" max="14119" width="9.85546875" style="1" customWidth="1"/>
    <col min="14120" max="14121" width="8.5703125" style="1" customWidth="1"/>
    <col min="14122" max="14124" width="8.85546875" style="1" customWidth="1"/>
    <col min="14125" max="14125" width="9.28515625" style="1" customWidth="1"/>
    <col min="14126" max="14127" width="8.85546875" style="1" customWidth="1"/>
    <col min="14128" max="14128" width="10" style="1" customWidth="1"/>
    <col min="14129" max="14130" width="8.85546875" style="1" customWidth="1"/>
    <col min="14131" max="14131" width="11" style="1" customWidth="1"/>
    <col min="14132" max="14133" width="9.5703125" style="1" customWidth="1"/>
    <col min="14134" max="14136" width="8.85546875" style="1" customWidth="1"/>
    <col min="14137" max="14137" width="10.42578125" style="1" customWidth="1"/>
    <col min="14138" max="14139" width="8.85546875" style="1" customWidth="1"/>
    <col min="14140" max="14140" width="9.7109375" style="1" customWidth="1"/>
    <col min="14141" max="14142" width="8.85546875" style="1" customWidth="1"/>
    <col min="14143" max="14143" width="9.28515625" style="1" customWidth="1"/>
    <col min="14144" max="14164" width="8.85546875" style="1" customWidth="1"/>
    <col min="14165" max="14165" width="9.85546875" style="1" customWidth="1"/>
    <col min="14166" max="14166" width="8.85546875" style="1" customWidth="1"/>
    <col min="14167" max="14167" width="10" style="1" customWidth="1"/>
    <col min="14168" max="14184" width="8.85546875" style="1" customWidth="1"/>
    <col min="14185" max="14185" width="9.42578125" style="1" customWidth="1"/>
    <col min="14186" max="14186" width="8.85546875" style="1" customWidth="1"/>
    <col min="14187" max="14187" width="12" style="1" customWidth="1"/>
    <col min="14188" max="14188" width="11.140625" style="1" customWidth="1"/>
    <col min="14189" max="14189" width="28.7109375" style="1" customWidth="1"/>
    <col min="14190" max="14190" width="5.85546875" style="1" customWidth="1"/>
    <col min="14191" max="14340" width="9.140625" style="1"/>
    <col min="14341" max="14341" width="3.42578125" style="1" customWidth="1"/>
    <col min="14342" max="14342" width="27.85546875" style="1" customWidth="1"/>
    <col min="14343" max="14343" width="11.85546875" style="1" customWidth="1"/>
    <col min="14344" max="14344" width="15.140625" style="1" customWidth="1"/>
    <col min="14345" max="14345" width="10.28515625" style="1" customWidth="1"/>
    <col min="14346" max="14347" width="9.7109375" style="1" customWidth="1"/>
    <col min="14348" max="14348" width="10.42578125" style="1" customWidth="1"/>
    <col min="14349" max="14349" width="10.42578125" style="1" bestFit="1" customWidth="1"/>
    <col min="14350" max="14350" width="16.28515625" style="1" customWidth="1"/>
    <col min="14351" max="14351" width="15.140625" style="1" customWidth="1"/>
    <col min="14352" max="14352" width="13.5703125" style="1" customWidth="1"/>
    <col min="14353" max="14353" width="10.5703125" style="1" customWidth="1"/>
    <col min="14354" max="14354" width="10.85546875" style="1" customWidth="1"/>
    <col min="14355" max="14355" width="18" style="1" customWidth="1"/>
    <col min="14356" max="14356" width="20.85546875" style="1" customWidth="1"/>
    <col min="14357" max="14357" width="13.5703125" style="1" customWidth="1"/>
    <col min="14358" max="14358" width="14.140625" style="1" customWidth="1"/>
    <col min="14359" max="14361" width="8.85546875" style="1" customWidth="1"/>
    <col min="14362" max="14362" width="9.28515625" style="1" customWidth="1"/>
    <col min="14363" max="14363" width="14" style="1" customWidth="1"/>
    <col min="14364" max="14365" width="8.85546875" style="1" customWidth="1"/>
    <col min="14366" max="14366" width="10.140625" style="1" customWidth="1"/>
    <col min="14367" max="14368" width="9.5703125" style="1" customWidth="1"/>
    <col min="14369" max="14369" width="9.85546875" style="1" customWidth="1"/>
    <col min="14370" max="14371" width="10.140625" style="1" customWidth="1"/>
    <col min="14372" max="14374" width="9.28515625" style="1" customWidth="1"/>
    <col min="14375" max="14375" width="9.85546875" style="1" customWidth="1"/>
    <col min="14376" max="14377" width="8.5703125" style="1" customWidth="1"/>
    <col min="14378" max="14380" width="8.85546875" style="1" customWidth="1"/>
    <col min="14381" max="14381" width="9.28515625" style="1" customWidth="1"/>
    <col min="14382" max="14383" width="8.85546875" style="1" customWidth="1"/>
    <col min="14384" max="14384" width="10" style="1" customWidth="1"/>
    <col min="14385" max="14386" width="8.85546875" style="1" customWidth="1"/>
    <col min="14387" max="14387" width="11" style="1" customWidth="1"/>
    <col min="14388" max="14389" width="9.5703125" style="1" customWidth="1"/>
    <col min="14390" max="14392" width="8.85546875" style="1" customWidth="1"/>
    <col min="14393" max="14393" width="10.42578125" style="1" customWidth="1"/>
    <col min="14394" max="14395" width="8.85546875" style="1" customWidth="1"/>
    <col min="14396" max="14396" width="9.7109375" style="1" customWidth="1"/>
    <col min="14397" max="14398" width="8.85546875" style="1" customWidth="1"/>
    <col min="14399" max="14399" width="9.28515625" style="1" customWidth="1"/>
    <col min="14400" max="14420" width="8.85546875" style="1" customWidth="1"/>
    <col min="14421" max="14421" width="9.85546875" style="1" customWidth="1"/>
    <col min="14422" max="14422" width="8.85546875" style="1" customWidth="1"/>
    <col min="14423" max="14423" width="10" style="1" customWidth="1"/>
    <col min="14424" max="14440" width="8.85546875" style="1" customWidth="1"/>
    <col min="14441" max="14441" width="9.42578125" style="1" customWidth="1"/>
    <col min="14442" max="14442" width="8.85546875" style="1" customWidth="1"/>
    <col min="14443" max="14443" width="12" style="1" customWidth="1"/>
    <col min="14444" max="14444" width="11.140625" style="1" customWidth="1"/>
    <col min="14445" max="14445" width="28.7109375" style="1" customWidth="1"/>
    <col min="14446" max="14446" width="5.85546875" style="1" customWidth="1"/>
    <col min="14447" max="14596" width="9.140625" style="1"/>
    <col min="14597" max="14597" width="3.42578125" style="1" customWidth="1"/>
    <col min="14598" max="14598" width="27.85546875" style="1" customWidth="1"/>
    <col min="14599" max="14599" width="11.85546875" style="1" customWidth="1"/>
    <col min="14600" max="14600" width="15.140625" style="1" customWidth="1"/>
    <col min="14601" max="14601" width="10.28515625" style="1" customWidth="1"/>
    <col min="14602" max="14603" width="9.7109375" style="1" customWidth="1"/>
    <col min="14604" max="14604" width="10.42578125" style="1" customWidth="1"/>
    <col min="14605" max="14605" width="10.42578125" style="1" bestFit="1" customWidth="1"/>
    <col min="14606" max="14606" width="16.28515625" style="1" customWidth="1"/>
    <col min="14607" max="14607" width="15.140625" style="1" customWidth="1"/>
    <col min="14608" max="14608" width="13.5703125" style="1" customWidth="1"/>
    <col min="14609" max="14609" width="10.5703125" style="1" customWidth="1"/>
    <col min="14610" max="14610" width="10.85546875" style="1" customWidth="1"/>
    <col min="14611" max="14611" width="18" style="1" customWidth="1"/>
    <col min="14612" max="14612" width="20.85546875" style="1" customWidth="1"/>
    <col min="14613" max="14613" width="13.5703125" style="1" customWidth="1"/>
    <col min="14614" max="14614" width="14.140625" style="1" customWidth="1"/>
    <col min="14615" max="14617" width="8.85546875" style="1" customWidth="1"/>
    <col min="14618" max="14618" width="9.28515625" style="1" customWidth="1"/>
    <col min="14619" max="14619" width="14" style="1" customWidth="1"/>
    <col min="14620" max="14621" width="8.85546875" style="1" customWidth="1"/>
    <col min="14622" max="14622" width="10.140625" style="1" customWidth="1"/>
    <col min="14623" max="14624" width="9.5703125" style="1" customWidth="1"/>
    <col min="14625" max="14625" width="9.85546875" style="1" customWidth="1"/>
    <col min="14626" max="14627" width="10.140625" style="1" customWidth="1"/>
    <col min="14628" max="14630" width="9.28515625" style="1" customWidth="1"/>
    <col min="14631" max="14631" width="9.85546875" style="1" customWidth="1"/>
    <col min="14632" max="14633" width="8.5703125" style="1" customWidth="1"/>
    <col min="14634" max="14636" width="8.85546875" style="1" customWidth="1"/>
    <col min="14637" max="14637" width="9.28515625" style="1" customWidth="1"/>
    <col min="14638" max="14639" width="8.85546875" style="1" customWidth="1"/>
    <col min="14640" max="14640" width="10" style="1" customWidth="1"/>
    <col min="14641" max="14642" width="8.85546875" style="1" customWidth="1"/>
    <col min="14643" max="14643" width="11" style="1" customWidth="1"/>
    <col min="14644" max="14645" width="9.5703125" style="1" customWidth="1"/>
    <col min="14646" max="14648" width="8.85546875" style="1" customWidth="1"/>
    <col min="14649" max="14649" width="10.42578125" style="1" customWidth="1"/>
    <col min="14650" max="14651" width="8.85546875" style="1" customWidth="1"/>
    <col min="14652" max="14652" width="9.7109375" style="1" customWidth="1"/>
    <col min="14653" max="14654" width="8.85546875" style="1" customWidth="1"/>
    <col min="14655" max="14655" width="9.28515625" style="1" customWidth="1"/>
    <col min="14656" max="14676" width="8.85546875" style="1" customWidth="1"/>
    <col min="14677" max="14677" width="9.85546875" style="1" customWidth="1"/>
    <col min="14678" max="14678" width="8.85546875" style="1" customWidth="1"/>
    <col min="14679" max="14679" width="10" style="1" customWidth="1"/>
    <col min="14680" max="14696" width="8.85546875" style="1" customWidth="1"/>
    <col min="14697" max="14697" width="9.42578125" style="1" customWidth="1"/>
    <col min="14698" max="14698" width="8.85546875" style="1" customWidth="1"/>
    <col min="14699" max="14699" width="12" style="1" customWidth="1"/>
    <col min="14700" max="14700" width="11.140625" style="1" customWidth="1"/>
    <col min="14701" max="14701" width="28.7109375" style="1" customWidth="1"/>
    <col min="14702" max="14702" width="5.85546875" style="1" customWidth="1"/>
    <col min="14703" max="14852" width="9.140625" style="1"/>
    <col min="14853" max="14853" width="3.42578125" style="1" customWidth="1"/>
    <col min="14854" max="14854" width="27.85546875" style="1" customWidth="1"/>
    <col min="14855" max="14855" width="11.85546875" style="1" customWidth="1"/>
    <col min="14856" max="14856" width="15.140625" style="1" customWidth="1"/>
    <col min="14857" max="14857" width="10.28515625" style="1" customWidth="1"/>
    <col min="14858" max="14859" width="9.7109375" style="1" customWidth="1"/>
    <col min="14860" max="14860" width="10.42578125" style="1" customWidth="1"/>
    <col min="14861" max="14861" width="10.42578125" style="1" bestFit="1" customWidth="1"/>
    <col min="14862" max="14862" width="16.28515625" style="1" customWidth="1"/>
    <col min="14863" max="14863" width="15.140625" style="1" customWidth="1"/>
    <col min="14864" max="14864" width="13.5703125" style="1" customWidth="1"/>
    <col min="14865" max="14865" width="10.5703125" style="1" customWidth="1"/>
    <col min="14866" max="14866" width="10.85546875" style="1" customWidth="1"/>
    <col min="14867" max="14867" width="18" style="1" customWidth="1"/>
    <col min="14868" max="14868" width="20.85546875" style="1" customWidth="1"/>
    <col min="14869" max="14869" width="13.5703125" style="1" customWidth="1"/>
    <col min="14870" max="14870" width="14.140625" style="1" customWidth="1"/>
    <col min="14871" max="14873" width="8.85546875" style="1" customWidth="1"/>
    <col min="14874" max="14874" width="9.28515625" style="1" customWidth="1"/>
    <col min="14875" max="14875" width="14" style="1" customWidth="1"/>
    <col min="14876" max="14877" width="8.85546875" style="1" customWidth="1"/>
    <col min="14878" max="14878" width="10.140625" style="1" customWidth="1"/>
    <col min="14879" max="14880" width="9.5703125" style="1" customWidth="1"/>
    <col min="14881" max="14881" width="9.85546875" style="1" customWidth="1"/>
    <col min="14882" max="14883" width="10.140625" style="1" customWidth="1"/>
    <col min="14884" max="14886" width="9.28515625" style="1" customWidth="1"/>
    <col min="14887" max="14887" width="9.85546875" style="1" customWidth="1"/>
    <col min="14888" max="14889" width="8.5703125" style="1" customWidth="1"/>
    <col min="14890" max="14892" width="8.85546875" style="1" customWidth="1"/>
    <col min="14893" max="14893" width="9.28515625" style="1" customWidth="1"/>
    <col min="14894" max="14895" width="8.85546875" style="1" customWidth="1"/>
    <col min="14896" max="14896" width="10" style="1" customWidth="1"/>
    <col min="14897" max="14898" width="8.85546875" style="1" customWidth="1"/>
    <col min="14899" max="14899" width="11" style="1" customWidth="1"/>
    <col min="14900" max="14901" width="9.5703125" style="1" customWidth="1"/>
    <col min="14902" max="14904" width="8.85546875" style="1" customWidth="1"/>
    <col min="14905" max="14905" width="10.42578125" style="1" customWidth="1"/>
    <col min="14906" max="14907" width="8.85546875" style="1" customWidth="1"/>
    <col min="14908" max="14908" width="9.7109375" style="1" customWidth="1"/>
    <col min="14909" max="14910" width="8.85546875" style="1" customWidth="1"/>
    <col min="14911" max="14911" width="9.28515625" style="1" customWidth="1"/>
    <col min="14912" max="14932" width="8.85546875" style="1" customWidth="1"/>
    <col min="14933" max="14933" width="9.85546875" style="1" customWidth="1"/>
    <col min="14934" max="14934" width="8.85546875" style="1" customWidth="1"/>
    <col min="14935" max="14935" width="10" style="1" customWidth="1"/>
    <col min="14936" max="14952" width="8.85546875" style="1" customWidth="1"/>
    <col min="14953" max="14953" width="9.42578125" style="1" customWidth="1"/>
    <col min="14954" max="14954" width="8.85546875" style="1" customWidth="1"/>
    <col min="14955" max="14955" width="12" style="1" customWidth="1"/>
    <col min="14956" max="14956" width="11.140625" style="1" customWidth="1"/>
    <col min="14957" max="14957" width="28.7109375" style="1" customWidth="1"/>
    <col min="14958" max="14958" width="5.85546875" style="1" customWidth="1"/>
    <col min="14959" max="15108" width="9.140625" style="1"/>
    <col min="15109" max="15109" width="3.42578125" style="1" customWidth="1"/>
    <col min="15110" max="15110" width="27.85546875" style="1" customWidth="1"/>
    <col min="15111" max="15111" width="11.85546875" style="1" customWidth="1"/>
    <col min="15112" max="15112" width="15.140625" style="1" customWidth="1"/>
    <col min="15113" max="15113" width="10.28515625" style="1" customWidth="1"/>
    <col min="15114" max="15115" width="9.7109375" style="1" customWidth="1"/>
    <col min="15116" max="15116" width="10.42578125" style="1" customWidth="1"/>
    <col min="15117" max="15117" width="10.42578125" style="1" bestFit="1" customWidth="1"/>
    <col min="15118" max="15118" width="16.28515625" style="1" customWidth="1"/>
    <col min="15119" max="15119" width="15.140625" style="1" customWidth="1"/>
    <col min="15120" max="15120" width="13.5703125" style="1" customWidth="1"/>
    <col min="15121" max="15121" width="10.5703125" style="1" customWidth="1"/>
    <col min="15122" max="15122" width="10.85546875" style="1" customWidth="1"/>
    <col min="15123" max="15123" width="18" style="1" customWidth="1"/>
    <col min="15124" max="15124" width="20.85546875" style="1" customWidth="1"/>
    <col min="15125" max="15125" width="13.5703125" style="1" customWidth="1"/>
    <col min="15126" max="15126" width="14.140625" style="1" customWidth="1"/>
    <col min="15127" max="15129" width="8.85546875" style="1" customWidth="1"/>
    <col min="15130" max="15130" width="9.28515625" style="1" customWidth="1"/>
    <col min="15131" max="15131" width="14" style="1" customWidth="1"/>
    <col min="15132" max="15133" width="8.85546875" style="1" customWidth="1"/>
    <col min="15134" max="15134" width="10.140625" style="1" customWidth="1"/>
    <col min="15135" max="15136" width="9.5703125" style="1" customWidth="1"/>
    <col min="15137" max="15137" width="9.85546875" style="1" customWidth="1"/>
    <col min="15138" max="15139" width="10.140625" style="1" customWidth="1"/>
    <col min="15140" max="15142" width="9.28515625" style="1" customWidth="1"/>
    <col min="15143" max="15143" width="9.85546875" style="1" customWidth="1"/>
    <col min="15144" max="15145" width="8.5703125" style="1" customWidth="1"/>
    <col min="15146" max="15148" width="8.85546875" style="1" customWidth="1"/>
    <col min="15149" max="15149" width="9.28515625" style="1" customWidth="1"/>
    <col min="15150" max="15151" width="8.85546875" style="1" customWidth="1"/>
    <col min="15152" max="15152" width="10" style="1" customWidth="1"/>
    <col min="15153" max="15154" width="8.85546875" style="1" customWidth="1"/>
    <col min="15155" max="15155" width="11" style="1" customWidth="1"/>
    <col min="15156" max="15157" width="9.5703125" style="1" customWidth="1"/>
    <col min="15158" max="15160" width="8.85546875" style="1" customWidth="1"/>
    <col min="15161" max="15161" width="10.42578125" style="1" customWidth="1"/>
    <col min="15162" max="15163" width="8.85546875" style="1" customWidth="1"/>
    <col min="15164" max="15164" width="9.7109375" style="1" customWidth="1"/>
    <col min="15165" max="15166" width="8.85546875" style="1" customWidth="1"/>
    <col min="15167" max="15167" width="9.28515625" style="1" customWidth="1"/>
    <col min="15168" max="15188" width="8.85546875" style="1" customWidth="1"/>
    <col min="15189" max="15189" width="9.85546875" style="1" customWidth="1"/>
    <col min="15190" max="15190" width="8.85546875" style="1" customWidth="1"/>
    <col min="15191" max="15191" width="10" style="1" customWidth="1"/>
    <col min="15192" max="15208" width="8.85546875" style="1" customWidth="1"/>
    <col min="15209" max="15209" width="9.42578125" style="1" customWidth="1"/>
    <col min="15210" max="15210" width="8.85546875" style="1" customWidth="1"/>
    <col min="15211" max="15211" width="12" style="1" customWidth="1"/>
    <col min="15212" max="15212" width="11.140625" style="1" customWidth="1"/>
    <col min="15213" max="15213" width="28.7109375" style="1" customWidth="1"/>
    <col min="15214" max="15214" width="5.85546875" style="1" customWidth="1"/>
    <col min="15215" max="15364" width="9.140625" style="1"/>
    <col min="15365" max="15365" width="3.42578125" style="1" customWidth="1"/>
    <col min="15366" max="15366" width="27.85546875" style="1" customWidth="1"/>
    <col min="15367" max="15367" width="11.85546875" style="1" customWidth="1"/>
    <col min="15368" max="15368" width="15.140625" style="1" customWidth="1"/>
    <col min="15369" max="15369" width="10.28515625" style="1" customWidth="1"/>
    <col min="15370" max="15371" width="9.7109375" style="1" customWidth="1"/>
    <col min="15372" max="15372" width="10.42578125" style="1" customWidth="1"/>
    <col min="15373" max="15373" width="10.42578125" style="1" bestFit="1" customWidth="1"/>
    <col min="15374" max="15374" width="16.28515625" style="1" customWidth="1"/>
    <col min="15375" max="15375" width="15.140625" style="1" customWidth="1"/>
    <col min="15376" max="15376" width="13.5703125" style="1" customWidth="1"/>
    <col min="15377" max="15377" width="10.5703125" style="1" customWidth="1"/>
    <col min="15378" max="15378" width="10.85546875" style="1" customWidth="1"/>
    <col min="15379" max="15379" width="18" style="1" customWidth="1"/>
    <col min="15380" max="15380" width="20.85546875" style="1" customWidth="1"/>
    <col min="15381" max="15381" width="13.5703125" style="1" customWidth="1"/>
    <col min="15382" max="15382" width="14.140625" style="1" customWidth="1"/>
    <col min="15383" max="15385" width="8.85546875" style="1" customWidth="1"/>
    <col min="15386" max="15386" width="9.28515625" style="1" customWidth="1"/>
    <col min="15387" max="15387" width="14" style="1" customWidth="1"/>
    <col min="15388" max="15389" width="8.85546875" style="1" customWidth="1"/>
    <col min="15390" max="15390" width="10.140625" style="1" customWidth="1"/>
    <col min="15391" max="15392" width="9.5703125" style="1" customWidth="1"/>
    <col min="15393" max="15393" width="9.85546875" style="1" customWidth="1"/>
    <col min="15394" max="15395" width="10.140625" style="1" customWidth="1"/>
    <col min="15396" max="15398" width="9.28515625" style="1" customWidth="1"/>
    <col min="15399" max="15399" width="9.85546875" style="1" customWidth="1"/>
    <col min="15400" max="15401" width="8.5703125" style="1" customWidth="1"/>
    <col min="15402" max="15404" width="8.85546875" style="1" customWidth="1"/>
    <col min="15405" max="15405" width="9.28515625" style="1" customWidth="1"/>
    <col min="15406" max="15407" width="8.85546875" style="1" customWidth="1"/>
    <col min="15408" max="15408" width="10" style="1" customWidth="1"/>
    <col min="15409" max="15410" width="8.85546875" style="1" customWidth="1"/>
    <col min="15411" max="15411" width="11" style="1" customWidth="1"/>
    <col min="15412" max="15413" width="9.5703125" style="1" customWidth="1"/>
    <col min="15414" max="15416" width="8.85546875" style="1" customWidth="1"/>
    <col min="15417" max="15417" width="10.42578125" style="1" customWidth="1"/>
    <col min="15418" max="15419" width="8.85546875" style="1" customWidth="1"/>
    <col min="15420" max="15420" width="9.7109375" style="1" customWidth="1"/>
    <col min="15421" max="15422" width="8.85546875" style="1" customWidth="1"/>
    <col min="15423" max="15423" width="9.28515625" style="1" customWidth="1"/>
    <col min="15424" max="15444" width="8.85546875" style="1" customWidth="1"/>
    <col min="15445" max="15445" width="9.85546875" style="1" customWidth="1"/>
    <col min="15446" max="15446" width="8.85546875" style="1" customWidth="1"/>
    <col min="15447" max="15447" width="10" style="1" customWidth="1"/>
    <col min="15448" max="15464" width="8.85546875" style="1" customWidth="1"/>
    <col min="15465" max="15465" width="9.42578125" style="1" customWidth="1"/>
    <col min="15466" max="15466" width="8.85546875" style="1" customWidth="1"/>
    <col min="15467" max="15467" width="12" style="1" customWidth="1"/>
    <col min="15468" max="15468" width="11.140625" style="1" customWidth="1"/>
    <col min="15469" max="15469" width="28.7109375" style="1" customWidth="1"/>
    <col min="15470" max="15470" width="5.85546875" style="1" customWidth="1"/>
    <col min="15471" max="15620" width="9.140625" style="1"/>
    <col min="15621" max="15621" width="3.42578125" style="1" customWidth="1"/>
    <col min="15622" max="15622" width="27.85546875" style="1" customWidth="1"/>
    <col min="15623" max="15623" width="11.85546875" style="1" customWidth="1"/>
    <col min="15624" max="15624" width="15.140625" style="1" customWidth="1"/>
    <col min="15625" max="15625" width="10.28515625" style="1" customWidth="1"/>
    <col min="15626" max="15627" width="9.7109375" style="1" customWidth="1"/>
    <col min="15628" max="15628" width="10.42578125" style="1" customWidth="1"/>
    <col min="15629" max="15629" width="10.42578125" style="1" bestFit="1" customWidth="1"/>
    <col min="15630" max="15630" width="16.28515625" style="1" customWidth="1"/>
    <col min="15631" max="15631" width="15.140625" style="1" customWidth="1"/>
    <col min="15632" max="15632" width="13.5703125" style="1" customWidth="1"/>
    <col min="15633" max="15633" width="10.5703125" style="1" customWidth="1"/>
    <col min="15634" max="15634" width="10.85546875" style="1" customWidth="1"/>
    <col min="15635" max="15635" width="18" style="1" customWidth="1"/>
    <col min="15636" max="15636" width="20.85546875" style="1" customWidth="1"/>
    <col min="15637" max="15637" width="13.5703125" style="1" customWidth="1"/>
    <col min="15638" max="15638" width="14.140625" style="1" customWidth="1"/>
    <col min="15639" max="15641" width="8.85546875" style="1" customWidth="1"/>
    <col min="15642" max="15642" width="9.28515625" style="1" customWidth="1"/>
    <col min="15643" max="15643" width="14" style="1" customWidth="1"/>
    <col min="15644" max="15645" width="8.85546875" style="1" customWidth="1"/>
    <col min="15646" max="15646" width="10.140625" style="1" customWidth="1"/>
    <col min="15647" max="15648" width="9.5703125" style="1" customWidth="1"/>
    <col min="15649" max="15649" width="9.85546875" style="1" customWidth="1"/>
    <col min="15650" max="15651" width="10.140625" style="1" customWidth="1"/>
    <col min="15652" max="15654" width="9.28515625" style="1" customWidth="1"/>
    <col min="15655" max="15655" width="9.85546875" style="1" customWidth="1"/>
    <col min="15656" max="15657" width="8.5703125" style="1" customWidth="1"/>
    <col min="15658" max="15660" width="8.85546875" style="1" customWidth="1"/>
    <col min="15661" max="15661" width="9.28515625" style="1" customWidth="1"/>
    <col min="15662" max="15663" width="8.85546875" style="1" customWidth="1"/>
    <col min="15664" max="15664" width="10" style="1" customWidth="1"/>
    <col min="15665" max="15666" width="8.85546875" style="1" customWidth="1"/>
    <col min="15667" max="15667" width="11" style="1" customWidth="1"/>
    <col min="15668" max="15669" width="9.5703125" style="1" customWidth="1"/>
    <col min="15670" max="15672" width="8.85546875" style="1" customWidth="1"/>
    <col min="15673" max="15673" width="10.42578125" style="1" customWidth="1"/>
    <col min="15674" max="15675" width="8.85546875" style="1" customWidth="1"/>
    <col min="15676" max="15676" width="9.7109375" style="1" customWidth="1"/>
    <col min="15677" max="15678" width="8.85546875" style="1" customWidth="1"/>
    <col min="15679" max="15679" width="9.28515625" style="1" customWidth="1"/>
    <col min="15680" max="15700" width="8.85546875" style="1" customWidth="1"/>
    <col min="15701" max="15701" width="9.85546875" style="1" customWidth="1"/>
    <col min="15702" max="15702" width="8.85546875" style="1" customWidth="1"/>
    <col min="15703" max="15703" width="10" style="1" customWidth="1"/>
    <col min="15704" max="15720" width="8.85546875" style="1" customWidth="1"/>
    <col min="15721" max="15721" width="9.42578125" style="1" customWidth="1"/>
    <col min="15722" max="15722" width="8.85546875" style="1" customWidth="1"/>
    <col min="15723" max="15723" width="12" style="1" customWidth="1"/>
    <col min="15724" max="15724" width="11.140625" style="1" customWidth="1"/>
    <col min="15725" max="15725" width="28.7109375" style="1" customWidth="1"/>
    <col min="15726" max="15726" width="5.85546875" style="1" customWidth="1"/>
    <col min="15727" max="15876" width="9.140625" style="1"/>
    <col min="15877" max="15877" width="3.42578125" style="1" customWidth="1"/>
    <col min="15878" max="15878" width="27.85546875" style="1" customWidth="1"/>
    <col min="15879" max="15879" width="11.85546875" style="1" customWidth="1"/>
    <col min="15880" max="15880" width="15.140625" style="1" customWidth="1"/>
    <col min="15881" max="15881" width="10.28515625" style="1" customWidth="1"/>
    <col min="15882" max="15883" width="9.7109375" style="1" customWidth="1"/>
    <col min="15884" max="15884" width="10.42578125" style="1" customWidth="1"/>
    <col min="15885" max="15885" width="10.42578125" style="1" bestFit="1" customWidth="1"/>
    <col min="15886" max="15886" width="16.28515625" style="1" customWidth="1"/>
    <col min="15887" max="15887" width="15.140625" style="1" customWidth="1"/>
    <col min="15888" max="15888" width="13.5703125" style="1" customWidth="1"/>
    <col min="15889" max="15889" width="10.5703125" style="1" customWidth="1"/>
    <col min="15890" max="15890" width="10.85546875" style="1" customWidth="1"/>
    <col min="15891" max="15891" width="18" style="1" customWidth="1"/>
    <col min="15892" max="15892" width="20.85546875" style="1" customWidth="1"/>
    <col min="15893" max="15893" width="13.5703125" style="1" customWidth="1"/>
    <col min="15894" max="15894" width="14.140625" style="1" customWidth="1"/>
    <col min="15895" max="15897" width="8.85546875" style="1" customWidth="1"/>
    <col min="15898" max="15898" width="9.28515625" style="1" customWidth="1"/>
    <col min="15899" max="15899" width="14" style="1" customWidth="1"/>
    <col min="15900" max="15901" width="8.85546875" style="1" customWidth="1"/>
    <col min="15902" max="15902" width="10.140625" style="1" customWidth="1"/>
    <col min="15903" max="15904" width="9.5703125" style="1" customWidth="1"/>
    <col min="15905" max="15905" width="9.85546875" style="1" customWidth="1"/>
    <col min="15906" max="15907" width="10.140625" style="1" customWidth="1"/>
    <col min="15908" max="15910" width="9.28515625" style="1" customWidth="1"/>
    <col min="15911" max="15911" width="9.85546875" style="1" customWidth="1"/>
    <col min="15912" max="15913" width="8.5703125" style="1" customWidth="1"/>
    <col min="15914" max="15916" width="8.85546875" style="1" customWidth="1"/>
    <col min="15917" max="15917" width="9.28515625" style="1" customWidth="1"/>
    <col min="15918" max="15919" width="8.85546875" style="1" customWidth="1"/>
    <col min="15920" max="15920" width="10" style="1" customWidth="1"/>
    <col min="15921" max="15922" width="8.85546875" style="1" customWidth="1"/>
    <col min="15923" max="15923" width="11" style="1" customWidth="1"/>
    <col min="15924" max="15925" width="9.5703125" style="1" customWidth="1"/>
    <col min="15926" max="15928" width="8.85546875" style="1" customWidth="1"/>
    <col min="15929" max="15929" width="10.42578125" style="1" customWidth="1"/>
    <col min="15930" max="15931" width="8.85546875" style="1" customWidth="1"/>
    <col min="15932" max="15932" width="9.7109375" style="1" customWidth="1"/>
    <col min="15933" max="15934" width="8.85546875" style="1" customWidth="1"/>
    <col min="15935" max="15935" width="9.28515625" style="1" customWidth="1"/>
    <col min="15936" max="15956" width="8.85546875" style="1" customWidth="1"/>
    <col min="15957" max="15957" width="9.85546875" style="1" customWidth="1"/>
    <col min="15958" max="15958" width="8.85546875" style="1" customWidth="1"/>
    <col min="15959" max="15959" width="10" style="1" customWidth="1"/>
    <col min="15960" max="15976" width="8.85546875" style="1" customWidth="1"/>
    <col min="15977" max="15977" width="9.42578125" style="1" customWidth="1"/>
    <col min="15978" max="15978" width="8.85546875" style="1" customWidth="1"/>
    <col min="15979" max="15979" width="12" style="1" customWidth="1"/>
    <col min="15980" max="15980" width="11.140625" style="1" customWidth="1"/>
    <col min="15981" max="15981" width="28.7109375" style="1" customWidth="1"/>
    <col min="15982" max="15982" width="5.85546875" style="1" customWidth="1"/>
    <col min="15983" max="16132" width="9.140625" style="1"/>
    <col min="16133" max="16133" width="3.42578125" style="1" customWidth="1"/>
    <col min="16134" max="16134" width="27.85546875" style="1" customWidth="1"/>
    <col min="16135" max="16135" width="11.85546875" style="1" customWidth="1"/>
    <col min="16136" max="16136" width="15.140625" style="1" customWidth="1"/>
    <col min="16137" max="16137" width="10.28515625" style="1" customWidth="1"/>
    <col min="16138" max="16139" width="9.7109375" style="1" customWidth="1"/>
    <col min="16140" max="16140" width="10.42578125" style="1" customWidth="1"/>
    <col min="16141" max="16141" width="10.42578125" style="1" bestFit="1" customWidth="1"/>
    <col min="16142" max="16142" width="16.28515625" style="1" customWidth="1"/>
    <col min="16143" max="16143" width="15.140625" style="1" customWidth="1"/>
    <col min="16144" max="16144" width="13.5703125" style="1" customWidth="1"/>
    <col min="16145" max="16145" width="10.5703125" style="1" customWidth="1"/>
    <col min="16146" max="16146" width="10.85546875" style="1" customWidth="1"/>
    <col min="16147" max="16147" width="18" style="1" customWidth="1"/>
    <col min="16148" max="16148" width="20.85546875" style="1" customWidth="1"/>
    <col min="16149" max="16149" width="13.5703125" style="1" customWidth="1"/>
    <col min="16150" max="16150" width="14.140625" style="1" customWidth="1"/>
    <col min="16151" max="16153" width="8.85546875" style="1" customWidth="1"/>
    <col min="16154" max="16154" width="9.28515625" style="1" customWidth="1"/>
    <col min="16155" max="16155" width="14" style="1" customWidth="1"/>
    <col min="16156" max="16157" width="8.85546875" style="1" customWidth="1"/>
    <col min="16158" max="16158" width="10.140625" style="1" customWidth="1"/>
    <col min="16159" max="16160" width="9.5703125" style="1" customWidth="1"/>
    <col min="16161" max="16161" width="9.85546875" style="1" customWidth="1"/>
    <col min="16162" max="16163" width="10.140625" style="1" customWidth="1"/>
    <col min="16164" max="16166" width="9.28515625" style="1" customWidth="1"/>
    <col min="16167" max="16167" width="9.85546875" style="1" customWidth="1"/>
    <col min="16168" max="16169" width="8.5703125" style="1" customWidth="1"/>
    <col min="16170" max="16172" width="8.85546875" style="1" customWidth="1"/>
    <col min="16173" max="16173" width="9.28515625" style="1" customWidth="1"/>
    <col min="16174" max="16175" width="8.85546875" style="1" customWidth="1"/>
    <col min="16176" max="16176" width="10" style="1" customWidth="1"/>
    <col min="16177" max="16178" width="8.85546875" style="1" customWidth="1"/>
    <col min="16179" max="16179" width="11" style="1" customWidth="1"/>
    <col min="16180" max="16181" width="9.5703125" style="1" customWidth="1"/>
    <col min="16182" max="16184" width="8.85546875" style="1" customWidth="1"/>
    <col min="16185" max="16185" width="10.42578125" style="1" customWidth="1"/>
    <col min="16186" max="16187" width="8.85546875" style="1" customWidth="1"/>
    <col min="16188" max="16188" width="9.7109375" style="1" customWidth="1"/>
    <col min="16189" max="16190" width="8.85546875" style="1" customWidth="1"/>
    <col min="16191" max="16191" width="9.28515625" style="1" customWidth="1"/>
    <col min="16192" max="16212" width="8.85546875" style="1" customWidth="1"/>
    <col min="16213" max="16213" width="9.85546875" style="1" customWidth="1"/>
    <col min="16214" max="16214" width="8.85546875" style="1" customWidth="1"/>
    <col min="16215" max="16215" width="10" style="1" customWidth="1"/>
    <col min="16216" max="16232" width="8.85546875" style="1" customWidth="1"/>
    <col min="16233" max="16233" width="9.42578125" style="1" customWidth="1"/>
    <col min="16234" max="16234" width="8.85546875" style="1" customWidth="1"/>
    <col min="16235" max="16235" width="12" style="1" customWidth="1"/>
    <col min="16236" max="16236" width="11.140625" style="1" customWidth="1"/>
    <col min="16237" max="16237" width="28.7109375" style="1" customWidth="1"/>
    <col min="16238" max="16238" width="5.85546875" style="1" customWidth="1"/>
    <col min="16239" max="16384" width="9.140625" style="1"/>
  </cols>
  <sheetData>
    <row r="1" spans="1:110">
      <c r="T1" s="869"/>
      <c r="U1" s="869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846"/>
      <c r="AH1" s="847"/>
      <c r="AI1" s="847"/>
      <c r="AJ1" s="847"/>
      <c r="AK1" s="847"/>
      <c r="AL1" s="847"/>
      <c r="AM1" s="847"/>
      <c r="AN1" s="847"/>
      <c r="AO1" s="847"/>
      <c r="AP1" s="847"/>
      <c r="AQ1" s="847"/>
      <c r="AR1" s="847"/>
      <c r="AS1" s="847"/>
      <c r="AT1" s="847"/>
      <c r="AU1" s="847"/>
      <c r="AV1" s="847"/>
      <c r="AW1" s="847"/>
      <c r="AX1" s="847"/>
      <c r="AY1" s="847"/>
      <c r="AZ1" s="847"/>
      <c r="BA1" s="847"/>
      <c r="BB1" s="847"/>
      <c r="BC1" s="847"/>
      <c r="BD1" s="847"/>
      <c r="BE1" s="847"/>
      <c r="BF1" s="847"/>
      <c r="BG1" s="847"/>
      <c r="BH1" s="847"/>
      <c r="BI1" s="847"/>
      <c r="BJ1" s="847"/>
      <c r="BK1" s="847"/>
      <c r="BL1" s="847"/>
      <c r="BM1" s="847"/>
      <c r="BN1" s="847"/>
      <c r="BO1" s="847"/>
      <c r="BP1" s="847"/>
      <c r="BQ1" s="847"/>
      <c r="BR1" s="847"/>
      <c r="BS1" s="847"/>
      <c r="BT1" s="847"/>
      <c r="BU1" s="847"/>
      <c r="BV1" s="847"/>
      <c r="BW1" s="847"/>
      <c r="BX1" s="847"/>
      <c r="BY1" s="847"/>
      <c r="BZ1" s="847"/>
      <c r="CA1" s="847"/>
      <c r="CB1" s="847"/>
      <c r="CC1" s="847"/>
      <c r="CD1" s="847"/>
      <c r="CE1" s="847"/>
      <c r="CF1" s="847"/>
      <c r="CG1" s="847"/>
      <c r="CH1" s="847"/>
      <c r="CI1" s="847"/>
      <c r="CJ1" s="847"/>
      <c r="CK1" s="847"/>
      <c r="CL1" s="847"/>
      <c r="CM1" s="847"/>
      <c r="CN1" s="847"/>
      <c r="CO1" s="847"/>
      <c r="CP1" s="847"/>
      <c r="CQ1" s="847"/>
      <c r="CR1" s="847"/>
      <c r="CS1" s="847"/>
      <c r="CT1" s="847"/>
      <c r="CU1" s="847"/>
      <c r="CV1" s="847"/>
      <c r="CW1" s="847"/>
      <c r="CX1" s="847"/>
      <c r="CY1" s="847"/>
      <c r="CZ1" s="847"/>
      <c r="DA1" s="847"/>
      <c r="DB1" s="847"/>
      <c r="DC1" s="847"/>
      <c r="DD1" s="847"/>
      <c r="DE1" s="847"/>
      <c r="DF1" s="847"/>
    </row>
    <row r="2" spans="1:110" ht="18.75"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AG2" s="847"/>
      <c r="AH2" s="847"/>
      <c r="AI2" s="847"/>
      <c r="AJ2" s="847"/>
      <c r="AK2" s="847"/>
      <c r="AL2" s="847"/>
      <c r="AM2" s="847"/>
      <c r="AN2" s="847"/>
      <c r="AO2" s="847"/>
      <c r="AP2" s="847"/>
      <c r="AQ2" s="847"/>
      <c r="AR2" s="847"/>
      <c r="AS2" s="847"/>
      <c r="AT2" s="847"/>
      <c r="AU2" s="847"/>
      <c r="AV2" s="847"/>
      <c r="AW2" s="847"/>
      <c r="AX2" s="847"/>
      <c r="AY2" s="847"/>
      <c r="AZ2" s="847"/>
      <c r="BA2" s="847"/>
      <c r="BB2" s="847"/>
      <c r="BC2" s="847"/>
      <c r="BD2" s="847"/>
      <c r="BE2" s="847"/>
      <c r="BF2" s="847"/>
      <c r="BG2" s="847"/>
      <c r="BH2" s="847"/>
      <c r="BI2" s="847"/>
      <c r="BJ2" s="847"/>
      <c r="BK2" s="847"/>
      <c r="BL2" s="847"/>
      <c r="BM2" s="847"/>
      <c r="BN2" s="847"/>
      <c r="BO2" s="847"/>
      <c r="BP2" s="847"/>
      <c r="BQ2" s="847"/>
      <c r="BR2" s="847"/>
      <c r="BS2" s="847"/>
      <c r="BT2" s="847"/>
      <c r="BU2" s="847"/>
      <c r="BV2" s="847"/>
      <c r="BW2" s="847"/>
      <c r="BX2" s="847"/>
      <c r="BY2" s="847"/>
      <c r="BZ2" s="847"/>
      <c r="CA2" s="847"/>
      <c r="CB2" s="847"/>
      <c r="CC2" s="847"/>
      <c r="CD2" s="847"/>
      <c r="CE2" s="847"/>
      <c r="CF2" s="847"/>
      <c r="CG2" s="847"/>
      <c r="CH2" s="847"/>
      <c r="CI2" s="847"/>
      <c r="CJ2" s="847"/>
      <c r="CK2" s="847"/>
      <c r="CL2" s="847"/>
      <c r="CM2" s="847"/>
      <c r="CN2" s="847"/>
      <c r="CO2" s="847"/>
      <c r="CP2" s="847"/>
      <c r="CQ2" s="847"/>
      <c r="CR2" s="847"/>
      <c r="CS2" s="847"/>
      <c r="CT2" s="847"/>
      <c r="CU2" s="847"/>
      <c r="CV2" s="847"/>
      <c r="CW2" s="847"/>
      <c r="CX2" s="847"/>
      <c r="CY2" s="847"/>
      <c r="CZ2" s="847"/>
      <c r="DA2" s="847"/>
      <c r="DB2" s="847"/>
      <c r="DC2" s="847"/>
      <c r="DD2" s="847"/>
      <c r="DE2" s="847"/>
      <c r="DF2" s="847"/>
    </row>
    <row r="3" spans="1:110" ht="19.5" thickBot="1">
      <c r="A3" s="850"/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197"/>
      <c r="AA3" s="197"/>
      <c r="AB3" s="197"/>
      <c r="AC3" s="13"/>
      <c r="AD3" s="13"/>
      <c r="AE3" s="13"/>
      <c r="AF3" s="13"/>
      <c r="AG3" s="847"/>
      <c r="AH3" s="847"/>
      <c r="AI3" s="847"/>
      <c r="AJ3" s="847"/>
      <c r="AK3" s="847"/>
      <c r="AL3" s="847"/>
      <c r="AM3" s="847"/>
      <c r="AN3" s="847"/>
      <c r="AO3" s="847"/>
      <c r="AP3" s="847"/>
      <c r="AQ3" s="847"/>
      <c r="AR3" s="847"/>
      <c r="AS3" s="847"/>
      <c r="AT3" s="847"/>
      <c r="AU3" s="847"/>
      <c r="AV3" s="847"/>
      <c r="AW3" s="847"/>
      <c r="AX3" s="847"/>
      <c r="AY3" s="847"/>
      <c r="AZ3" s="847"/>
      <c r="BA3" s="847"/>
      <c r="BB3" s="847"/>
      <c r="BC3" s="847"/>
      <c r="BD3" s="847"/>
      <c r="BE3" s="847"/>
      <c r="BF3" s="847"/>
      <c r="BG3" s="847"/>
      <c r="BH3" s="847"/>
      <c r="BI3" s="847"/>
      <c r="BJ3" s="847"/>
      <c r="BK3" s="847"/>
      <c r="BL3" s="847"/>
      <c r="BM3" s="847"/>
      <c r="BN3" s="847"/>
      <c r="BO3" s="847"/>
      <c r="BP3" s="847"/>
      <c r="BQ3" s="847"/>
      <c r="BR3" s="847"/>
      <c r="BS3" s="847"/>
      <c r="BT3" s="847"/>
      <c r="BU3" s="847"/>
      <c r="BV3" s="847"/>
      <c r="BW3" s="847"/>
      <c r="BX3" s="847"/>
      <c r="BY3" s="847"/>
      <c r="BZ3" s="847"/>
      <c r="CA3" s="847"/>
      <c r="CB3" s="847"/>
      <c r="CC3" s="847"/>
      <c r="CD3" s="847"/>
      <c r="CE3" s="847"/>
      <c r="CF3" s="847"/>
      <c r="CG3" s="847"/>
      <c r="CH3" s="847"/>
      <c r="CI3" s="847"/>
      <c r="CJ3" s="847"/>
      <c r="CK3" s="847"/>
      <c r="CL3" s="847"/>
      <c r="CM3" s="847"/>
      <c r="CN3" s="847"/>
      <c r="CO3" s="847"/>
      <c r="CP3" s="847"/>
      <c r="CQ3" s="847"/>
      <c r="CR3" s="847"/>
      <c r="CS3" s="847"/>
      <c r="CT3" s="847"/>
      <c r="CU3" s="847"/>
      <c r="CV3" s="847"/>
      <c r="CW3" s="847"/>
      <c r="CX3" s="847"/>
      <c r="CY3" s="847"/>
      <c r="CZ3" s="847"/>
      <c r="DA3" s="847"/>
      <c r="DB3" s="847"/>
      <c r="DC3" s="847"/>
      <c r="DD3" s="847"/>
      <c r="DE3" s="847"/>
      <c r="DF3" s="847"/>
    </row>
    <row r="4" spans="1:110" ht="28.5" customHeight="1">
      <c r="A4" s="851" t="s">
        <v>23</v>
      </c>
      <c r="B4" s="861" t="s">
        <v>0</v>
      </c>
      <c r="C4" s="861" t="s">
        <v>29</v>
      </c>
      <c r="D4" s="861" t="s">
        <v>30</v>
      </c>
      <c r="E4" s="854" t="s">
        <v>24</v>
      </c>
      <c r="F4" s="854"/>
      <c r="G4" s="854"/>
      <c r="H4" s="854"/>
      <c r="I4" s="854" t="s">
        <v>25</v>
      </c>
      <c r="J4" s="854"/>
      <c r="K4" s="854"/>
      <c r="L4" s="854"/>
      <c r="M4" s="854"/>
      <c r="N4" s="854"/>
      <c r="O4" s="854"/>
      <c r="P4" s="854"/>
      <c r="Q4" s="854"/>
      <c r="R4" s="854"/>
      <c r="S4" s="854"/>
      <c r="T4" s="854" t="s">
        <v>26</v>
      </c>
      <c r="U4" s="855"/>
      <c r="V4" s="854" t="s">
        <v>27</v>
      </c>
      <c r="W4" s="855"/>
      <c r="X4" s="870"/>
      <c r="Y4" s="871"/>
      <c r="Z4" s="873" t="s">
        <v>28</v>
      </c>
      <c r="AA4" s="874"/>
      <c r="AB4" s="875"/>
      <c r="AC4" s="871"/>
      <c r="AD4" s="871"/>
      <c r="AE4" s="876"/>
      <c r="AF4" s="866" t="s">
        <v>74</v>
      </c>
      <c r="AG4" s="847"/>
      <c r="AH4" s="847"/>
      <c r="AI4" s="847"/>
      <c r="AJ4" s="847"/>
      <c r="AK4" s="847"/>
      <c r="AL4" s="847"/>
      <c r="AM4" s="847"/>
      <c r="AN4" s="847"/>
      <c r="AO4" s="847"/>
      <c r="AP4" s="847"/>
      <c r="AQ4" s="847"/>
      <c r="AR4" s="847"/>
      <c r="AS4" s="847"/>
      <c r="AT4" s="847"/>
      <c r="AU4" s="847"/>
      <c r="AV4" s="847"/>
      <c r="AW4" s="847"/>
      <c r="AX4" s="847"/>
      <c r="AY4" s="847"/>
      <c r="AZ4" s="847"/>
      <c r="BA4" s="847"/>
      <c r="BB4" s="847"/>
      <c r="BC4" s="847"/>
      <c r="BD4" s="847"/>
      <c r="BE4" s="847"/>
      <c r="BF4" s="847"/>
      <c r="BG4" s="847"/>
      <c r="BH4" s="847"/>
      <c r="BI4" s="847"/>
      <c r="BJ4" s="847"/>
      <c r="BK4" s="847"/>
      <c r="BL4" s="847"/>
      <c r="BM4" s="847"/>
      <c r="BN4" s="847"/>
      <c r="BO4" s="847"/>
      <c r="BP4" s="847"/>
      <c r="BQ4" s="847"/>
      <c r="BR4" s="847"/>
      <c r="BS4" s="847"/>
      <c r="BT4" s="847"/>
      <c r="BU4" s="847"/>
      <c r="BV4" s="847"/>
      <c r="BW4" s="847"/>
      <c r="BX4" s="847"/>
      <c r="BY4" s="847"/>
      <c r="BZ4" s="847"/>
      <c r="CA4" s="847"/>
      <c r="CB4" s="847"/>
      <c r="CC4" s="847"/>
      <c r="CD4" s="847"/>
      <c r="CE4" s="847"/>
      <c r="CF4" s="847"/>
      <c r="CG4" s="847"/>
      <c r="CH4" s="847"/>
      <c r="CI4" s="847"/>
      <c r="CJ4" s="847"/>
      <c r="CK4" s="847"/>
      <c r="CL4" s="847"/>
      <c r="CM4" s="847"/>
      <c r="CN4" s="847"/>
      <c r="CO4" s="847"/>
      <c r="CP4" s="847"/>
      <c r="CQ4" s="847"/>
      <c r="CR4" s="847"/>
      <c r="CS4" s="847"/>
      <c r="CT4" s="847"/>
      <c r="CU4" s="847"/>
      <c r="CV4" s="847"/>
      <c r="CW4" s="847"/>
      <c r="CX4" s="847"/>
      <c r="CY4" s="847"/>
      <c r="CZ4" s="847"/>
      <c r="DA4" s="847"/>
      <c r="DB4" s="847"/>
      <c r="DC4" s="847"/>
      <c r="DD4" s="847"/>
      <c r="DE4" s="847"/>
      <c r="DF4" s="847"/>
    </row>
    <row r="5" spans="1:110" ht="64.5" customHeight="1">
      <c r="A5" s="852"/>
      <c r="B5" s="862"/>
      <c r="C5" s="841"/>
      <c r="D5" s="841"/>
      <c r="E5" s="864"/>
      <c r="F5" s="864"/>
      <c r="G5" s="864"/>
      <c r="H5" s="864"/>
      <c r="I5" s="841" t="s">
        <v>1</v>
      </c>
      <c r="J5" s="841"/>
      <c r="K5" s="841"/>
      <c r="L5" s="841" t="s">
        <v>2</v>
      </c>
      <c r="M5" s="841" t="s">
        <v>33</v>
      </c>
      <c r="N5" s="841" t="s">
        <v>34</v>
      </c>
      <c r="O5" s="841" t="s">
        <v>35</v>
      </c>
      <c r="P5" s="841" t="s">
        <v>36</v>
      </c>
      <c r="Q5" s="841" t="s">
        <v>37</v>
      </c>
      <c r="R5" s="841" t="s">
        <v>38</v>
      </c>
      <c r="S5" s="841" t="s">
        <v>39</v>
      </c>
      <c r="T5" s="856"/>
      <c r="U5" s="856"/>
      <c r="V5" s="856"/>
      <c r="W5" s="856"/>
      <c r="X5" s="872"/>
      <c r="Y5" s="843"/>
      <c r="Z5" s="877"/>
      <c r="AA5" s="877"/>
      <c r="AB5" s="878"/>
      <c r="AC5" s="843"/>
      <c r="AD5" s="843"/>
      <c r="AE5" s="879"/>
      <c r="AF5" s="867"/>
      <c r="AG5" s="847"/>
      <c r="AH5" s="847"/>
      <c r="AI5" s="847"/>
      <c r="AJ5" s="847"/>
      <c r="AK5" s="847"/>
      <c r="AL5" s="847"/>
      <c r="AM5" s="847"/>
      <c r="AN5" s="847"/>
      <c r="AO5" s="847"/>
      <c r="AP5" s="847"/>
      <c r="AQ5" s="847"/>
      <c r="AR5" s="847"/>
      <c r="AS5" s="847"/>
      <c r="AT5" s="847"/>
      <c r="AU5" s="847"/>
      <c r="AV5" s="847"/>
      <c r="AW5" s="847"/>
      <c r="AX5" s="847"/>
      <c r="AY5" s="847"/>
      <c r="AZ5" s="847"/>
      <c r="BA5" s="847"/>
      <c r="BB5" s="847"/>
      <c r="BC5" s="847"/>
      <c r="BD5" s="847"/>
      <c r="BE5" s="847"/>
      <c r="BF5" s="847"/>
      <c r="BG5" s="847"/>
      <c r="BH5" s="847"/>
      <c r="BI5" s="847"/>
      <c r="BJ5" s="847"/>
      <c r="BK5" s="847"/>
      <c r="BL5" s="847"/>
      <c r="BM5" s="847"/>
      <c r="BN5" s="847"/>
      <c r="BO5" s="847"/>
      <c r="BP5" s="847"/>
      <c r="BQ5" s="847"/>
      <c r="BR5" s="847"/>
      <c r="BS5" s="847"/>
      <c r="BT5" s="847"/>
      <c r="BU5" s="847"/>
      <c r="BV5" s="847"/>
      <c r="BW5" s="847"/>
      <c r="BX5" s="847"/>
      <c r="BY5" s="847"/>
      <c r="BZ5" s="847"/>
      <c r="CA5" s="847"/>
      <c r="CB5" s="847"/>
      <c r="CC5" s="847"/>
      <c r="CD5" s="847"/>
      <c r="CE5" s="847"/>
      <c r="CF5" s="847"/>
      <c r="CG5" s="847"/>
      <c r="CH5" s="847"/>
      <c r="CI5" s="847"/>
      <c r="CJ5" s="847"/>
      <c r="CK5" s="847"/>
      <c r="CL5" s="847"/>
      <c r="CM5" s="847"/>
      <c r="CN5" s="847"/>
      <c r="CO5" s="847"/>
      <c r="CP5" s="847"/>
      <c r="CQ5" s="847"/>
      <c r="CR5" s="847"/>
      <c r="CS5" s="847"/>
      <c r="CT5" s="847"/>
      <c r="CU5" s="847"/>
      <c r="CV5" s="847"/>
      <c r="CW5" s="847"/>
      <c r="CX5" s="847"/>
      <c r="CY5" s="847"/>
      <c r="CZ5" s="847"/>
      <c r="DA5" s="847"/>
      <c r="DB5" s="847"/>
      <c r="DC5" s="847"/>
      <c r="DD5" s="847"/>
      <c r="DE5" s="847"/>
      <c r="DF5" s="847"/>
    </row>
    <row r="6" spans="1:110" ht="45.75" customHeight="1">
      <c r="A6" s="852"/>
      <c r="B6" s="862"/>
      <c r="C6" s="841"/>
      <c r="D6" s="841"/>
      <c r="E6" s="841" t="s">
        <v>31</v>
      </c>
      <c r="F6" s="841" t="s">
        <v>3</v>
      </c>
      <c r="G6" s="841" t="s">
        <v>32</v>
      </c>
      <c r="H6" s="841" t="s">
        <v>21</v>
      </c>
      <c r="I6" s="844" t="s">
        <v>3</v>
      </c>
      <c r="J6" s="844" t="s">
        <v>4</v>
      </c>
      <c r="K6" s="844" t="s">
        <v>22</v>
      </c>
      <c r="L6" s="841"/>
      <c r="M6" s="841"/>
      <c r="N6" s="841"/>
      <c r="O6" s="841"/>
      <c r="P6" s="841"/>
      <c r="Q6" s="841"/>
      <c r="R6" s="841"/>
      <c r="S6" s="841"/>
      <c r="T6" s="841" t="s">
        <v>40</v>
      </c>
      <c r="U6" s="841" t="s">
        <v>41</v>
      </c>
      <c r="V6" s="841" t="s">
        <v>42</v>
      </c>
      <c r="W6" s="841" t="s">
        <v>5</v>
      </c>
      <c r="X6" s="841" t="s">
        <v>43</v>
      </c>
      <c r="Y6" s="841" t="s">
        <v>44</v>
      </c>
      <c r="Z6" s="841" t="s">
        <v>45</v>
      </c>
      <c r="AA6" s="841" t="s">
        <v>46</v>
      </c>
      <c r="AB6" s="843"/>
      <c r="AC6" s="843"/>
      <c r="AD6" s="841" t="s">
        <v>47</v>
      </c>
      <c r="AE6" s="880" t="s">
        <v>48</v>
      </c>
      <c r="AF6" s="867"/>
      <c r="AG6" s="847"/>
      <c r="AH6" s="847"/>
      <c r="AI6" s="847"/>
      <c r="AJ6" s="847"/>
      <c r="AK6" s="847"/>
      <c r="AL6" s="847"/>
      <c r="AM6" s="847"/>
      <c r="AN6" s="847"/>
      <c r="AO6" s="847"/>
      <c r="AP6" s="847"/>
      <c r="AQ6" s="847"/>
      <c r="AR6" s="847"/>
      <c r="AS6" s="847"/>
      <c r="AT6" s="847"/>
      <c r="AU6" s="847"/>
      <c r="AV6" s="847"/>
      <c r="AW6" s="847"/>
      <c r="AX6" s="847"/>
      <c r="AY6" s="847"/>
      <c r="AZ6" s="847"/>
      <c r="BA6" s="847"/>
      <c r="BB6" s="847"/>
      <c r="BC6" s="847"/>
      <c r="BD6" s="847"/>
      <c r="BE6" s="847"/>
      <c r="BF6" s="847"/>
      <c r="BG6" s="847"/>
      <c r="BH6" s="847"/>
      <c r="BI6" s="847"/>
      <c r="BJ6" s="847"/>
      <c r="BK6" s="847"/>
      <c r="BL6" s="847"/>
      <c r="BM6" s="847"/>
      <c r="BN6" s="847"/>
      <c r="BO6" s="847"/>
      <c r="BP6" s="847"/>
      <c r="BQ6" s="847"/>
      <c r="BR6" s="847"/>
      <c r="BS6" s="847"/>
      <c r="BT6" s="847"/>
      <c r="BU6" s="847"/>
      <c r="BV6" s="847"/>
      <c r="BW6" s="847"/>
      <c r="BX6" s="847"/>
      <c r="BY6" s="847"/>
      <c r="BZ6" s="847"/>
      <c r="CA6" s="847"/>
      <c r="CB6" s="847"/>
      <c r="CC6" s="847"/>
      <c r="CD6" s="847"/>
      <c r="CE6" s="847"/>
      <c r="CF6" s="847"/>
      <c r="CG6" s="847"/>
      <c r="CH6" s="847"/>
      <c r="CI6" s="847"/>
      <c r="CJ6" s="847"/>
      <c r="CK6" s="847"/>
      <c r="CL6" s="847"/>
      <c r="CM6" s="847"/>
      <c r="CN6" s="847"/>
      <c r="CO6" s="847"/>
      <c r="CP6" s="847"/>
      <c r="CQ6" s="847"/>
      <c r="CR6" s="847"/>
      <c r="CS6" s="847"/>
      <c r="CT6" s="847"/>
      <c r="CU6" s="847"/>
      <c r="CV6" s="847"/>
      <c r="CW6" s="847"/>
      <c r="CX6" s="847"/>
      <c r="CY6" s="847"/>
      <c r="CZ6" s="847"/>
      <c r="DA6" s="847"/>
      <c r="DB6" s="847"/>
      <c r="DC6" s="847"/>
      <c r="DD6" s="847"/>
      <c r="DE6" s="847"/>
      <c r="DF6" s="847"/>
    </row>
    <row r="7" spans="1:110" ht="73.5" customHeight="1" thickBot="1">
      <c r="A7" s="853"/>
      <c r="B7" s="863"/>
      <c r="C7" s="842"/>
      <c r="D7" s="842"/>
      <c r="E7" s="842"/>
      <c r="F7" s="842"/>
      <c r="G7" s="865"/>
      <c r="H7" s="842"/>
      <c r="I7" s="845"/>
      <c r="J7" s="845"/>
      <c r="K7" s="845"/>
      <c r="L7" s="842"/>
      <c r="M7" s="842"/>
      <c r="N7" s="842"/>
      <c r="O7" s="842"/>
      <c r="P7" s="842"/>
      <c r="Q7" s="842"/>
      <c r="R7" s="842"/>
      <c r="S7" s="842"/>
      <c r="T7" s="842"/>
      <c r="U7" s="865"/>
      <c r="V7" s="842"/>
      <c r="W7" s="842"/>
      <c r="X7" s="865"/>
      <c r="Y7" s="842"/>
      <c r="Z7" s="842"/>
      <c r="AA7" s="196" t="s">
        <v>49</v>
      </c>
      <c r="AB7" s="196" t="s">
        <v>50</v>
      </c>
      <c r="AC7" s="196" t="s">
        <v>51</v>
      </c>
      <c r="AD7" s="842"/>
      <c r="AE7" s="881"/>
      <c r="AF7" s="868"/>
      <c r="AG7" s="847"/>
      <c r="AH7" s="847"/>
      <c r="AI7" s="847"/>
      <c r="AJ7" s="847"/>
      <c r="AK7" s="847"/>
      <c r="AL7" s="847"/>
      <c r="AM7" s="847"/>
      <c r="AN7" s="847"/>
      <c r="AO7" s="847"/>
      <c r="AP7" s="847"/>
      <c r="AQ7" s="847"/>
      <c r="AR7" s="847"/>
      <c r="AS7" s="847"/>
      <c r="AT7" s="847"/>
      <c r="AU7" s="847"/>
      <c r="AV7" s="847"/>
      <c r="AW7" s="847"/>
      <c r="AX7" s="847"/>
      <c r="AY7" s="847"/>
      <c r="AZ7" s="847"/>
      <c r="BA7" s="847"/>
      <c r="BB7" s="847"/>
      <c r="BC7" s="847"/>
      <c r="BD7" s="847"/>
      <c r="BE7" s="847"/>
      <c r="BF7" s="847"/>
      <c r="BG7" s="847"/>
      <c r="BH7" s="847"/>
      <c r="BI7" s="847"/>
      <c r="BJ7" s="847"/>
      <c r="BK7" s="847"/>
      <c r="BL7" s="847"/>
      <c r="BM7" s="847"/>
      <c r="BN7" s="847"/>
      <c r="BO7" s="847"/>
      <c r="BP7" s="847"/>
      <c r="BQ7" s="847"/>
      <c r="BR7" s="847"/>
      <c r="BS7" s="847"/>
      <c r="BT7" s="847"/>
      <c r="BU7" s="847"/>
      <c r="BV7" s="847"/>
      <c r="BW7" s="847"/>
      <c r="BX7" s="847"/>
      <c r="BY7" s="847"/>
      <c r="BZ7" s="847"/>
      <c r="CA7" s="847"/>
      <c r="CB7" s="847"/>
      <c r="CC7" s="847"/>
      <c r="CD7" s="847"/>
      <c r="CE7" s="847"/>
      <c r="CF7" s="847"/>
      <c r="CG7" s="847"/>
      <c r="CH7" s="847"/>
      <c r="CI7" s="847"/>
      <c r="CJ7" s="847"/>
      <c r="CK7" s="847"/>
      <c r="CL7" s="847"/>
      <c r="CM7" s="847"/>
      <c r="CN7" s="847"/>
      <c r="CO7" s="847"/>
      <c r="CP7" s="847"/>
      <c r="CQ7" s="847"/>
      <c r="CR7" s="847"/>
      <c r="CS7" s="847"/>
      <c r="CT7" s="847"/>
      <c r="CU7" s="847"/>
      <c r="CV7" s="847"/>
      <c r="CW7" s="847"/>
      <c r="CX7" s="847"/>
      <c r="CY7" s="847"/>
      <c r="CZ7" s="847"/>
      <c r="DA7" s="847"/>
      <c r="DB7" s="847"/>
      <c r="DC7" s="847"/>
      <c r="DD7" s="847"/>
      <c r="DE7" s="847"/>
      <c r="DF7" s="847"/>
    </row>
    <row r="8" spans="1:110" s="5" customFormat="1" ht="15" thickBot="1">
      <c r="A8" s="84"/>
      <c r="B8" s="85"/>
      <c r="C8" s="86" t="s">
        <v>52</v>
      </c>
      <c r="D8" s="86" t="s">
        <v>53</v>
      </c>
      <c r="E8" s="86" t="s">
        <v>52</v>
      </c>
      <c r="F8" s="86" t="s">
        <v>52</v>
      </c>
      <c r="G8" s="86" t="s">
        <v>52</v>
      </c>
      <c r="H8" s="86"/>
      <c r="I8" s="86" t="s">
        <v>52</v>
      </c>
      <c r="J8" s="86" t="s">
        <v>52</v>
      </c>
      <c r="K8" s="86"/>
      <c r="L8" s="86" t="s">
        <v>52</v>
      </c>
      <c r="M8" s="86" t="s">
        <v>52</v>
      </c>
      <c r="N8" s="86" t="s">
        <v>54</v>
      </c>
      <c r="O8" s="86" t="s">
        <v>55</v>
      </c>
      <c r="P8" s="86" t="s">
        <v>55</v>
      </c>
      <c r="Q8" s="86" t="s">
        <v>54</v>
      </c>
      <c r="R8" s="86" t="s">
        <v>54</v>
      </c>
      <c r="S8" s="86" t="s">
        <v>54</v>
      </c>
      <c r="T8" s="86" t="s">
        <v>54</v>
      </c>
      <c r="U8" s="86" t="s">
        <v>54</v>
      </c>
      <c r="V8" s="86" t="s">
        <v>54</v>
      </c>
      <c r="W8" s="86" t="s">
        <v>54</v>
      </c>
      <c r="X8" s="86" t="s">
        <v>54</v>
      </c>
      <c r="Y8" s="86" t="s">
        <v>54</v>
      </c>
      <c r="Z8" s="86"/>
      <c r="AA8" s="86"/>
      <c r="AB8" s="86"/>
      <c r="AC8" s="86"/>
      <c r="AD8" s="86"/>
      <c r="AE8" s="87"/>
      <c r="AF8" s="88"/>
      <c r="AG8" s="847"/>
      <c r="AH8" s="847"/>
      <c r="AI8" s="847"/>
      <c r="AJ8" s="847"/>
      <c r="AK8" s="847"/>
      <c r="AL8" s="847"/>
      <c r="AM8" s="847"/>
      <c r="AN8" s="847"/>
      <c r="AO8" s="847"/>
      <c r="AP8" s="847"/>
      <c r="AQ8" s="847"/>
      <c r="AR8" s="847"/>
      <c r="AS8" s="847"/>
      <c r="AT8" s="847"/>
      <c r="AU8" s="847"/>
      <c r="AV8" s="847"/>
      <c r="AW8" s="847"/>
      <c r="AX8" s="847"/>
      <c r="AY8" s="847"/>
      <c r="AZ8" s="847"/>
      <c r="BA8" s="847"/>
      <c r="BB8" s="847"/>
      <c r="BC8" s="847"/>
      <c r="BD8" s="847"/>
      <c r="BE8" s="847"/>
      <c r="BF8" s="847"/>
      <c r="BG8" s="847"/>
      <c r="BH8" s="847"/>
      <c r="BI8" s="847"/>
      <c r="BJ8" s="847"/>
      <c r="BK8" s="847"/>
      <c r="BL8" s="847"/>
      <c r="BM8" s="847"/>
      <c r="BN8" s="847"/>
      <c r="BO8" s="847"/>
      <c r="BP8" s="847"/>
      <c r="BQ8" s="847"/>
      <c r="BR8" s="847"/>
      <c r="BS8" s="847"/>
      <c r="BT8" s="847"/>
      <c r="BU8" s="847"/>
      <c r="BV8" s="847"/>
      <c r="BW8" s="847"/>
      <c r="BX8" s="847"/>
      <c r="BY8" s="847"/>
      <c r="BZ8" s="847"/>
      <c r="CA8" s="847"/>
      <c r="CB8" s="847"/>
      <c r="CC8" s="847"/>
      <c r="CD8" s="847"/>
      <c r="CE8" s="847"/>
      <c r="CF8" s="847"/>
      <c r="CG8" s="847"/>
      <c r="CH8" s="847"/>
      <c r="CI8" s="847"/>
      <c r="CJ8" s="847"/>
      <c r="CK8" s="847"/>
      <c r="CL8" s="847"/>
      <c r="CM8" s="847"/>
      <c r="CN8" s="847"/>
      <c r="CO8" s="847"/>
      <c r="CP8" s="847"/>
      <c r="CQ8" s="847"/>
      <c r="CR8" s="847"/>
      <c r="CS8" s="847"/>
      <c r="CT8" s="847"/>
      <c r="CU8" s="847"/>
      <c r="CV8" s="847"/>
      <c r="CW8" s="847"/>
      <c r="CX8" s="847"/>
      <c r="CY8" s="847"/>
      <c r="CZ8" s="847"/>
      <c r="DA8" s="847"/>
      <c r="DB8" s="847"/>
      <c r="DC8" s="847"/>
      <c r="DD8" s="847"/>
      <c r="DE8" s="847"/>
      <c r="DF8" s="847"/>
    </row>
    <row r="9" spans="1:110" s="99" customFormat="1" ht="27" customHeight="1">
      <c r="A9" s="89">
        <v>1</v>
      </c>
      <c r="B9" s="90" t="s">
        <v>7</v>
      </c>
      <c r="C9" s="91">
        <v>384</v>
      </c>
      <c r="D9" s="92">
        <v>1086589</v>
      </c>
      <c r="E9" s="91">
        <v>48</v>
      </c>
      <c r="F9" s="93">
        <v>514</v>
      </c>
      <c r="G9" s="93"/>
      <c r="H9" s="91"/>
      <c r="I9" s="93">
        <v>19</v>
      </c>
      <c r="J9" s="91"/>
      <c r="K9" s="91"/>
      <c r="L9" s="91"/>
      <c r="M9" s="91"/>
      <c r="N9" s="93">
        <v>71</v>
      </c>
      <c r="O9" s="91"/>
      <c r="P9" s="91"/>
      <c r="Q9" s="91">
        <v>51.24</v>
      </c>
      <c r="R9" s="91"/>
      <c r="S9" s="91">
        <v>5.73</v>
      </c>
      <c r="T9" s="91"/>
      <c r="U9" s="94"/>
      <c r="V9" s="95">
        <v>5.6</v>
      </c>
      <c r="W9" s="96">
        <v>6</v>
      </c>
      <c r="X9" s="96">
        <v>11.3</v>
      </c>
      <c r="Y9" s="96">
        <v>7</v>
      </c>
      <c r="Z9" s="97"/>
      <c r="AA9" s="91"/>
      <c r="AB9" s="91"/>
      <c r="AC9" s="98"/>
      <c r="AD9" s="91"/>
      <c r="AE9" s="94"/>
      <c r="AF9" s="100"/>
      <c r="AG9" s="847"/>
      <c r="AH9" s="847"/>
      <c r="AI9" s="847"/>
      <c r="AJ9" s="847"/>
      <c r="AK9" s="847"/>
      <c r="AL9" s="847"/>
      <c r="AM9" s="847"/>
      <c r="AN9" s="847"/>
      <c r="AO9" s="847"/>
      <c r="AP9" s="847"/>
      <c r="AQ9" s="847"/>
      <c r="AR9" s="847"/>
      <c r="AS9" s="847"/>
      <c r="AT9" s="847"/>
      <c r="AU9" s="847"/>
      <c r="AV9" s="847"/>
      <c r="AW9" s="847"/>
      <c r="AX9" s="847"/>
      <c r="AY9" s="847"/>
      <c r="AZ9" s="847"/>
      <c r="BA9" s="847"/>
      <c r="BB9" s="847"/>
      <c r="BC9" s="847"/>
      <c r="BD9" s="847"/>
      <c r="BE9" s="847"/>
      <c r="BF9" s="847"/>
      <c r="BG9" s="847"/>
      <c r="BH9" s="847"/>
      <c r="BI9" s="847"/>
      <c r="BJ9" s="847"/>
      <c r="BK9" s="847"/>
      <c r="BL9" s="847"/>
      <c r="BM9" s="847"/>
      <c r="BN9" s="847"/>
      <c r="BO9" s="847"/>
      <c r="BP9" s="847"/>
      <c r="BQ9" s="847"/>
      <c r="BR9" s="847"/>
      <c r="BS9" s="847"/>
      <c r="BT9" s="847"/>
      <c r="BU9" s="847"/>
      <c r="BV9" s="847"/>
      <c r="BW9" s="847"/>
      <c r="BX9" s="847"/>
      <c r="BY9" s="847"/>
      <c r="BZ9" s="847"/>
      <c r="CA9" s="847"/>
      <c r="CB9" s="847"/>
      <c r="CC9" s="847"/>
      <c r="CD9" s="847"/>
      <c r="CE9" s="847"/>
      <c r="CF9" s="847"/>
      <c r="CG9" s="847"/>
      <c r="CH9" s="847"/>
      <c r="CI9" s="847"/>
      <c r="CJ9" s="847"/>
      <c r="CK9" s="847"/>
      <c r="CL9" s="847"/>
      <c r="CM9" s="847"/>
      <c r="CN9" s="847"/>
      <c r="CO9" s="847"/>
      <c r="CP9" s="847"/>
      <c r="CQ9" s="847"/>
      <c r="CR9" s="847"/>
      <c r="CS9" s="847"/>
      <c r="CT9" s="847"/>
      <c r="CU9" s="847"/>
      <c r="CV9" s="847"/>
      <c r="CW9" s="847"/>
      <c r="CX9" s="847"/>
      <c r="CY9" s="847"/>
      <c r="CZ9" s="847"/>
      <c r="DA9" s="847"/>
      <c r="DB9" s="847"/>
      <c r="DC9" s="847"/>
      <c r="DD9" s="847"/>
      <c r="DE9" s="847"/>
      <c r="DF9" s="847"/>
    </row>
    <row r="10" spans="1:110" s="27" customFormat="1" ht="15" customHeight="1" thickBot="1">
      <c r="A10" s="203"/>
      <c r="B10" s="204"/>
      <c r="C10" s="205"/>
      <c r="D10" s="206"/>
      <c r="E10" s="205">
        <v>0</v>
      </c>
      <c r="F10" s="207">
        <v>0</v>
      </c>
      <c r="G10" s="207">
        <v>0</v>
      </c>
      <c r="H10" s="205"/>
      <c r="I10" s="207">
        <v>9</v>
      </c>
      <c r="J10" s="205">
        <v>10</v>
      </c>
      <c r="K10" s="205"/>
      <c r="L10" s="205"/>
      <c r="M10" s="205"/>
      <c r="N10" s="207">
        <v>8</v>
      </c>
      <c r="O10" s="205"/>
      <c r="P10" s="205"/>
      <c r="Q10" s="205">
        <v>6</v>
      </c>
      <c r="R10" s="205"/>
      <c r="S10" s="205">
        <v>0</v>
      </c>
      <c r="T10" s="205"/>
      <c r="U10" s="208"/>
      <c r="V10" s="209"/>
      <c r="W10" s="205"/>
      <c r="X10" s="205"/>
      <c r="Y10" s="205"/>
      <c r="Z10" s="210"/>
      <c r="AA10" s="205"/>
      <c r="AB10" s="205"/>
      <c r="AC10" s="211"/>
      <c r="AD10" s="205"/>
      <c r="AE10" s="208"/>
      <c r="AF10" s="212">
        <f>SUM(C10:AE10)</f>
        <v>33</v>
      </c>
      <c r="AG10" s="847"/>
      <c r="AH10" s="847"/>
      <c r="AI10" s="847"/>
      <c r="AJ10" s="847"/>
      <c r="AK10" s="847"/>
      <c r="AL10" s="847"/>
      <c r="AM10" s="847"/>
      <c r="AN10" s="847"/>
      <c r="AO10" s="847"/>
      <c r="AP10" s="847"/>
      <c r="AQ10" s="847"/>
      <c r="AR10" s="847"/>
      <c r="AS10" s="847"/>
      <c r="AT10" s="847"/>
      <c r="AU10" s="847"/>
      <c r="AV10" s="847"/>
      <c r="AW10" s="847"/>
      <c r="AX10" s="847"/>
      <c r="AY10" s="847"/>
      <c r="AZ10" s="847"/>
      <c r="BA10" s="847"/>
      <c r="BB10" s="847"/>
      <c r="BC10" s="847"/>
      <c r="BD10" s="847"/>
      <c r="BE10" s="847"/>
      <c r="BF10" s="847"/>
      <c r="BG10" s="847"/>
      <c r="BH10" s="847"/>
      <c r="BI10" s="847"/>
      <c r="BJ10" s="847"/>
      <c r="BK10" s="847"/>
      <c r="BL10" s="847"/>
      <c r="BM10" s="847"/>
      <c r="BN10" s="847"/>
      <c r="BO10" s="847"/>
      <c r="BP10" s="847"/>
      <c r="BQ10" s="847"/>
      <c r="BR10" s="847"/>
      <c r="BS10" s="847"/>
      <c r="BT10" s="847"/>
      <c r="BU10" s="847"/>
      <c r="BV10" s="847"/>
      <c r="BW10" s="847"/>
      <c r="BX10" s="847"/>
      <c r="BY10" s="847"/>
      <c r="BZ10" s="847"/>
      <c r="CA10" s="847"/>
      <c r="CB10" s="847"/>
      <c r="CC10" s="847"/>
      <c r="CD10" s="847"/>
      <c r="CE10" s="847"/>
      <c r="CF10" s="847"/>
      <c r="CG10" s="847"/>
      <c r="CH10" s="847"/>
      <c r="CI10" s="847"/>
      <c r="CJ10" s="847"/>
      <c r="CK10" s="847"/>
      <c r="CL10" s="847"/>
      <c r="CM10" s="847"/>
      <c r="CN10" s="847"/>
      <c r="CO10" s="847"/>
      <c r="CP10" s="847"/>
      <c r="CQ10" s="847"/>
      <c r="CR10" s="847"/>
      <c r="CS10" s="847"/>
      <c r="CT10" s="847"/>
      <c r="CU10" s="847"/>
      <c r="CV10" s="847"/>
      <c r="CW10" s="847"/>
      <c r="CX10" s="847"/>
      <c r="CY10" s="847"/>
      <c r="CZ10" s="847"/>
      <c r="DA10" s="847"/>
      <c r="DB10" s="847"/>
      <c r="DC10" s="847"/>
      <c r="DD10" s="847"/>
      <c r="DE10" s="847"/>
      <c r="DF10" s="847"/>
    </row>
    <row r="11" spans="1:110" ht="28.5">
      <c r="A11" s="19">
        <v>2</v>
      </c>
      <c r="B11" s="20" t="s">
        <v>6</v>
      </c>
      <c r="C11" s="34">
        <v>291</v>
      </c>
      <c r="D11" s="44">
        <v>674255</v>
      </c>
      <c r="E11" s="34">
        <v>13</v>
      </c>
      <c r="F11" s="56">
        <v>355</v>
      </c>
      <c r="G11" s="56"/>
      <c r="H11" s="109"/>
      <c r="I11" s="56">
        <v>26</v>
      </c>
      <c r="J11" s="34"/>
      <c r="K11" s="109"/>
      <c r="L11" s="34">
        <v>0</v>
      </c>
      <c r="M11" s="34"/>
      <c r="N11" s="56">
        <v>127</v>
      </c>
      <c r="O11" s="34"/>
      <c r="P11" s="34"/>
      <c r="Q11" s="34">
        <v>50.23</v>
      </c>
      <c r="R11" s="34"/>
      <c r="S11" s="34"/>
      <c r="T11" s="34"/>
      <c r="U11" s="45"/>
      <c r="V11" s="68">
        <v>19</v>
      </c>
      <c r="W11" s="69">
        <v>16</v>
      </c>
      <c r="X11" s="69">
        <v>20</v>
      </c>
      <c r="Y11" s="69">
        <v>40</v>
      </c>
      <c r="Z11" s="59"/>
      <c r="AA11" s="34"/>
      <c r="AB11" s="34"/>
      <c r="AC11" s="21"/>
      <c r="AD11" s="34"/>
      <c r="AE11" s="45"/>
      <c r="AF11" s="102"/>
      <c r="AG11" s="847"/>
      <c r="AH11" s="847"/>
      <c r="AI11" s="847"/>
      <c r="AJ11" s="847"/>
      <c r="AK11" s="847"/>
      <c r="AL11" s="847"/>
      <c r="AM11" s="847"/>
      <c r="AN11" s="847"/>
      <c r="AO11" s="847"/>
      <c r="AP11" s="847"/>
      <c r="AQ11" s="847"/>
      <c r="AR11" s="847"/>
      <c r="AS11" s="847"/>
      <c r="AT11" s="847"/>
      <c r="AU11" s="847"/>
      <c r="AV11" s="847"/>
      <c r="AW11" s="847"/>
      <c r="AX11" s="847"/>
      <c r="AY11" s="847"/>
      <c r="AZ11" s="847"/>
      <c r="BA11" s="847"/>
      <c r="BB11" s="847"/>
      <c r="BC11" s="847"/>
      <c r="BD11" s="847"/>
      <c r="BE11" s="847"/>
      <c r="BF11" s="847"/>
      <c r="BG11" s="847"/>
      <c r="BH11" s="847"/>
      <c r="BI11" s="847"/>
      <c r="BJ11" s="847"/>
      <c r="BK11" s="847"/>
      <c r="BL11" s="847"/>
      <c r="BM11" s="847"/>
      <c r="BN11" s="847"/>
      <c r="BO11" s="847"/>
      <c r="BP11" s="847"/>
      <c r="BQ11" s="847"/>
      <c r="BR11" s="847"/>
      <c r="BS11" s="847"/>
      <c r="BT11" s="847"/>
      <c r="BU11" s="847"/>
      <c r="BV11" s="847"/>
      <c r="BW11" s="847"/>
      <c r="BX11" s="847"/>
      <c r="BY11" s="847"/>
      <c r="BZ11" s="847"/>
      <c r="CA11" s="847"/>
      <c r="CB11" s="847"/>
      <c r="CC11" s="847"/>
      <c r="CD11" s="847"/>
      <c r="CE11" s="847"/>
      <c r="CF11" s="847"/>
      <c r="CG11" s="847"/>
      <c r="CH11" s="847"/>
      <c r="CI11" s="847"/>
      <c r="CJ11" s="847"/>
      <c r="CK11" s="847"/>
      <c r="CL11" s="847"/>
      <c r="CM11" s="847"/>
      <c r="CN11" s="847"/>
      <c r="CO11" s="847"/>
      <c r="CP11" s="847"/>
      <c r="CQ11" s="847"/>
      <c r="CR11" s="847"/>
      <c r="CS11" s="847"/>
      <c r="CT11" s="847"/>
      <c r="CU11" s="847"/>
      <c r="CV11" s="847"/>
      <c r="CW11" s="847"/>
      <c r="CX11" s="847"/>
      <c r="CY11" s="847"/>
      <c r="CZ11" s="847"/>
      <c r="DA11" s="847"/>
      <c r="DB11" s="847"/>
      <c r="DC11" s="847"/>
      <c r="DD11" s="847"/>
      <c r="DE11" s="847"/>
      <c r="DF11" s="847"/>
    </row>
    <row r="12" spans="1:110" s="27" customFormat="1" ht="16.5" customHeight="1" thickBot="1">
      <c r="A12" s="203"/>
      <c r="B12" s="204"/>
      <c r="C12" s="205"/>
      <c r="D12" s="206"/>
      <c r="E12" s="205">
        <v>3</v>
      </c>
      <c r="F12" s="207">
        <v>0</v>
      </c>
      <c r="G12" s="207">
        <v>0</v>
      </c>
      <c r="H12" s="205"/>
      <c r="I12" s="207">
        <v>9</v>
      </c>
      <c r="J12" s="205">
        <v>10</v>
      </c>
      <c r="K12" s="205"/>
      <c r="L12" s="205"/>
      <c r="M12" s="205"/>
      <c r="N12" s="207"/>
      <c r="O12" s="205"/>
      <c r="P12" s="205"/>
      <c r="Q12" s="205">
        <v>6</v>
      </c>
      <c r="R12" s="205"/>
      <c r="S12" s="205"/>
      <c r="T12" s="205"/>
      <c r="U12" s="208"/>
      <c r="V12" s="209"/>
      <c r="W12" s="205"/>
      <c r="X12" s="205"/>
      <c r="Y12" s="205"/>
      <c r="Z12" s="210"/>
      <c r="AA12" s="205"/>
      <c r="AB12" s="205"/>
      <c r="AC12" s="211"/>
      <c r="AD12" s="205"/>
      <c r="AE12" s="208"/>
      <c r="AF12" s="213">
        <v>44.2</v>
      </c>
      <c r="AG12" s="847"/>
      <c r="AH12" s="847"/>
      <c r="AI12" s="847"/>
      <c r="AJ12" s="847"/>
      <c r="AK12" s="847"/>
      <c r="AL12" s="847"/>
      <c r="AM12" s="847"/>
      <c r="AN12" s="847"/>
      <c r="AO12" s="847"/>
      <c r="AP12" s="847"/>
      <c r="AQ12" s="847"/>
      <c r="AR12" s="847"/>
      <c r="AS12" s="847"/>
      <c r="AT12" s="847"/>
      <c r="AU12" s="847"/>
      <c r="AV12" s="847"/>
      <c r="AW12" s="847"/>
      <c r="AX12" s="847"/>
      <c r="AY12" s="847"/>
      <c r="AZ12" s="847"/>
      <c r="BA12" s="847"/>
      <c r="BB12" s="847"/>
      <c r="BC12" s="847"/>
      <c r="BD12" s="847"/>
      <c r="BE12" s="847"/>
      <c r="BF12" s="847"/>
      <c r="BG12" s="847"/>
      <c r="BH12" s="847"/>
      <c r="BI12" s="847"/>
      <c r="BJ12" s="847"/>
      <c r="BK12" s="847"/>
      <c r="BL12" s="847"/>
      <c r="BM12" s="847"/>
      <c r="BN12" s="847"/>
      <c r="BO12" s="847"/>
      <c r="BP12" s="847"/>
      <c r="BQ12" s="847"/>
      <c r="BR12" s="847"/>
      <c r="BS12" s="847"/>
      <c r="BT12" s="847"/>
      <c r="BU12" s="847"/>
      <c r="BV12" s="847"/>
      <c r="BW12" s="847"/>
      <c r="BX12" s="847"/>
      <c r="BY12" s="847"/>
      <c r="BZ12" s="847"/>
      <c r="CA12" s="847"/>
      <c r="CB12" s="847"/>
      <c r="CC12" s="847"/>
      <c r="CD12" s="847"/>
      <c r="CE12" s="847"/>
      <c r="CF12" s="847"/>
      <c r="CG12" s="847"/>
      <c r="CH12" s="847"/>
      <c r="CI12" s="847"/>
      <c r="CJ12" s="847"/>
      <c r="CK12" s="847"/>
      <c r="CL12" s="847"/>
      <c r="CM12" s="847"/>
      <c r="CN12" s="847"/>
      <c r="CO12" s="847"/>
      <c r="CP12" s="847"/>
      <c r="CQ12" s="847"/>
      <c r="CR12" s="847"/>
      <c r="CS12" s="847"/>
      <c r="CT12" s="847"/>
      <c r="CU12" s="847"/>
      <c r="CV12" s="847"/>
      <c r="CW12" s="847"/>
      <c r="CX12" s="847"/>
      <c r="CY12" s="847"/>
      <c r="CZ12" s="847"/>
      <c r="DA12" s="847"/>
      <c r="DB12" s="847"/>
      <c r="DC12" s="847"/>
      <c r="DD12" s="847"/>
      <c r="DE12" s="847"/>
      <c r="DF12" s="847"/>
    </row>
    <row r="13" spans="1:110" ht="28.5">
      <c r="A13" s="19">
        <v>3</v>
      </c>
      <c r="B13" s="20" t="s">
        <v>56</v>
      </c>
      <c r="C13" s="48">
        <v>526</v>
      </c>
      <c r="D13" s="40">
        <v>1269182</v>
      </c>
      <c r="E13" s="56">
        <v>57</v>
      </c>
      <c r="F13" s="56">
        <v>253</v>
      </c>
      <c r="G13" s="56"/>
      <c r="H13" s="200"/>
      <c r="I13" s="56">
        <v>31</v>
      </c>
      <c r="J13" s="44"/>
      <c r="K13" s="116"/>
      <c r="L13" s="40"/>
      <c r="M13" s="40"/>
      <c r="N13" s="56">
        <v>141</v>
      </c>
      <c r="O13" s="40"/>
      <c r="P13" s="40"/>
      <c r="Q13" s="40">
        <v>14.82</v>
      </c>
      <c r="R13" s="40"/>
      <c r="S13" s="40"/>
      <c r="T13" s="40"/>
      <c r="U13" s="49"/>
      <c r="V13" s="68">
        <v>32.619999999999997</v>
      </c>
      <c r="W13" s="69">
        <v>49.36</v>
      </c>
      <c r="X13" s="69">
        <v>50.65</v>
      </c>
      <c r="Y13" s="69">
        <v>64.510000000000005</v>
      </c>
      <c r="Z13" s="59"/>
      <c r="AA13" s="40"/>
      <c r="AB13" s="40"/>
      <c r="AC13" s="21"/>
      <c r="AD13" s="40"/>
      <c r="AE13" s="49"/>
      <c r="AF13" s="104"/>
      <c r="AG13" s="847"/>
      <c r="AH13" s="847"/>
      <c r="AI13" s="847"/>
      <c r="AJ13" s="847"/>
      <c r="AK13" s="847"/>
      <c r="AL13" s="847"/>
      <c r="AM13" s="847"/>
      <c r="AN13" s="847"/>
      <c r="AO13" s="847"/>
      <c r="AP13" s="847"/>
      <c r="AQ13" s="847"/>
      <c r="AR13" s="847"/>
      <c r="AS13" s="847"/>
      <c r="AT13" s="847"/>
      <c r="AU13" s="847"/>
      <c r="AV13" s="847"/>
      <c r="AW13" s="847"/>
      <c r="AX13" s="847"/>
      <c r="AY13" s="847"/>
      <c r="AZ13" s="847"/>
      <c r="BA13" s="847"/>
      <c r="BB13" s="847"/>
      <c r="BC13" s="847"/>
      <c r="BD13" s="847"/>
      <c r="BE13" s="847"/>
      <c r="BF13" s="847"/>
      <c r="BG13" s="847"/>
      <c r="BH13" s="847"/>
      <c r="BI13" s="847"/>
      <c r="BJ13" s="847"/>
      <c r="BK13" s="847"/>
      <c r="BL13" s="847"/>
      <c r="BM13" s="847"/>
      <c r="BN13" s="847"/>
      <c r="BO13" s="847"/>
      <c r="BP13" s="847"/>
      <c r="BQ13" s="847"/>
      <c r="BR13" s="847"/>
      <c r="BS13" s="847"/>
      <c r="BT13" s="847"/>
      <c r="BU13" s="847"/>
      <c r="BV13" s="847"/>
      <c r="BW13" s="847"/>
      <c r="BX13" s="847"/>
      <c r="BY13" s="847"/>
      <c r="BZ13" s="847"/>
      <c r="CA13" s="847"/>
      <c r="CB13" s="847"/>
      <c r="CC13" s="847"/>
      <c r="CD13" s="847"/>
      <c r="CE13" s="847"/>
      <c r="CF13" s="847"/>
      <c r="CG13" s="847"/>
      <c r="CH13" s="847"/>
      <c r="CI13" s="847"/>
      <c r="CJ13" s="847"/>
      <c r="CK13" s="847"/>
      <c r="CL13" s="847"/>
      <c r="CM13" s="847"/>
      <c r="CN13" s="847"/>
      <c r="CO13" s="847"/>
      <c r="CP13" s="847"/>
      <c r="CQ13" s="847"/>
      <c r="CR13" s="847"/>
      <c r="CS13" s="847"/>
      <c r="CT13" s="847"/>
      <c r="CU13" s="847"/>
      <c r="CV13" s="847"/>
      <c r="CW13" s="847"/>
      <c r="CX13" s="847"/>
      <c r="CY13" s="847"/>
      <c r="CZ13" s="847"/>
      <c r="DA13" s="847"/>
      <c r="DB13" s="847"/>
      <c r="DC13" s="847"/>
      <c r="DD13" s="847"/>
      <c r="DE13" s="847"/>
      <c r="DF13" s="847"/>
    </row>
    <row r="14" spans="1:110" s="27" customFormat="1" ht="15.75" customHeight="1" thickBot="1">
      <c r="A14" s="203"/>
      <c r="B14" s="204"/>
      <c r="C14" s="214"/>
      <c r="D14" s="215"/>
      <c r="E14" s="207">
        <v>0</v>
      </c>
      <c r="F14" s="207">
        <v>0</v>
      </c>
      <c r="G14" s="207">
        <v>0</v>
      </c>
      <c r="H14" s="215"/>
      <c r="I14" s="207">
        <v>2</v>
      </c>
      <c r="J14" s="206">
        <v>10</v>
      </c>
      <c r="K14" s="206"/>
      <c r="L14" s="215"/>
      <c r="M14" s="215"/>
      <c r="N14" s="207"/>
      <c r="O14" s="215"/>
      <c r="P14" s="215"/>
      <c r="Q14" s="215">
        <v>2</v>
      </c>
      <c r="R14" s="215"/>
      <c r="S14" s="215"/>
      <c r="T14" s="215"/>
      <c r="U14" s="216"/>
      <c r="V14" s="209"/>
      <c r="W14" s="215"/>
      <c r="X14" s="215"/>
      <c r="Y14" s="215"/>
      <c r="Z14" s="217"/>
      <c r="AA14" s="215"/>
      <c r="AB14" s="215"/>
      <c r="AC14" s="211"/>
      <c r="AD14" s="215"/>
      <c r="AE14" s="216"/>
      <c r="AF14" s="212">
        <f>SUM(C14:AE14)</f>
        <v>14</v>
      </c>
      <c r="AG14" s="847"/>
      <c r="AH14" s="847"/>
      <c r="AI14" s="847"/>
      <c r="AJ14" s="847"/>
      <c r="AK14" s="847"/>
      <c r="AL14" s="847"/>
      <c r="AM14" s="847"/>
      <c r="AN14" s="847"/>
      <c r="AO14" s="847"/>
      <c r="AP14" s="847"/>
      <c r="AQ14" s="847"/>
      <c r="AR14" s="847"/>
      <c r="AS14" s="847"/>
      <c r="AT14" s="847"/>
      <c r="AU14" s="847"/>
      <c r="AV14" s="847"/>
      <c r="AW14" s="847"/>
      <c r="AX14" s="847"/>
      <c r="AY14" s="847"/>
      <c r="AZ14" s="847"/>
      <c r="BA14" s="847"/>
      <c r="BB14" s="847"/>
      <c r="BC14" s="847"/>
      <c r="BD14" s="847"/>
      <c r="BE14" s="847"/>
      <c r="BF14" s="847"/>
      <c r="BG14" s="847"/>
      <c r="BH14" s="847"/>
      <c r="BI14" s="847"/>
      <c r="BJ14" s="847"/>
      <c r="BK14" s="847"/>
      <c r="BL14" s="847"/>
      <c r="BM14" s="847"/>
      <c r="BN14" s="847"/>
      <c r="BO14" s="847"/>
      <c r="BP14" s="847"/>
      <c r="BQ14" s="847"/>
      <c r="BR14" s="847"/>
      <c r="BS14" s="847"/>
      <c r="BT14" s="847"/>
      <c r="BU14" s="847"/>
      <c r="BV14" s="847"/>
      <c r="BW14" s="847"/>
      <c r="BX14" s="847"/>
      <c r="BY14" s="847"/>
      <c r="BZ14" s="847"/>
      <c r="CA14" s="847"/>
      <c r="CB14" s="847"/>
      <c r="CC14" s="847"/>
      <c r="CD14" s="847"/>
      <c r="CE14" s="847"/>
      <c r="CF14" s="847"/>
      <c r="CG14" s="847"/>
      <c r="CH14" s="847"/>
      <c r="CI14" s="847"/>
      <c r="CJ14" s="847"/>
      <c r="CK14" s="847"/>
      <c r="CL14" s="847"/>
      <c r="CM14" s="847"/>
      <c r="CN14" s="847"/>
      <c r="CO14" s="847"/>
      <c r="CP14" s="847"/>
      <c r="CQ14" s="847"/>
      <c r="CR14" s="847"/>
      <c r="CS14" s="847"/>
      <c r="CT14" s="847"/>
      <c r="CU14" s="847"/>
      <c r="CV14" s="847"/>
      <c r="CW14" s="847"/>
      <c r="CX14" s="847"/>
      <c r="CY14" s="847"/>
      <c r="CZ14" s="847"/>
      <c r="DA14" s="847"/>
      <c r="DB14" s="847"/>
      <c r="DC14" s="847"/>
      <c r="DD14" s="847"/>
      <c r="DE14" s="847"/>
      <c r="DF14" s="847"/>
    </row>
    <row r="15" spans="1:110" ht="45.75" customHeight="1">
      <c r="A15" s="19">
        <v>4</v>
      </c>
      <c r="B15" s="20" t="s">
        <v>8</v>
      </c>
      <c r="C15" s="48">
        <v>561</v>
      </c>
      <c r="D15" s="40">
        <v>1190658</v>
      </c>
      <c r="E15" s="56">
        <v>39</v>
      </c>
      <c r="F15" s="56">
        <v>732</v>
      </c>
      <c r="G15" s="56"/>
      <c r="H15" s="201"/>
      <c r="I15" s="56">
        <v>42</v>
      </c>
      <c r="J15" s="110"/>
      <c r="K15" s="118"/>
      <c r="L15" s="34"/>
      <c r="M15" s="37"/>
      <c r="N15" s="56">
        <v>179</v>
      </c>
      <c r="O15" s="40"/>
      <c r="P15" s="40"/>
      <c r="Q15" s="40">
        <v>87.14</v>
      </c>
      <c r="R15" s="40"/>
      <c r="S15" s="40">
        <v>16.22</v>
      </c>
      <c r="T15" s="34"/>
      <c r="U15" s="45"/>
      <c r="V15" s="68">
        <v>7.3</v>
      </c>
      <c r="W15" s="69">
        <v>6.8</v>
      </c>
      <c r="X15" s="69">
        <v>6.8</v>
      </c>
      <c r="Y15" s="69">
        <v>59.3</v>
      </c>
      <c r="Z15" s="59"/>
      <c r="AA15" s="34"/>
      <c r="AB15" s="34"/>
      <c r="AC15" s="21"/>
      <c r="AD15" s="34"/>
      <c r="AE15" s="45"/>
      <c r="AF15" s="102"/>
      <c r="AG15" s="847"/>
      <c r="AH15" s="847"/>
      <c r="AI15" s="847"/>
      <c r="AJ15" s="847"/>
      <c r="AK15" s="847"/>
      <c r="AL15" s="847"/>
      <c r="AM15" s="847"/>
      <c r="AN15" s="847"/>
      <c r="AO15" s="847"/>
      <c r="AP15" s="847"/>
      <c r="AQ15" s="847"/>
      <c r="AR15" s="847"/>
      <c r="AS15" s="847"/>
      <c r="AT15" s="847"/>
      <c r="AU15" s="847"/>
      <c r="AV15" s="847"/>
      <c r="AW15" s="847"/>
      <c r="AX15" s="847"/>
      <c r="AY15" s="847"/>
      <c r="AZ15" s="847"/>
      <c r="BA15" s="847"/>
      <c r="BB15" s="847"/>
      <c r="BC15" s="847"/>
      <c r="BD15" s="847"/>
      <c r="BE15" s="847"/>
      <c r="BF15" s="847"/>
      <c r="BG15" s="847"/>
      <c r="BH15" s="847"/>
      <c r="BI15" s="847"/>
      <c r="BJ15" s="847"/>
      <c r="BK15" s="847"/>
      <c r="BL15" s="847"/>
      <c r="BM15" s="847"/>
      <c r="BN15" s="847"/>
      <c r="BO15" s="847"/>
      <c r="BP15" s="847"/>
      <c r="BQ15" s="847"/>
      <c r="BR15" s="847"/>
      <c r="BS15" s="847"/>
      <c r="BT15" s="847"/>
      <c r="BU15" s="847"/>
      <c r="BV15" s="847"/>
      <c r="BW15" s="847"/>
      <c r="BX15" s="847"/>
      <c r="BY15" s="847"/>
      <c r="BZ15" s="847"/>
      <c r="CA15" s="847"/>
      <c r="CB15" s="847"/>
      <c r="CC15" s="847"/>
      <c r="CD15" s="847"/>
      <c r="CE15" s="847"/>
      <c r="CF15" s="847"/>
      <c r="CG15" s="847"/>
      <c r="CH15" s="847"/>
      <c r="CI15" s="847"/>
      <c r="CJ15" s="847"/>
      <c r="CK15" s="847"/>
      <c r="CL15" s="847"/>
      <c r="CM15" s="847"/>
      <c r="CN15" s="847"/>
      <c r="CO15" s="847"/>
      <c r="CP15" s="847"/>
      <c r="CQ15" s="847"/>
      <c r="CR15" s="847"/>
      <c r="CS15" s="847"/>
      <c r="CT15" s="847"/>
      <c r="CU15" s="847"/>
      <c r="CV15" s="847"/>
      <c r="CW15" s="847"/>
      <c r="CX15" s="847"/>
      <c r="CY15" s="847"/>
      <c r="CZ15" s="847"/>
      <c r="DA15" s="847"/>
      <c r="DB15" s="847"/>
      <c r="DC15" s="847"/>
      <c r="DD15" s="847"/>
      <c r="DE15" s="847"/>
      <c r="DF15" s="847"/>
    </row>
    <row r="16" spans="1:110" s="76" customFormat="1" ht="15" customHeight="1" thickBot="1">
      <c r="A16" s="218"/>
      <c r="B16" s="219"/>
      <c r="C16" s="220"/>
      <c r="D16" s="221"/>
      <c r="E16" s="222">
        <v>0</v>
      </c>
      <c r="F16" s="222">
        <v>0</v>
      </c>
      <c r="G16" s="222">
        <v>0</v>
      </c>
      <c r="H16" s="221"/>
      <c r="I16" s="222">
        <v>10</v>
      </c>
      <c r="J16" s="223">
        <v>10</v>
      </c>
      <c r="K16" s="223"/>
      <c r="L16" s="224">
        <v>4</v>
      </c>
      <c r="M16" s="224"/>
      <c r="N16" s="222"/>
      <c r="O16" s="221"/>
      <c r="P16" s="221"/>
      <c r="Q16" s="221">
        <v>9</v>
      </c>
      <c r="R16" s="221"/>
      <c r="S16" s="221">
        <v>2</v>
      </c>
      <c r="T16" s="224"/>
      <c r="U16" s="225"/>
      <c r="V16" s="226"/>
      <c r="W16" s="224"/>
      <c r="X16" s="224"/>
      <c r="Y16" s="224"/>
      <c r="Z16" s="227"/>
      <c r="AA16" s="224"/>
      <c r="AB16" s="224"/>
      <c r="AC16" s="228"/>
      <c r="AD16" s="224"/>
      <c r="AE16" s="225"/>
      <c r="AF16" s="213">
        <f>SUM(C16:AE16)</f>
        <v>35</v>
      </c>
      <c r="AG16" s="847"/>
      <c r="AH16" s="847"/>
      <c r="AI16" s="847"/>
      <c r="AJ16" s="847"/>
      <c r="AK16" s="847"/>
      <c r="AL16" s="847"/>
      <c r="AM16" s="847"/>
      <c r="AN16" s="847"/>
      <c r="AO16" s="847"/>
      <c r="AP16" s="847"/>
      <c r="AQ16" s="847"/>
      <c r="AR16" s="847"/>
      <c r="AS16" s="847"/>
      <c r="AT16" s="847"/>
      <c r="AU16" s="847"/>
      <c r="AV16" s="847"/>
      <c r="AW16" s="847"/>
      <c r="AX16" s="847"/>
      <c r="AY16" s="847"/>
      <c r="AZ16" s="847"/>
      <c r="BA16" s="847"/>
      <c r="BB16" s="847"/>
      <c r="BC16" s="847"/>
      <c r="BD16" s="847"/>
      <c r="BE16" s="847"/>
      <c r="BF16" s="847"/>
      <c r="BG16" s="847"/>
      <c r="BH16" s="847"/>
      <c r="BI16" s="847"/>
      <c r="BJ16" s="847"/>
      <c r="BK16" s="847"/>
      <c r="BL16" s="847"/>
      <c r="BM16" s="847"/>
      <c r="BN16" s="847"/>
      <c r="BO16" s="847"/>
      <c r="BP16" s="847"/>
      <c r="BQ16" s="847"/>
      <c r="BR16" s="847"/>
      <c r="BS16" s="847"/>
      <c r="BT16" s="847"/>
      <c r="BU16" s="847"/>
      <c r="BV16" s="847"/>
      <c r="BW16" s="847"/>
      <c r="BX16" s="847"/>
      <c r="BY16" s="847"/>
      <c r="BZ16" s="847"/>
      <c r="CA16" s="847"/>
      <c r="CB16" s="847"/>
      <c r="CC16" s="847"/>
      <c r="CD16" s="847"/>
      <c r="CE16" s="847"/>
      <c r="CF16" s="847"/>
      <c r="CG16" s="847"/>
      <c r="CH16" s="847"/>
      <c r="CI16" s="847"/>
      <c r="CJ16" s="847"/>
      <c r="CK16" s="847"/>
      <c r="CL16" s="847"/>
      <c r="CM16" s="847"/>
      <c r="CN16" s="847"/>
      <c r="CO16" s="847"/>
      <c r="CP16" s="847"/>
      <c r="CQ16" s="847"/>
      <c r="CR16" s="847"/>
      <c r="CS16" s="847"/>
      <c r="CT16" s="847"/>
      <c r="CU16" s="847"/>
      <c r="CV16" s="847"/>
      <c r="CW16" s="847"/>
      <c r="CX16" s="847"/>
      <c r="CY16" s="847"/>
      <c r="CZ16" s="847"/>
      <c r="DA16" s="847"/>
      <c r="DB16" s="847"/>
      <c r="DC16" s="847"/>
      <c r="DD16" s="847"/>
      <c r="DE16" s="847"/>
      <c r="DF16" s="847"/>
    </row>
    <row r="17" spans="1:110" ht="28.5">
      <c r="A17" s="19">
        <v>5</v>
      </c>
      <c r="B17" s="20" t="s">
        <v>57</v>
      </c>
      <c r="C17" s="34">
        <v>12</v>
      </c>
      <c r="D17" s="34"/>
      <c r="E17" s="56">
        <v>0</v>
      </c>
      <c r="F17" s="56">
        <v>162</v>
      </c>
      <c r="G17" s="56"/>
      <c r="H17" s="109"/>
      <c r="I17" s="56">
        <v>17</v>
      </c>
      <c r="J17" s="44"/>
      <c r="K17" s="116"/>
      <c r="L17" s="34"/>
      <c r="M17" s="34"/>
      <c r="N17" s="56">
        <v>0</v>
      </c>
      <c r="O17" s="34"/>
      <c r="P17" s="34"/>
      <c r="Q17" s="34">
        <v>0</v>
      </c>
      <c r="R17" s="34"/>
      <c r="S17" s="34"/>
      <c r="T17" s="34"/>
      <c r="U17" s="45"/>
      <c r="V17" s="68"/>
      <c r="W17" s="69"/>
      <c r="X17" s="69"/>
      <c r="Y17" s="69"/>
      <c r="Z17" s="59"/>
      <c r="AA17" s="34"/>
      <c r="AB17" s="34"/>
      <c r="AC17" s="21"/>
      <c r="AD17" s="34"/>
      <c r="AE17" s="45"/>
      <c r="AF17" s="105"/>
      <c r="AG17" s="847"/>
      <c r="AH17" s="847"/>
      <c r="AI17" s="847"/>
      <c r="AJ17" s="847"/>
      <c r="AK17" s="847"/>
      <c r="AL17" s="847"/>
      <c r="AM17" s="847"/>
      <c r="AN17" s="847"/>
      <c r="AO17" s="847"/>
      <c r="AP17" s="847"/>
      <c r="AQ17" s="847"/>
      <c r="AR17" s="847"/>
      <c r="AS17" s="847"/>
      <c r="AT17" s="847"/>
      <c r="AU17" s="847"/>
      <c r="AV17" s="847"/>
      <c r="AW17" s="847"/>
      <c r="AX17" s="847"/>
      <c r="AY17" s="847"/>
      <c r="AZ17" s="847"/>
      <c r="BA17" s="847"/>
      <c r="BB17" s="847"/>
      <c r="BC17" s="847"/>
      <c r="BD17" s="847"/>
      <c r="BE17" s="847"/>
      <c r="BF17" s="847"/>
      <c r="BG17" s="847"/>
      <c r="BH17" s="847"/>
      <c r="BI17" s="847"/>
      <c r="BJ17" s="847"/>
      <c r="BK17" s="847"/>
      <c r="BL17" s="847"/>
      <c r="BM17" s="847"/>
      <c r="BN17" s="847"/>
      <c r="BO17" s="847"/>
      <c r="BP17" s="847"/>
      <c r="BQ17" s="847"/>
      <c r="BR17" s="847"/>
      <c r="BS17" s="847"/>
      <c r="BT17" s="847"/>
      <c r="BU17" s="847"/>
      <c r="BV17" s="847"/>
      <c r="BW17" s="847"/>
      <c r="BX17" s="847"/>
      <c r="BY17" s="847"/>
      <c r="BZ17" s="847"/>
      <c r="CA17" s="847"/>
      <c r="CB17" s="847"/>
      <c r="CC17" s="847"/>
      <c r="CD17" s="847"/>
      <c r="CE17" s="847"/>
      <c r="CF17" s="847"/>
      <c r="CG17" s="847"/>
      <c r="CH17" s="847"/>
      <c r="CI17" s="847"/>
      <c r="CJ17" s="847"/>
      <c r="CK17" s="847"/>
      <c r="CL17" s="847"/>
      <c r="CM17" s="847"/>
      <c r="CN17" s="847"/>
      <c r="CO17" s="847"/>
      <c r="CP17" s="847"/>
      <c r="CQ17" s="847"/>
      <c r="CR17" s="847"/>
      <c r="CS17" s="847"/>
      <c r="CT17" s="847"/>
      <c r="CU17" s="847"/>
      <c r="CV17" s="847"/>
      <c r="CW17" s="847"/>
      <c r="CX17" s="847"/>
      <c r="CY17" s="847"/>
      <c r="CZ17" s="847"/>
      <c r="DA17" s="847"/>
      <c r="DB17" s="847"/>
      <c r="DC17" s="847"/>
      <c r="DD17" s="847"/>
      <c r="DE17" s="847"/>
      <c r="DF17" s="847"/>
    </row>
    <row r="18" spans="1:110" s="27" customFormat="1" ht="16.5" customHeight="1" thickBot="1">
      <c r="A18" s="218"/>
      <c r="B18" s="229"/>
      <c r="C18" s="224"/>
      <c r="D18" s="224"/>
      <c r="E18" s="222">
        <v>10</v>
      </c>
      <c r="F18" s="222">
        <v>0</v>
      </c>
      <c r="G18" s="222">
        <v>6</v>
      </c>
      <c r="H18" s="224"/>
      <c r="I18" s="222">
        <v>8</v>
      </c>
      <c r="J18" s="223">
        <v>10</v>
      </c>
      <c r="K18" s="223"/>
      <c r="L18" s="224"/>
      <c r="M18" s="224"/>
      <c r="N18" s="222"/>
      <c r="O18" s="224"/>
      <c r="P18" s="224"/>
      <c r="Q18" s="224"/>
      <c r="R18" s="224"/>
      <c r="S18" s="224"/>
      <c r="T18" s="224"/>
      <c r="U18" s="225"/>
      <c r="V18" s="226"/>
      <c r="W18" s="224"/>
      <c r="X18" s="224"/>
      <c r="Y18" s="224"/>
      <c r="Z18" s="227"/>
      <c r="AA18" s="224"/>
      <c r="AB18" s="224"/>
      <c r="AC18" s="228"/>
      <c r="AD18" s="224"/>
      <c r="AE18" s="225"/>
      <c r="AF18" s="212">
        <f>SUM(C18:AE18)</f>
        <v>34</v>
      </c>
      <c r="AG18" s="847"/>
      <c r="AH18" s="847"/>
      <c r="AI18" s="847"/>
      <c r="AJ18" s="847"/>
      <c r="AK18" s="847"/>
      <c r="AL18" s="847"/>
      <c r="AM18" s="847"/>
      <c r="AN18" s="847"/>
      <c r="AO18" s="847"/>
      <c r="AP18" s="847"/>
      <c r="AQ18" s="847"/>
      <c r="AR18" s="847"/>
      <c r="AS18" s="847"/>
      <c r="AT18" s="847"/>
      <c r="AU18" s="847"/>
      <c r="AV18" s="847"/>
      <c r="AW18" s="847"/>
      <c r="AX18" s="847"/>
      <c r="AY18" s="847"/>
      <c r="AZ18" s="847"/>
      <c r="BA18" s="847"/>
      <c r="BB18" s="847"/>
      <c r="BC18" s="847"/>
      <c r="BD18" s="847"/>
      <c r="BE18" s="847"/>
      <c r="BF18" s="847"/>
      <c r="BG18" s="847"/>
      <c r="BH18" s="847"/>
      <c r="BI18" s="847"/>
      <c r="BJ18" s="847"/>
      <c r="BK18" s="847"/>
      <c r="BL18" s="847"/>
      <c r="BM18" s="847"/>
      <c r="BN18" s="847"/>
      <c r="BO18" s="847"/>
      <c r="BP18" s="847"/>
      <c r="BQ18" s="847"/>
      <c r="BR18" s="847"/>
      <c r="BS18" s="847"/>
      <c r="BT18" s="847"/>
      <c r="BU18" s="847"/>
      <c r="BV18" s="847"/>
      <c r="BW18" s="847"/>
      <c r="BX18" s="847"/>
      <c r="BY18" s="847"/>
      <c r="BZ18" s="847"/>
      <c r="CA18" s="847"/>
      <c r="CB18" s="847"/>
      <c r="CC18" s="847"/>
      <c r="CD18" s="847"/>
      <c r="CE18" s="847"/>
      <c r="CF18" s="847"/>
      <c r="CG18" s="847"/>
      <c r="CH18" s="847"/>
      <c r="CI18" s="847"/>
      <c r="CJ18" s="847"/>
      <c r="CK18" s="847"/>
      <c r="CL18" s="847"/>
      <c r="CM18" s="847"/>
      <c r="CN18" s="847"/>
      <c r="CO18" s="847"/>
      <c r="CP18" s="847"/>
      <c r="CQ18" s="847"/>
      <c r="CR18" s="847"/>
      <c r="CS18" s="847"/>
      <c r="CT18" s="847"/>
      <c r="CU18" s="847"/>
      <c r="CV18" s="847"/>
      <c r="CW18" s="847"/>
      <c r="CX18" s="847"/>
      <c r="CY18" s="847"/>
      <c r="CZ18" s="847"/>
      <c r="DA18" s="847"/>
      <c r="DB18" s="847"/>
      <c r="DC18" s="847"/>
      <c r="DD18" s="847"/>
      <c r="DE18" s="847"/>
      <c r="DF18" s="847"/>
    </row>
    <row r="19" spans="1:110" ht="18.75">
      <c r="A19" s="19">
        <v>6</v>
      </c>
      <c r="B19" s="20" t="s">
        <v>9</v>
      </c>
      <c r="C19" s="34">
        <v>120</v>
      </c>
      <c r="D19" s="34"/>
      <c r="E19" s="56">
        <v>32</v>
      </c>
      <c r="F19" s="56">
        <v>2022</v>
      </c>
      <c r="G19" s="56"/>
      <c r="H19" s="109"/>
      <c r="I19" s="56">
        <v>47</v>
      </c>
      <c r="J19" s="44"/>
      <c r="K19" s="116"/>
      <c r="L19" s="40"/>
      <c r="M19" s="40"/>
      <c r="N19" s="56">
        <v>110</v>
      </c>
      <c r="O19" s="40"/>
      <c r="P19" s="40"/>
      <c r="Q19" s="40">
        <v>65.319999999999993</v>
      </c>
      <c r="R19" s="40"/>
      <c r="S19" s="40"/>
      <c r="T19" s="34"/>
      <c r="U19" s="45"/>
      <c r="V19" s="68">
        <v>80.56</v>
      </c>
      <c r="W19" s="69">
        <v>77.78</v>
      </c>
      <c r="X19" s="69">
        <v>77.78</v>
      </c>
      <c r="Y19" s="69">
        <v>100</v>
      </c>
      <c r="Z19" s="59"/>
      <c r="AA19" s="34"/>
      <c r="AB19" s="34"/>
      <c r="AC19" s="21"/>
      <c r="AD19" s="34"/>
      <c r="AE19" s="45"/>
      <c r="AF19" s="102"/>
      <c r="AG19" s="847"/>
      <c r="AH19" s="847"/>
      <c r="AI19" s="847"/>
      <c r="AJ19" s="847"/>
      <c r="AK19" s="847"/>
      <c r="AL19" s="847"/>
      <c r="AM19" s="847"/>
      <c r="AN19" s="847"/>
      <c r="AO19" s="847"/>
      <c r="AP19" s="847"/>
      <c r="AQ19" s="847"/>
      <c r="AR19" s="847"/>
      <c r="AS19" s="847"/>
      <c r="AT19" s="847"/>
      <c r="AU19" s="847"/>
      <c r="AV19" s="847"/>
      <c r="AW19" s="847"/>
      <c r="AX19" s="847"/>
      <c r="AY19" s="847"/>
      <c r="AZ19" s="847"/>
      <c r="BA19" s="847"/>
      <c r="BB19" s="847"/>
      <c r="BC19" s="847"/>
      <c r="BD19" s="847"/>
      <c r="BE19" s="847"/>
      <c r="BF19" s="847"/>
      <c r="BG19" s="847"/>
      <c r="BH19" s="847"/>
      <c r="BI19" s="847"/>
      <c r="BJ19" s="847"/>
      <c r="BK19" s="847"/>
      <c r="BL19" s="847"/>
      <c r="BM19" s="847"/>
      <c r="BN19" s="847"/>
      <c r="BO19" s="847"/>
      <c r="BP19" s="847"/>
      <c r="BQ19" s="847"/>
      <c r="BR19" s="847"/>
      <c r="BS19" s="847"/>
      <c r="BT19" s="847"/>
      <c r="BU19" s="847"/>
      <c r="BV19" s="847"/>
      <c r="BW19" s="847"/>
      <c r="BX19" s="847"/>
      <c r="BY19" s="847"/>
      <c r="BZ19" s="847"/>
      <c r="CA19" s="847"/>
      <c r="CB19" s="847"/>
      <c r="CC19" s="847"/>
      <c r="CD19" s="847"/>
      <c r="CE19" s="847"/>
      <c r="CF19" s="847"/>
      <c r="CG19" s="847"/>
      <c r="CH19" s="847"/>
      <c r="CI19" s="847"/>
      <c r="CJ19" s="847"/>
      <c r="CK19" s="847"/>
      <c r="CL19" s="847"/>
      <c r="CM19" s="847"/>
      <c r="CN19" s="847"/>
      <c r="CO19" s="847"/>
      <c r="CP19" s="847"/>
      <c r="CQ19" s="847"/>
      <c r="CR19" s="847"/>
      <c r="CS19" s="847"/>
      <c r="CT19" s="847"/>
      <c r="CU19" s="847"/>
      <c r="CV19" s="847"/>
      <c r="CW19" s="847"/>
      <c r="CX19" s="847"/>
      <c r="CY19" s="847"/>
      <c r="CZ19" s="847"/>
      <c r="DA19" s="847"/>
      <c r="DB19" s="847"/>
      <c r="DC19" s="847"/>
      <c r="DD19" s="847"/>
      <c r="DE19" s="847"/>
      <c r="DF19" s="847"/>
    </row>
    <row r="20" spans="1:110" s="27" customFormat="1" ht="17.25" customHeight="1" thickBot="1">
      <c r="A20" s="203"/>
      <c r="B20" s="204"/>
      <c r="C20" s="205"/>
      <c r="D20" s="205"/>
      <c r="E20" s="207">
        <v>0</v>
      </c>
      <c r="F20" s="207">
        <v>0</v>
      </c>
      <c r="G20" s="207">
        <v>0</v>
      </c>
      <c r="H20" s="205"/>
      <c r="I20" s="207">
        <v>8</v>
      </c>
      <c r="J20" s="206">
        <v>10</v>
      </c>
      <c r="K20" s="206"/>
      <c r="L20" s="215"/>
      <c r="M20" s="215"/>
      <c r="N20" s="207"/>
      <c r="O20" s="215"/>
      <c r="P20" s="215"/>
      <c r="Q20" s="215">
        <v>7</v>
      </c>
      <c r="R20" s="215"/>
      <c r="S20" s="215"/>
      <c r="T20" s="205"/>
      <c r="U20" s="208"/>
      <c r="V20" s="209">
        <v>9</v>
      </c>
      <c r="W20" s="205">
        <v>8</v>
      </c>
      <c r="X20" s="205">
        <v>8</v>
      </c>
      <c r="Y20" s="205">
        <v>10</v>
      </c>
      <c r="Z20" s="210"/>
      <c r="AA20" s="205"/>
      <c r="AB20" s="205"/>
      <c r="AC20" s="211"/>
      <c r="AD20" s="205"/>
      <c r="AE20" s="208"/>
      <c r="AF20" s="213">
        <f>SUM(C20:AE20)</f>
        <v>60</v>
      </c>
      <c r="AG20" s="847"/>
      <c r="AH20" s="847"/>
      <c r="AI20" s="847"/>
      <c r="AJ20" s="847"/>
      <c r="AK20" s="847"/>
      <c r="AL20" s="847"/>
      <c r="AM20" s="847"/>
      <c r="AN20" s="847"/>
      <c r="AO20" s="847"/>
      <c r="AP20" s="847"/>
      <c r="AQ20" s="847"/>
      <c r="AR20" s="847"/>
      <c r="AS20" s="847"/>
      <c r="AT20" s="847"/>
      <c r="AU20" s="847"/>
      <c r="AV20" s="847"/>
      <c r="AW20" s="847"/>
      <c r="AX20" s="847"/>
      <c r="AY20" s="847"/>
      <c r="AZ20" s="847"/>
      <c r="BA20" s="847"/>
      <c r="BB20" s="847"/>
      <c r="BC20" s="847"/>
      <c r="BD20" s="847"/>
      <c r="BE20" s="847"/>
      <c r="BF20" s="847"/>
      <c r="BG20" s="847"/>
      <c r="BH20" s="847"/>
      <c r="BI20" s="847"/>
      <c r="BJ20" s="847"/>
      <c r="BK20" s="847"/>
      <c r="BL20" s="847"/>
      <c r="BM20" s="847"/>
      <c r="BN20" s="847"/>
      <c r="BO20" s="847"/>
      <c r="BP20" s="847"/>
      <c r="BQ20" s="847"/>
      <c r="BR20" s="847"/>
      <c r="BS20" s="847"/>
      <c r="BT20" s="847"/>
      <c r="BU20" s="847"/>
      <c r="BV20" s="847"/>
      <c r="BW20" s="847"/>
      <c r="BX20" s="847"/>
      <c r="BY20" s="847"/>
      <c r="BZ20" s="847"/>
      <c r="CA20" s="847"/>
      <c r="CB20" s="847"/>
      <c r="CC20" s="847"/>
      <c r="CD20" s="847"/>
      <c r="CE20" s="847"/>
      <c r="CF20" s="847"/>
      <c r="CG20" s="847"/>
      <c r="CH20" s="847"/>
      <c r="CI20" s="847"/>
      <c r="CJ20" s="847"/>
      <c r="CK20" s="847"/>
      <c r="CL20" s="847"/>
      <c r="CM20" s="847"/>
      <c r="CN20" s="847"/>
      <c r="CO20" s="847"/>
      <c r="CP20" s="847"/>
      <c r="CQ20" s="847"/>
      <c r="CR20" s="847"/>
      <c r="CS20" s="847"/>
      <c r="CT20" s="847"/>
      <c r="CU20" s="847"/>
      <c r="CV20" s="847"/>
      <c r="CW20" s="847"/>
      <c r="CX20" s="847"/>
      <c r="CY20" s="847"/>
      <c r="CZ20" s="847"/>
      <c r="DA20" s="847"/>
      <c r="DB20" s="847"/>
      <c r="DC20" s="847"/>
      <c r="DD20" s="847"/>
      <c r="DE20" s="847"/>
      <c r="DF20" s="847"/>
    </row>
    <row r="21" spans="1:110" s="3" customFormat="1" ht="18.75">
      <c r="A21" s="19">
        <v>7</v>
      </c>
      <c r="B21" s="20" t="s">
        <v>10</v>
      </c>
      <c r="C21" s="48">
        <v>20</v>
      </c>
      <c r="D21" s="42"/>
      <c r="E21" s="56">
        <v>2</v>
      </c>
      <c r="F21" s="56">
        <v>517</v>
      </c>
      <c r="G21" s="56"/>
      <c r="H21" s="201"/>
      <c r="I21" s="74">
        <v>27</v>
      </c>
      <c r="J21" s="112"/>
      <c r="K21" s="119"/>
      <c r="L21" s="37"/>
      <c r="M21" s="37"/>
      <c r="N21" s="56">
        <v>18</v>
      </c>
      <c r="O21" s="34"/>
      <c r="P21" s="34"/>
      <c r="Q21" s="40">
        <v>40.5</v>
      </c>
      <c r="R21" s="40"/>
      <c r="S21" s="40"/>
      <c r="T21" s="34"/>
      <c r="U21" s="45"/>
      <c r="V21" s="68">
        <v>95</v>
      </c>
      <c r="W21" s="69">
        <v>85</v>
      </c>
      <c r="X21" s="69">
        <v>85</v>
      </c>
      <c r="Y21" s="69">
        <v>100</v>
      </c>
      <c r="Z21" s="59"/>
      <c r="AA21" s="34"/>
      <c r="AB21" s="34"/>
      <c r="AC21" s="21"/>
      <c r="AD21" s="34"/>
      <c r="AE21" s="45"/>
      <c r="AF21" s="105"/>
      <c r="AG21" s="847"/>
      <c r="AH21" s="847"/>
      <c r="AI21" s="847"/>
      <c r="AJ21" s="847"/>
      <c r="AK21" s="847"/>
      <c r="AL21" s="847"/>
      <c r="AM21" s="847"/>
      <c r="AN21" s="847"/>
      <c r="AO21" s="847"/>
      <c r="AP21" s="847"/>
      <c r="AQ21" s="847"/>
      <c r="AR21" s="847"/>
      <c r="AS21" s="847"/>
      <c r="AT21" s="847"/>
      <c r="AU21" s="847"/>
      <c r="AV21" s="847"/>
      <c r="AW21" s="847"/>
      <c r="AX21" s="847"/>
      <c r="AY21" s="847"/>
      <c r="AZ21" s="847"/>
      <c r="BA21" s="847"/>
      <c r="BB21" s="847"/>
      <c r="BC21" s="847"/>
      <c r="BD21" s="847"/>
      <c r="BE21" s="847"/>
      <c r="BF21" s="847"/>
      <c r="BG21" s="847"/>
      <c r="BH21" s="847"/>
      <c r="BI21" s="847"/>
      <c r="BJ21" s="847"/>
      <c r="BK21" s="847"/>
      <c r="BL21" s="847"/>
      <c r="BM21" s="847"/>
      <c r="BN21" s="847"/>
      <c r="BO21" s="847"/>
      <c r="BP21" s="847"/>
      <c r="BQ21" s="847"/>
      <c r="BR21" s="847"/>
      <c r="BS21" s="847"/>
      <c r="BT21" s="847"/>
      <c r="BU21" s="847"/>
      <c r="BV21" s="847"/>
      <c r="BW21" s="847"/>
      <c r="BX21" s="847"/>
      <c r="BY21" s="847"/>
      <c r="BZ21" s="847"/>
      <c r="CA21" s="847"/>
      <c r="CB21" s="847"/>
      <c r="CC21" s="847"/>
      <c r="CD21" s="847"/>
      <c r="CE21" s="847"/>
      <c r="CF21" s="847"/>
      <c r="CG21" s="847"/>
      <c r="CH21" s="847"/>
      <c r="CI21" s="847"/>
      <c r="CJ21" s="847"/>
      <c r="CK21" s="847"/>
      <c r="CL21" s="847"/>
      <c r="CM21" s="847"/>
      <c r="CN21" s="847"/>
      <c r="CO21" s="847"/>
      <c r="CP21" s="847"/>
      <c r="CQ21" s="847"/>
      <c r="CR21" s="847"/>
      <c r="CS21" s="847"/>
      <c r="CT21" s="847"/>
      <c r="CU21" s="847"/>
      <c r="CV21" s="847"/>
      <c r="CW21" s="847"/>
      <c r="CX21" s="847"/>
      <c r="CY21" s="847"/>
      <c r="CZ21" s="847"/>
      <c r="DA21" s="847"/>
      <c r="DB21" s="847"/>
      <c r="DC21" s="847"/>
      <c r="DD21" s="847"/>
      <c r="DE21" s="847"/>
      <c r="DF21" s="847"/>
    </row>
    <row r="22" spans="1:110" s="76" customFormat="1" ht="15.75" customHeight="1" thickBot="1">
      <c r="A22" s="203"/>
      <c r="B22" s="230"/>
      <c r="C22" s="214"/>
      <c r="D22" s="215"/>
      <c r="E22" s="207">
        <v>9</v>
      </c>
      <c r="F22" s="207">
        <v>0</v>
      </c>
      <c r="G22" s="207">
        <v>6</v>
      </c>
      <c r="H22" s="215"/>
      <c r="I22" s="231">
        <v>10</v>
      </c>
      <c r="J22" s="232">
        <v>10</v>
      </c>
      <c r="K22" s="232"/>
      <c r="L22" s="205"/>
      <c r="M22" s="205"/>
      <c r="N22" s="207">
        <v>2</v>
      </c>
      <c r="O22" s="205"/>
      <c r="P22" s="205"/>
      <c r="Q22" s="215">
        <v>5</v>
      </c>
      <c r="R22" s="215"/>
      <c r="S22" s="215"/>
      <c r="T22" s="205"/>
      <c r="U22" s="208"/>
      <c r="V22" s="209">
        <v>10</v>
      </c>
      <c r="W22" s="205">
        <v>9</v>
      </c>
      <c r="X22" s="205">
        <v>9</v>
      </c>
      <c r="Y22" s="205">
        <v>10</v>
      </c>
      <c r="Z22" s="210"/>
      <c r="AA22" s="205"/>
      <c r="AB22" s="205"/>
      <c r="AC22" s="211"/>
      <c r="AD22" s="205"/>
      <c r="AE22" s="208"/>
      <c r="AF22" s="212">
        <f>SUM(C22:AE22)</f>
        <v>80</v>
      </c>
      <c r="AG22" s="847"/>
      <c r="AH22" s="847"/>
      <c r="AI22" s="847"/>
      <c r="AJ22" s="847"/>
      <c r="AK22" s="847"/>
      <c r="AL22" s="847"/>
      <c r="AM22" s="847"/>
      <c r="AN22" s="847"/>
      <c r="AO22" s="847"/>
      <c r="AP22" s="847"/>
      <c r="AQ22" s="847"/>
      <c r="AR22" s="847"/>
      <c r="AS22" s="847"/>
      <c r="AT22" s="847"/>
      <c r="AU22" s="847"/>
      <c r="AV22" s="847"/>
      <c r="AW22" s="847"/>
      <c r="AX22" s="847"/>
      <c r="AY22" s="847"/>
      <c r="AZ22" s="847"/>
      <c r="BA22" s="847"/>
      <c r="BB22" s="847"/>
      <c r="BC22" s="847"/>
      <c r="BD22" s="847"/>
      <c r="BE22" s="847"/>
      <c r="BF22" s="847"/>
      <c r="BG22" s="847"/>
      <c r="BH22" s="847"/>
      <c r="BI22" s="847"/>
      <c r="BJ22" s="847"/>
      <c r="BK22" s="847"/>
      <c r="BL22" s="847"/>
      <c r="BM22" s="847"/>
      <c r="BN22" s="847"/>
      <c r="BO22" s="847"/>
      <c r="BP22" s="847"/>
      <c r="BQ22" s="847"/>
      <c r="BR22" s="847"/>
      <c r="BS22" s="847"/>
      <c r="BT22" s="847"/>
      <c r="BU22" s="847"/>
      <c r="BV22" s="847"/>
      <c r="BW22" s="847"/>
      <c r="BX22" s="847"/>
      <c r="BY22" s="847"/>
      <c r="BZ22" s="847"/>
      <c r="CA22" s="847"/>
      <c r="CB22" s="847"/>
      <c r="CC22" s="847"/>
      <c r="CD22" s="847"/>
      <c r="CE22" s="847"/>
      <c r="CF22" s="847"/>
      <c r="CG22" s="847"/>
      <c r="CH22" s="847"/>
      <c r="CI22" s="847"/>
      <c r="CJ22" s="847"/>
      <c r="CK22" s="847"/>
      <c r="CL22" s="847"/>
      <c r="CM22" s="847"/>
      <c r="CN22" s="847"/>
      <c r="CO22" s="847"/>
      <c r="CP22" s="847"/>
      <c r="CQ22" s="847"/>
      <c r="CR22" s="847"/>
      <c r="CS22" s="847"/>
      <c r="CT22" s="847"/>
      <c r="CU22" s="847"/>
      <c r="CV22" s="847"/>
      <c r="CW22" s="847"/>
      <c r="CX22" s="847"/>
      <c r="CY22" s="847"/>
      <c r="CZ22" s="847"/>
      <c r="DA22" s="847"/>
      <c r="DB22" s="847"/>
      <c r="DC22" s="847"/>
      <c r="DD22" s="847"/>
      <c r="DE22" s="847"/>
      <c r="DF22" s="847"/>
    </row>
    <row r="23" spans="1:110" ht="21" customHeight="1">
      <c r="A23" s="19">
        <v>8</v>
      </c>
      <c r="B23" s="20" t="s">
        <v>58</v>
      </c>
      <c r="C23" s="48">
        <v>158</v>
      </c>
      <c r="D23" s="34"/>
      <c r="E23" s="56">
        <v>15</v>
      </c>
      <c r="F23" s="56">
        <v>1293</v>
      </c>
      <c r="G23" s="56"/>
      <c r="H23" s="202"/>
      <c r="I23" s="56">
        <v>21</v>
      </c>
      <c r="J23" s="44"/>
      <c r="K23" s="116"/>
      <c r="L23" s="34"/>
      <c r="M23" s="34"/>
      <c r="N23" s="56">
        <v>80</v>
      </c>
      <c r="O23" s="34"/>
      <c r="P23" s="34"/>
      <c r="Q23" s="34">
        <v>0.69</v>
      </c>
      <c r="R23" s="34"/>
      <c r="S23" s="34"/>
      <c r="T23" s="34"/>
      <c r="U23" s="45"/>
      <c r="V23" s="69"/>
      <c r="W23" s="69"/>
      <c r="X23" s="69"/>
      <c r="Y23" s="69"/>
      <c r="Z23" s="59"/>
      <c r="AA23" s="34"/>
      <c r="AB23" s="34"/>
      <c r="AC23" s="21"/>
      <c r="AD23" s="34"/>
      <c r="AE23" s="45"/>
      <c r="AF23" s="102"/>
      <c r="AG23" s="847"/>
      <c r="AH23" s="847"/>
      <c r="AI23" s="847"/>
      <c r="AJ23" s="847"/>
      <c r="AK23" s="847"/>
      <c r="AL23" s="847"/>
      <c r="AM23" s="847"/>
      <c r="AN23" s="847"/>
      <c r="AO23" s="847"/>
      <c r="AP23" s="847"/>
      <c r="AQ23" s="847"/>
      <c r="AR23" s="847"/>
      <c r="AS23" s="847"/>
      <c r="AT23" s="847"/>
      <c r="AU23" s="847"/>
      <c r="AV23" s="847"/>
      <c r="AW23" s="847"/>
      <c r="AX23" s="847"/>
      <c r="AY23" s="847"/>
      <c r="AZ23" s="847"/>
      <c r="BA23" s="847"/>
      <c r="BB23" s="847"/>
      <c r="BC23" s="847"/>
      <c r="BD23" s="847"/>
      <c r="BE23" s="847"/>
      <c r="BF23" s="847"/>
      <c r="BG23" s="847"/>
      <c r="BH23" s="847"/>
      <c r="BI23" s="847"/>
      <c r="BJ23" s="847"/>
      <c r="BK23" s="847"/>
      <c r="BL23" s="847"/>
      <c r="BM23" s="847"/>
      <c r="BN23" s="847"/>
      <c r="BO23" s="847"/>
      <c r="BP23" s="847"/>
      <c r="BQ23" s="847"/>
      <c r="BR23" s="847"/>
      <c r="BS23" s="847"/>
      <c r="BT23" s="847"/>
      <c r="BU23" s="847"/>
      <c r="BV23" s="847"/>
      <c r="BW23" s="847"/>
      <c r="BX23" s="847"/>
      <c r="BY23" s="847"/>
      <c r="BZ23" s="847"/>
      <c r="CA23" s="847"/>
      <c r="CB23" s="847"/>
      <c r="CC23" s="847"/>
      <c r="CD23" s="847"/>
      <c r="CE23" s="847"/>
      <c r="CF23" s="847"/>
      <c r="CG23" s="847"/>
      <c r="CH23" s="847"/>
      <c r="CI23" s="847"/>
      <c r="CJ23" s="847"/>
      <c r="CK23" s="847"/>
      <c r="CL23" s="847"/>
      <c r="CM23" s="847"/>
      <c r="CN23" s="847"/>
      <c r="CO23" s="847"/>
      <c r="CP23" s="847"/>
      <c r="CQ23" s="847"/>
      <c r="CR23" s="847"/>
      <c r="CS23" s="847"/>
      <c r="CT23" s="847"/>
      <c r="CU23" s="847"/>
      <c r="CV23" s="847"/>
      <c r="CW23" s="847"/>
      <c r="CX23" s="847"/>
      <c r="CY23" s="847"/>
      <c r="CZ23" s="847"/>
      <c r="DA23" s="847"/>
      <c r="DB23" s="847"/>
      <c r="DC23" s="847"/>
      <c r="DD23" s="847"/>
      <c r="DE23" s="847"/>
      <c r="DF23" s="847"/>
    </row>
    <row r="24" spans="1:110" s="27" customFormat="1" ht="17.25" customHeight="1" thickBot="1">
      <c r="A24" s="218"/>
      <c r="B24" s="229"/>
      <c r="C24" s="220"/>
      <c r="D24" s="224"/>
      <c r="E24" s="222">
        <v>2</v>
      </c>
      <c r="F24" s="222">
        <v>0</v>
      </c>
      <c r="G24" s="222">
        <v>0</v>
      </c>
      <c r="H24" s="224"/>
      <c r="I24" s="222">
        <v>0</v>
      </c>
      <c r="J24" s="223">
        <v>10</v>
      </c>
      <c r="K24" s="223"/>
      <c r="L24" s="224"/>
      <c r="M24" s="224"/>
      <c r="N24" s="222">
        <v>9</v>
      </c>
      <c r="O24" s="224"/>
      <c r="P24" s="224"/>
      <c r="Q24" s="224">
        <v>0</v>
      </c>
      <c r="R24" s="224"/>
      <c r="S24" s="224"/>
      <c r="T24" s="224"/>
      <c r="U24" s="225"/>
      <c r="V24" s="224"/>
      <c r="W24" s="224"/>
      <c r="X24" s="224"/>
      <c r="Y24" s="224"/>
      <c r="Z24" s="227"/>
      <c r="AA24" s="224"/>
      <c r="AB24" s="224"/>
      <c r="AC24" s="228"/>
      <c r="AD24" s="224"/>
      <c r="AE24" s="225"/>
      <c r="AF24" s="213">
        <f>SUM(C24:AE24)</f>
        <v>21</v>
      </c>
      <c r="AG24" s="847"/>
      <c r="AH24" s="847"/>
      <c r="AI24" s="847"/>
      <c r="AJ24" s="847"/>
      <c r="AK24" s="847"/>
      <c r="AL24" s="847"/>
      <c r="AM24" s="847"/>
      <c r="AN24" s="847"/>
      <c r="AO24" s="847"/>
      <c r="AP24" s="847"/>
      <c r="AQ24" s="847"/>
      <c r="AR24" s="847"/>
      <c r="AS24" s="847"/>
      <c r="AT24" s="847"/>
      <c r="AU24" s="847"/>
      <c r="AV24" s="847"/>
      <c r="AW24" s="847"/>
      <c r="AX24" s="847"/>
      <c r="AY24" s="847"/>
      <c r="AZ24" s="847"/>
      <c r="BA24" s="847"/>
      <c r="BB24" s="847"/>
      <c r="BC24" s="847"/>
      <c r="BD24" s="847"/>
      <c r="BE24" s="847"/>
      <c r="BF24" s="847"/>
      <c r="BG24" s="847"/>
      <c r="BH24" s="847"/>
      <c r="BI24" s="847"/>
      <c r="BJ24" s="847"/>
      <c r="BK24" s="847"/>
      <c r="BL24" s="847"/>
      <c r="BM24" s="847"/>
      <c r="BN24" s="847"/>
      <c r="BO24" s="847"/>
      <c r="BP24" s="847"/>
      <c r="BQ24" s="847"/>
      <c r="BR24" s="847"/>
      <c r="BS24" s="847"/>
      <c r="BT24" s="847"/>
      <c r="BU24" s="847"/>
      <c r="BV24" s="847"/>
      <c r="BW24" s="847"/>
      <c r="BX24" s="847"/>
      <c r="BY24" s="847"/>
      <c r="BZ24" s="847"/>
      <c r="CA24" s="847"/>
      <c r="CB24" s="847"/>
      <c r="CC24" s="847"/>
      <c r="CD24" s="847"/>
      <c r="CE24" s="847"/>
      <c r="CF24" s="847"/>
      <c r="CG24" s="847"/>
      <c r="CH24" s="847"/>
      <c r="CI24" s="847"/>
      <c r="CJ24" s="847"/>
      <c r="CK24" s="847"/>
      <c r="CL24" s="847"/>
      <c r="CM24" s="847"/>
      <c r="CN24" s="847"/>
      <c r="CO24" s="847"/>
      <c r="CP24" s="847"/>
      <c r="CQ24" s="847"/>
      <c r="CR24" s="847"/>
      <c r="CS24" s="847"/>
      <c r="CT24" s="847"/>
      <c r="CU24" s="847"/>
      <c r="CV24" s="847"/>
      <c r="CW24" s="847"/>
      <c r="CX24" s="847"/>
      <c r="CY24" s="847"/>
      <c r="CZ24" s="847"/>
      <c r="DA24" s="847"/>
      <c r="DB24" s="847"/>
      <c r="DC24" s="847"/>
      <c r="DD24" s="847"/>
      <c r="DE24" s="847"/>
      <c r="DF24" s="847"/>
    </row>
    <row r="25" spans="1:110" ht="18.75">
      <c r="A25" s="19">
        <v>9</v>
      </c>
      <c r="B25" s="20" t="s">
        <v>14</v>
      </c>
      <c r="C25" s="48">
        <v>34</v>
      </c>
      <c r="D25" s="34"/>
      <c r="E25" s="56">
        <v>4</v>
      </c>
      <c r="F25" s="56">
        <v>129</v>
      </c>
      <c r="G25" s="56"/>
      <c r="H25" s="109"/>
      <c r="I25" s="56">
        <v>0</v>
      </c>
      <c r="J25" s="44"/>
      <c r="K25" s="116"/>
      <c r="L25" s="40"/>
      <c r="M25" s="40"/>
      <c r="N25" s="56">
        <v>27</v>
      </c>
      <c r="O25" s="40"/>
      <c r="P25" s="40"/>
      <c r="Q25" s="40">
        <v>0</v>
      </c>
      <c r="R25" s="40"/>
      <c r="S25" s="40"/>
      <c r="T25" s="34"/>
      <c r="U25" s="45"/>
      <c r="V25" s="69">
        <v>96.67</v>
      </c>
      <c r="W25" s="69">
        <v>93.33</v>
      </c>
      <c r="X25" s="69">
        <v>93.33</v>
      </c>
      <c r="Y25" s="69">
        <v>66.900000000000006</v>
      </c>
      <c r="Z25" s="59"/>
      <c r="AA25" s="34"/>
      <c r="AB25" s="34"/>
      <c r="AC25" s="21"/>
      <c r="AD25" s="34"/>
      <c r="AE25" s="45"/>
      <c r="AF25" s="105"/>
      <c r="AG25" s="847"/>
      <c r="AH25" s="847"/>
      <c r="AI25" s="847"/>
      <c r="AJ25" s="847"/>
      <c r="AK25" s="847"/>
      <c r="AL25" s="847"/>
      <c r="AM25" s="847"/>
      <c r="AN25" s="847"/>
      <c r="AO25" s="847"/>
      <c r="AP25" s="847"/>
      <c r="AQ25" s="847"/>
      <c r="AR25" s="847"/>
      <c r="AS25" s="847"/>
      <c r="AT25" s="847"/>
      <c r="AU25" s="847"/>
      <c r="AV25" s="847"/>
      <c r="AW25" s="847"/>
      <c r="AX25" s="847"/>
      <c r="AY25" s="847"/>
      <c r="AZ25" s="847"/>
      <c r="BA25" s="847"/>
      <c r="BB25" s="847"/>
      <c r="BC25" s="847"/>
      <c r="BD25" s="847"/>
      <c r="BE25" s="847"/>
      <c r="BF25" s="847"/>
      <c r="BG25" s="847"/>
      <c r="BH25" s="847"/>
      <c r="BI25" s="847"/>
      <c r="BJ25" s="847"/>
      <c r="BK25" s="847"/>
      <c r="BL25" s="847"/>
      <c r="BM25" s="847"/>
      <c r="BN25" s="847"/>
      <c r="BO25" s="847"/>
      <c r="BP25" s="847"/>
      <c r="BQ25" s="847"/>
      <c r="BR25" s="847"/>
      <c r="BS25" s="847"/>
      <c r="BT25" s="847"/>
      <c r="BU25" s="847"/>
      <c r="BV25" s="847"/>
      <c r="BW25" s="847"/>
      <c r="BX25" s="847"/>
      <c r="BY25" s="847"/>
      <c r="BZ25" s="847"/>
      <c r="CA25" s="847"/>
      <c r="CB25" s="847"/>
      <c r="CC25" s="847"/>
      <c r="CD25" s="847"/>
      <c r="CE25" s="847"/>
      <c r="CF25" s="847"/>
      <c r="CG25" s="847"/>
      <c r="CH25" s="847"/>
      <c r="CI25" s="847"/>
      <c r="CJ25" s="847"/>
      <c r="CK25" s="847"/>
      <c r="CL25" s="847"/>
      <c r="CM25" s="847"/>
      <c r="CN25" s="847"/>
      <c r="CO25" s="847"/>
      <c r="CP25" s="847"/>
      <c r="CQ25" s="847"/>
      <c r="CR25" s="847"/>
      <c r="CS25" s="847"/>
      <c r="CT25" s="847"/>
      <c r="CU25" s="847"/>
      <c r="CV25" s="847"/>
      <c r="CW25" s="847"/>
      <c r="CX25" s="847"/>
      <c r="CY25" s="847"/>
      <c r="CZ25" s="847"/>
      <c r="DA25" s="847"/>
      <c r="DB25" s="847"/>
      <c r="DC25" s="847"/>
      <c r="DD25" s="847"/>
      <c r="DE25" s="847"/>
      <c r="DF25" s="847"/>
    </row>
    <row r="26" spans="1:110" s="27" customFormat="1" ht="15.75" customHeight="1" thickBot="1">
      <c r="A26" s="203"/>
      <c r="B26" s="204"/>
      <c r="C26" s="214"/>
      <c r="D26" s="205"/>
      <c r="E26" s="207">
        <v>8</v>
      </c>
      <c r="F26" s="207">
        <v>0</v>
      </c>
      <c r="G26" s="207">
        <v>5</v>
      </c>
      <c r="H26" s="205"/>
      <c r="I26" s="207">
        <v>10</v>
      </c>
      <c r="J26" s="206">
        <v>10</v>
      </c>
      <c r="K26" s="206"/>
      <c r="L26" s="215"/>
      <c r="M26" s="215"/>
      <c r="N26" s="207">
        <v>3</v>
      </c>
      <c r="O26" s="215"/>
      <c r="P26" s="215"/>
      <c r="Q26" s="215"/>
      <c r="R26" s="215"/>
      <c r="S26" s="215"/>
      <c r="T26" s="205"/>
      <c r="U26" s="208"/>
      <c r="V26" s="205">
        <v>10</v>
      </c>
      <c r="W26" s="205">
        <v>10</v>
      </c>
      <c r="X26" s="205">
        <v>10</v>
      </c>
      <c r="Y26" s="205">
        <v>7</v>
      </c>
      <c r="Z26" s="210"/>
      <c r="AA26" s="205"/>
      <c r="AB26" s="205"/>
      <c r="AC26" s="211"/>
      <c r="AD26" s="205"/>
      <c r="AE26" s="208"/>
      <c r="AF26" s="212">
        <f>SUM(C26:AE26)</f>
        <v>73</v>
      </c>
      <c r="AG26" s="847"/>
      <c r="AH26" s="847"/>
      <c r="AI26" s="847"/>
      <c r="AJ26" s="847"/>
      <c r="AK26" s="847"/>
      <c r="AL26" s="847"/>
      <c r="AM26" s="847"/>
      <c r="AN26" s="847"/>
      <c r="AO26" s="847"/>
      <c r="AP26" s="847"/>
      <c r="AQ26" s="847"/>
      <c r="AR26" s="847"/>
      <c r="AS26" s="847"/>
      <c r="AT26" s="847"/>
      <c r="AU26" s="847"/>
      <c r="AV26" s="847"/>
      <c r="AW26" s="847"/>
      <c r="AX26" s="847"/>
      <c r="AY26" s="847"/>
      <c r="AZ26" s="847"/>
      <c r="BA26" s="847"/>
      <c r="BB26" s="847"/>
      <c r="BC26" s="847"/>
      <c r="BD26" s="847"/>
      <c r="BE26" s="847"/>
      <c r="BF26" s="847"/>
      <c r="BG26" s="847"/>
      <c r="BH26" s="847"/>
      <c r="BI26" s="847"/>
      <c r="BJ26" s="847"/>
      <c r="BK26" s="847"/>
      <c r="BL26" s="847"/>
      <c r="BM26" s="847"/>
      <c r="BN26" s="847"/>
      <c r="BO26" s="847"/>
      <c r="BP26" s="847"/>
      <c r="BQ26" s="847"/>
      <c r="BR26" s="847"/>
      <c r="BS26" s="847"/>
      <c r="BT26" s="847"/>
      <c r="BU26" s="847"/>
      <c r="BV26" s="847"/>
      <c r="BW26" s="847"/>
      <c r="BX26" s="847"/>
      <c r="BY26" s="847"/>
      <c r="BZ26" s="847"/>
      <c r="CA26" s="847"/>
      <c r="CB26" s="847"/>
      <c r="CC26" s="847"/>
      <c r="CD26" s="847"/>
      <c r="CE26" s="847"/>
      <c r="CF26" s="847"/>
      <c r="CG26" s="847"/>
      <c r="CH26" s="847"/>
      <c r="CI26" s="847"/>
      <c r="CJ26" s="847"/>
      <c r="CK26" s="847"/>
      <c r="CL26" s="847"/>
      <c r="CM26" s="847"/>
      <c r="CN26" s="847"/>
      <c r="CO26" s="847"/>
      <c r="CP26" s="847"/>
      <c r="CQ26" s="847"/>
      <c r="CR26" s="847"/>
      <c r="CS26" s="847"/>
      <c r="CT26" s="847"/>
      <c r="CU26" s="847"/>
      <c r="CV26" s="847"/>
      <c r="CW26" s="847"/>
      <c r="CX26" s="847"/>
      <c r="CY26" s="847"/>
      <c r="CZ26" s="847"/>
      <c r="DA26" s="847"/>
      <c r="DB26" s="847"/>
      <c r="DC26" s="847"/>
      <c r="DD26" s="847"/>
      <c r="DE26" s="847"/>
      <c r="DF26" s="847"/>
    </row>
    <row r="27" spans="1:110" s="3" customFormat="1" ht="18.75">
      <c r="A27" s="19">
        <v>10</v>
      </c>
      <c r="B27" s="20" t="s">
        <v>13</v>
      </c>
      <c r="C27" s="48">
        <v>8</v>
      </c>
      <c r="D27" s="37"/>
      <c r="E27" s="56">
        <v>2</v>
      </c>
      <c r="F27" s="56">
        <v>0</v>
      </c>
      <c r="G27" s="56"/>
      <c r="H27" s="37"/>
      <c r="I27" s="56">
        <v>0</v>
      </c>
      <c r="J27" s="44"/>
      <c r="K27" s="118"/>
      <c r="L27" s="42"/>
      <c r="M27" s="42"/>
      <c r="N27" s="56">
        <v>7</v>
      </c>
      <c r="O27" s="40"/>
      <c r="P27" s="40"/>
      <c r="Q27" s="34">
        <v>73.319999999999993</v>
      </c>
      <c r="R27" s="40"/>
      <c r="S27" s="40"/>
      <c r="T27" s="34"/>
      <c r="U27" s="45"/>
      <c r="V27" s="69">
        <v>100</v>
      </c>
      <c r="W27" s="69">
        <v>100</v>
      </c>
      <c r="X27" s="69">
        <v>100</v>
      </c>
      <c r="Y27" s="69">
        <v>100</v>
      </c>
      <c r="Z27" s="59"/>
      <c r="AA27" s="34"/>
      <c r="AB27" s="34"/>
      <c r="AC27" s="21"/>
      <c r="AD27" s="34"/>
      <c r="AE27" s="45"/>
      <c r="AF27" s="102"/>
      <c r="AG27" s="847"/>
      <c r="AH27" s="847"/>
      <c r="AI27" s="847"/>
      <c r="AJ27" s="847"/>
      <c r="AK27" s="847"/>
      <c r="AL27" s="847"/>
      <c r="AM27" s="847"/>
      <c r="AN27" s="847"/>
      <c r="AO27" s="847"/>
      <c r="AP27" s="847"/>
      <c r="AQ27" s="847"/>
      <c r="AR27" s="847"/>
      <c r="AS27" s="847"/>
      <c r="AT27" s="847"/>
      <c r="AU27" s="847"/>
      <c r="AV27" s="847"/>
      <c r="AW27" s="847"/>
      <c r="AX27" s="847"/>
      <c r="AY27" s="847"/>
      <c r="AZ27" s="847"/>
      <c r="BA27" s="847"/>
      <c r="BB27" s="847"/>
      <c r="BC27" s="847"/>
      <c r="BD27" s="847"/>
      <c r="BE27" s="847"/>
      <c r="BF27" s="847"/>
      <c r="BG27" s="847"/>
      <c r="BH27" s="847"/>
      <c r="BI27" s="847"/>
      <c r="BJ27" s="847"/>
      <c r="BK27" s="847"/>
      <c r="BL27" s="847"/>
      <c r="BM27" s="847"/>
      <c r="BN27" s="847"/>
      <c r="BO27" s="847"/>
      <c r="BP27" s="847"/>
      <c r="BQ27" s="847"/>
      <c r="BR27" s="847"/>
      <c r="BS27" s="847"/>
      <c r="BT27" s="847"/>
      <c r="BU27" s="847"/>
      <c r="BV27" s="847"/>
      <c r="BW27" s="847"/>
      <c r="BX27" s="847"/>
      <c r="BY27" s="847"/>
      <c r="BZ27" s="847"/>
      <c r="CA27" s="847"/>
      <c r="CB27" s="847"/>
      <c r="CC27" s="847"/>
      <c r="CD27" s="847"/>
      <c r="CE27" s="847"/>
      <c r="CF27" s="847"/>
      <c r="CG27" s="847"/>
      <c r="CH27" s="847"/>
      <c r="CI27" s="847"/>
      <c r="CJ27" s="847"/>
      <c r="CK27" s="847"/>
      <c r="CL27" s="847"/>
      <c r="CM27" s="847"/>
      <c r="CN27" s="847"/>
      <c r="CO27" s="847"/>
      <c r="CP27" s="847"/>
      <c r="CQ27" s="847"/>
      <c r="CR27" s="847"/>
      <c r="CS27" s="847"/>
      <c r="CT27" s="847"/>
      <c r="CU27" s="847"/>
      <c r="CV27" s="847"/>
      <c r="CW27" s="847"/>
      <c r="CX27" s="847"/>
      <c r="CY27" s="847"/>
      <c r="CZ27" s="847"/>
      <c r="DA27" s="847"/>
      <c r="DB27" s="847"/>
      <c r="DC27" s="847"/>
      <c r="DD27" s="847"/>
      <c r="DE27" s="847"/>
      <c r="DF27" s="847"/>
    </row>
    <row r="28" spans="1:110" s="31" customFormat="1" ht="15.75" customHeight="1" thickBot="1">
      <c r="A28" s="203"/>
      <c r="B28" s="204"/>
      <c r="C28" s="214"/>
      <c r="D28" s="233"/>
      <c r="E28" s="207">
        <v>9</v>
      </c>
      <c r="F28" s="207">
        <v>10</v>
      </c>
      <c r="G28" s="207">
        <v>6</v>
      </c>
      <c r="H28" s="233"/>
      <c r="I28" s="207">
        <v>10</v>
      </c>
      <c r="J28" s="206">
        <v>10</v>
      </c>
      <c r="K28" s="234"/>
      <c r="L28" s="235"/>
      <c r="M28" s="235"/>
      <c r="N28" s="207">
        <v>0</v>
      </c>
      <c r="O28" s="215"/>
      <c r="P28" s="215"/>
      <c r="Q28" s="205">
        <v>8</v>
      </c>
      <c r="R28" s="215"/>
      <c r="S28" s="215"/>
      <c r="T28" s="205"/>
      <c r="U28" s="208"/>
      <c r="V28" s="205">
        <v>10</v>
      </c>
      <c r="W28" s="205">
        <v>10</v>
      </c>
      <c r="X28" s="205">
        <v>10</v>
      </c>
      <c r="Y28" s="205">
        <v>10</v>
      </c>
      <c r="Z28" s="210"/>
      <c r="AA28" s="205"/>
      <c r="AB28" s="205"/>
      <c r="AC28" s="211"/>
      <c r="AD28" s="205"/>
      <c r="AE28" s="208"/>
      <c r="AF28" s="213">
        <f>SUM(C28:AE28)</f>
        <v>93</v>
      </c>
      <c r="AG28" s="847"/>
      <c r="AH28" s="847"/>
      <c r="AI28" s="847"/>
      <c r="AJ28" s="847"/>
      <c r="AK28" s="847"/>
      <c r="AL28" s="847"/>
      <c r="AM28" s="847"/>
      <c r="AN28" s="847"/>
      <c r="AO28" s="847"/>
      <c r="AP28" s="847"/>
      <c r="AQ28" s="847"/>
      <c r="AR28" s="847"/>
      <c r="AS28" s="847"/>
      <c r="AT28" s="847"/>
      <c r="AU28" s="847"/>
      <c r="AV28" s="847"/>
      <c r="AW28" s="847"/>
      <c r="AX28" s="847"/>
      <c r="AY28" s="847"/>
      <c r="AZ28" s="847"/>
      <c r="BA28" s="847"/>
      <c r="BB28" s="847"/>
      <c r="BC28" s="847"/>
      <c r="BD28" s="847"/>
      <c r="BE28" s="847"/>
      <c r="BF28" s="847"/>
      <c r="BG28" s="847"/>
      <c r="BH28" s="847"/>
      <c r="BI28" s="847"/>
      <c r="BJ28" s="847"/>
      <c r="BK28" s="847"/>
      <c r="BL28" s="847"/>
      <c r="BM28" s="847"/>
      <c r="BN28" s="847"/>
      <c r="BO28" s="847"/>
      <c r="BP28" s="847"/>
      <c r="BQ28" s="847"/>
      <c r="BR28" s="847"/>
      <c r="BS28" s="847"/>
      <c r="BT28" s="847"/>
      <c r="BU28" s="847"/>
      <c r="BV28" s="847"/>
      <c r="BW28" s="847"/>
      <c r="BX28" s="847"/>
      <c r="BY28" s="847"/>
      <c r="BZ28" s="847"/>
      <c r="CA28" s="847"/>
      <c r="CB28" s="847"/>
      <c r="CC28" s="847"/>
      <c r="CD28" s="847"/>
      <c r="CE28" s="847"/>
      <c r="CF28" s="847"/>
      <c r="CG28" s="847"/>
      <c r="CH28" s="847"/>
      <c r="CI28" s="847"/>
      <c r="CJ28" s="847"/>
      <c r="CK28" s="847"/>
      <c r="CL28" s="847"/>
      <c r="CM28" s="847"/>
      <c r="CN28" s="847"/>
      <c r="CO28" s="847"/>
      <c r="CP28" s="847"/>
      <c r="CQ28" s="847"/>
      <c r="CR28" s="847"/>
      <c r="CS28" s="847"/>
      <c r="CT28" s="847"/>
      <c r="CU28" s="847"/>
      <c r="CV28" s="847"/>
      <c r="CW28" s="847"/>
      <c r="CX28" s="847"/>
      <c r="CY28" s="847"/>
      <c r="CZ28" s="847"/>
      <c r="DA28" s="847"/>
      <c r="DB28" s="847"/>
      <c r="DC28" s="847"/>
      <c r="DD28" s="847"/>
      <c r="DE28" s="847"/>
      <c r="DF28" s="847"/>
    </row>
    <row r="29" spans="1:110" s="4" customFormat="1" ht="18.75">
      <c r="A29" s="19">
        <v>11</v>
      </c>
      <c r="B29" s="22" t="s">
        <v>11</v>
      </c>
      <c r="C29" s="54">
        <v>18</v>
      </c>
      <c r="D29" s="39"/>
      <c r="E29" s="64">
        <v>2</v>
      </c>
      <c r="F29" s="64">
        <v>89</v>
      </c>
      <c r="G29" s="64"/>
      <c r="H29" s="39"/>
      <c r="I29" s="64">
        <v>25</v>
      </c>
      <c r="J29" s="115"/>
      <c r="K29" s="116"/>
      <c r="L29" s="39"/>
      <c r="M29" s="39"/>
      <c r="N29" s="64">
        <v>0</v>
      </c>
      <c r="O29" s="39"/>
      <c r="P29" s="39"/>
      <c r="Q29" s="39">
        <v>0</v>
      </c>
      <c r="R29" s="39"/>
      <c r="S29" s="39"/>
      <c r="T29" s="39"/>
      <c r="U29" s="55"/>
      <c r="V29" s="66">
        <v>100</v>
      </c>
      <c r="W29" s="66">
        <v>66.599999999999994</v>
      </c>
      <c r="X29" s="66">
        <v>66.599999999999994</v>
      </c>
      <c r="Y29" s="66">
        <v>100</v>
      </c>
      <c r="Z29" s="63"/>
      <c r="AA29" s="39"/>
      <c r="AB29" s="39"/>
      <c r="AC29" s="23"/>
      <c r="AD29" s="39"/>
      <c r="AE29" s="55"/>
      <c r="AF29" s="106"/>
      <c r="AG29" s="847"/>
      <c r="AH29" s="847"/>
      <c r="AI29" s="847"/>
      <c r="AJ29" s="847"/>
      <c r="AK29" s="847"/>
      <c r="AL29" s="847"/>
      <c r="AM29" s="847"/>
      <c r="AN29" s="847"/>
      <c r="AO29" s="847"/>
      <c r="AP29" s="847"/>
      <c r="AQ29" s="847"/>
      <c r="AR29" s="847"/>
      <c r="AS29" s="847"/>
      <c r="AT29" s="847"/>
      <c r="AU29" s="847"/>
      <c r="AV29" s="847"/>
      <c r="AW29" s="847"/>
      <c r="AX29" s="847"/>
      <c r="AY29" s="847"/>
      <c r="AZ29" s="847"/>
      <c r="BA29" s="847"/>
      <c r="BB29" s="847"/>
      <c r="BC29" s="847"/>
      <c r="BD29" s="847"/>
      <c r="BE29" s="847"/>
      <c r="BF29" s="847"/>
      <c r="BG29" s="847"/>
      <c r="BH29" s="847"/>
      <c r="BI29" s="847"/>
      <c r="BJ29" s="847"/>
      <c r="BK29" s="847"/>
      <c r="BL29" s="847"/>
      <c r="BM29" s="847"/>
      <c r="BN29" s="847"/>
      <c r="BO29" s="847"/>
      <c r="BP29" s="847"/>
      <c r="BQ29" s="847"/>
      <c r="BR29" s="847"/>
      <c r="BS29" s="847"/>
      <c r="BT29" s="847"/>
      <c r="BU29" s="847"/>
      <c r="BV29" s="847"/>
      <c r="BW29" s="847"/>
      <c r="BX29" s="847"/>
      <c r="BY29" s="847"/>
      <c r="BZ29" s="847"/>
      <c r="CA29" s="847"/>
      <c r="CB29" s="847"/>
      <c r="CC29" s="847"/>
      <c r="CD29" s="847"/>
      <c r="CE29" s="847"/>
      <c r="CF29" s="847"/>
      <c r="CG29" s="847"/>
      <c r="CH29" s="847"/>
      <c r="CI29" s="847"/>
      <c r="CJ29" s="847"/>
      <c r="CK29" s="847"/>
      <c r="CL29" s="847"/>
      <c r="CM29" s="847"/>
      <c r="CN29" s="847"/>
      <c r="CO29" s="847"/>
      <c r="CP29" s="847"/>
      <c r="CQ29" s="847"/>
      <c r="CR29" s="847"/>
      <c r="CS29" s="847"/>
      <c r="CT29" s="847"/>
      <c r="CU29" s="847"/>
      <c r="CV29" s="847"/>
      <c r="CW29" s="847"/>
      <c r="CX29" s="847"/>
      <c r="CY29" s="847"/>
      <c r="CZ29" s="847"/>
      <c r="DA29" s="847"/>
      <c r="DB29" s="847"/>
      <c r="DC29" s="847"/>
      <c r="DD29" s="847"/>
      <c r="DE29" s="847"/>
      <c r="DF29" s="847"/>
    </row>
    <row r="30" spans="1:110" s="27" customFormat="1" ht="15" customHeight="1" thickBot="1">
      <c r="A30" s="218"/>
      <c r="B30" s="229"/>
      <c r="C30" s="220"/>
      <c r="D30" s="224"/>
      <c r="E30" s="222">
        <v>9</v>
      </c>
      <c r="F30" s="222">
        <v>0</v>
      </c>
      <c r="G30" s="222">
        <v>0</v>
      </c>
      <c r="H30" s="224"/>
      <c r="I30" s="222">
        <v>9</v>
      </c>
      <c r="J30" s="223">
        <v>10</v>
      </c>
      <c r="K30" s="223"/>
      <c r="L30" s="224"/>
      <c r="M30" s="224"/>
      <c r="N30" s="222">
        <v>0</v>
      </c>
      <c r="O30" s="224"/>
      <c r="P30" s="224"/>
      <c r="Q30" s="224"/>
      <c r="R30" s="224"/>
      <c r="S30" s="224"/>
      <c r="T30" s="224"/>
      <c r="U30" s="225"/>
      <c r="V30" s="224">
        <v>10</v>
      </c>
      <c r="W30" s="224">
        <v>7</v>
      </c>
      <c r="X30" s="224">
        <v>7</v>
      </c>
      <c r="Y30" s="224">
        <v>10</v>
      </c>
      <c r="Z30" s="227"/>
      <c r="AA30" s="224"/>
      <c r="AB30" s="224"/>
      <c r="AC30" s="228"/>
      <c r="AD30" s="224"/>
      <c r="AE30" s="225"/>
      <c r="AF30" s="212">
        <f>SUM(C30:AE30)</f>
        <v>62</v>
      </c>
      <c r="AG30" s="847"/>
      <c r="AH30" s="847"/>
      <c r="AI30" s="847"/>
      <c r="AJ30" s="847"/>
      <c r="AK30" s="847"/>
      <c r="AL30" s="847"/>
      <c r="AM30" s="847"/>
      <c r="AN30" s="847"/>
      <c r="AO30" s="847"/>
      <c r="AP30" s="847"/>
      <c r="AQ30" s="847"/>
      <c r="AR30" s="847"/>
      <c r="AS30" s="847"/>
      <c r="AT30" s="847"/>
      <c r="AU30" s="847"/>
      <c r="AV30" s="847"/>
      <c r="AW30" s="847"/>
      <c r="AX30" s="847"/>
      <c r="AY30" s="847"/>
      <c r="AZ30" s="847"/>
      <c r="BA30" s="847"/>
      <c r="BB30" s="847"/>
      <c r="BC30" s="847"/>
      <c r="BD30" s="847"/>
      <c r="BE30" s="847"/>
      <c r="BF30" s="847"/>
      <c r="BG30" s="847"/>
      <c r="BH30" s="847"/>
      <c r="BI30" s="847"/>
      <c r="BJ30" s="847"/>
      <c r="BK30" s="847"/>
      <c r="BL30" s="847"/>
      <c r="BM30" s="847"/>
      <c r="BN30" s="847"/>
      <c r="BO30" s="847"/>
      <c r="BP30" s="847"/>
      <c r="BQ30" s="847"/>
      <c r="BR30" s="847"/>
      <c r="BS30" s="847"/>
      <c r="BT30" s="847"/>
      <c r="BU30" s="847"/>
      <c r="BV30" s="847"/>
      <c r="BW30" s="847"/>
      <c r="BX30" s="847"/>
      <c r="BY30" s="847"/>
      <c r="BZ30" s="847"/>
      <c r="CA30" s="847"/>
      <c r="CB30" s="847"/>
      <c r="CC30" s="847"/>
      <c r="CD30" s="847"/>
      <c r="CE30" s="847"/>
      <c r="CF30" s="847"/>
      <c r="CG30" s="847"/>
      <c r="CH30" s="847"/>
      <c r="CI30" s="847"/>
      <c r="CJ30" s="847"/>
      <c r="CK30" s="847"/>
      <c r="CL30" s="847"/>
      <c r="CM30" s="847"/>
      <c r="CN30" s="847"/>
      <c r="CO30" s="847"/>
      <c r="CP30" s="847"/>
      <c r="CQ30" s="847"/>
      <c r="CR30" s="847"/>
      <c r="CS30" s="847"/>
      <c r="CT30" s="847"/>
      <c r="CU30" s="847"/>
      <c r="CV30" s="847"/>
      <c r="CW30" s="847"/>
      <c r="CX30" s="847"/>
      <c r="CY30" s="847"/>
      <c r="CZ30" s="847"/>
      <c r="DA30" s="847"/>
      <c r="DB30" s="847"/>
      <c r="DC30" s="847"/>
      <c r="DD30" s="847"/>
      <c r="DE30" s="847"/>
      <c r="DF30" s="847"/>
    </row>
    <row r="31" spans="1:110" ht="28.5">
      <c r="A31" s="19">
        <v>12</v>
      </c>
      <c r="B31" s="20" t="s">
        <v>59</v>
      </c>
      <c r="C31" s="48">
        <v>6</v>
      </c>
      <c r="D31" s="34"/>
      <c r="E31" s="56">
        <v>0</v>
      </c>
      <c r="F31" s="56">
        <v>0</v>
      </c>
      <c r="G31" s="56"/>
      <c r="H31" s="109"/>
      <c r="I31" s="56">
        <v>5</v>
      </c>
      <c r="J31" s="44"/>
      <c r="K31" s="116"/>
      <c r="L31" s="34"/>
      <c r="M31" s="34"/>
      <c r="N31" s="56">
        <v>2</v>
      </c>
      <c r="O31" s="34"/>
      <c r="P31" s="34"/>
      <c r="Q31" s="34">
        <v>87.6</v>
      </c>
      <c r="R31" s="34"/>
      <c r="S31" s="34"/>
      <c r="T31" s="34"/>
      <c r="U31" s="45"/>
      <c r="V31" s="69">
        <v>100</v>
      </c>
      <c r="W31" s="69">
        <v>33.299999999999997</v>
      </c>
      <c r="X31" s="69">
        <v>50</v>
      </c>
      <c r="Y31" s="69">
        <v>100</v>
      </c>
      <c r="Z31" s="59"/>
      <c r="AA31" s="34"/>
      <c r="AB31" s="34"/>
      <c r="AC31" s="21"/>
      <c r="AD31" s="34"/>
      <c r="AE31" s="45"/>
      <c r="AF31" s="102"/>
      <c r="AG31" s="847"/>
      <c r="AH31" s="847"/>
      <c r="AI31" s="847"/>
      <c r="AJ31" s="847"/>
      <c r="AK31" s="847"/>
      <c r="AL31" s="847"/>
      <c r="AM31" s="847"/>
      <c r="AN31" s="847"/>
      <c r="AO31" s="847"/>
      <c r="AP31" s="847"/>
      <c r="AQ31" s="847"/>
      <c r="AR31" s="847"/>
      <c r="AS31" s="847"/>
      <c r="AT31" s="847"/>
      <c r="AU31" s="847"/>
      <c r="AV31" s="847"/>
      <c r="AW31" s="847"/>
      <c r="AX31" s="847"/>
      <c r="AY31" s="847"/>
      <c r="AZ31" s="847"/>
      <c r="BA31" s="847"/>
      <c r="BB31" s="847"/>
      <c r="BC31" s="847"/>
      <c r="BD31" s="847"/>
      <c r="BE31" s="847"/>
      <c r="BF31" s="847"/>
      <c r="BG31" s="847"/>
      <c r="BH31" s="847"/>
      <c r="BI31" s="847"/>
      <c r="BJ31" s="847"/>
      <c r="BK31" s="847"/>
      <c r="BL31" s="847"/>
      <c r="BM31" s="847"/>
      <c r="BN31" s="847"/>
      <c r="BO31" s="847"/>
      <c r="BP31" s="847"/>
      <c r="BQ31" s="847"/>
      <c r="BR31" s="847"/>
      <c r="BS31" s="847"/>
      <c r="BT31" s="847"/>
      <c r="BU31" s="847"/>
      <c r="BV31" s="847"/>
      <c r="BW31" s="847"/>
      <c r="BX31" s="847"/>
      <c r="BY31" s="847"/>
      <c r="BZ31" s="847"/>
      <c r="CA31" s="847"/>
      <c r="CB31" s="847"/>
      <c r="CC31" s="847"/>
      <c r="CD31" s="847"/>
      <c r="CE31" s="847"/>
      <c r="CF31" s="847"/>
      <c r="CG31" s="847"/>
      <c r="CH31" s="847"/>
      <c r="CI31" s="847"/>
      <c r="CJ31" s="847"/>
      <c r="CK31" s="847"/>
      <c r="CL31" s="847"/>
      <c r="CM31" s="847"/>
      <c r="CN31" s="847"/>
      <c r="CO31" s="847"/>
      <c r="CP31" s="847"/>
      <c r="CQ31" s="847"/>
      <c r="CR31" s="847"/>
      <c r="CS31" s="847"/>
      <c r="CT31" s="847"/>
      <c r="CU31" s="847"/>
      <c r="CV31" s="847"/>
      <c r="CW31" s="847"/>
      <c r="CX31" s="847"/>
      <c r="CY31" s="847"/>
      <c r="CZ31" s="847"/>
      <c r="DA31" s="847"/>
      <c r="DB31" s="847"/>
      <c r="DC31" s="847"/>
      <c r="DD31" s="847"/>
      <c r="DE31" s="847"/>
      <c r="DF31" s="847"/>
    </row>
    <row r="32" spans="1:110" s="27" customFormat="1" ht="16.5" customHeight="1" thickBot="1">
      <c r="A32" s="203"/>
      <c r="B32" s="204"/>
      <c r="C32" s="214"/>
      <c r="D32" s="205"/>
      <c r="E32" s="207">
        <v>10</v>
      </c>
      <c r="F32" s="207">
        <v>10</v>
      </c>
      <c r="G32" s="207">
        <v>10</v>
      </c>
      <c r="H32" s="205"/>
      <c r="I32" s="207">
        <v>10</v>
      </c>
      <c r="J32" s="206">
        <v>10</v>
      </c>
      <c r="K32" s="206"/>
      <c r="L32" s="205"/>
      <c r="M32" s="205"/>
      <c r="N32" s="207">
        <v>0</v>
      </c>
      <c r="O32" s="205"/>
      <c r="P32" s="205"/>
      <c r="Q32" s="205">
        <v>9</v>
      </c>
      <c r="R32" s="205"/>
      <c r="S32" s="205"/>
      <c r="T32" s="205"/>
      <c r="U32" s="208"/>
      <c r="V32" s="205">
        <v>10</v>
      </c>
      <c r="W32" s="205">
        <v>4</v>
      </c>
      <c r="X32" s="205">
        <v>6</v>
      </c>
      <c r="Y32" s="205">
        <v>10</v>
      </c>
      <c r="Z32" s="210"/>
      <c r="AA32" s="205"/>
      <c r="AB32" s="205"/>
      <c r="AC32" s="211"/>
      <c r="AD32" s="205"/>
      <c r="AE32" s="208"/>
      <c r="AF32" s="213">
        <f>SUM(C32:AE32)</f>
        <v>89</v>
      </c>
      <c r="AG32" s="847"/>
      <c r="AH32" s="847"/>
      <c r="AI32" s="847"/>
      <c r="AJ32" s="847"/>
      <c r="AK32" s="847"/>
      <c r="AL32" s="847"/>
      <c r="AM32" s="847"/>
      <c r="AN32" s="847"/>
      <c r="AO32" s="847"/>
      <c r="AP32" s="847"/>
      <c r="AQ32" s="847"/>
      <c r="AR32" s="847"/>
      <c r="AS32" s="847"/>
      <c r="AT32" s="847"/>
      <c r="AU32" s="847"/>
      <c r="AV32" s="847"/>
      <c r="AW32" s="847"/>
      <c r="AX32" s="847"/>
      <c r="AY32" s="847"/>
      <c r="AZ32" s="847"/>
      <c r="BA32" s="847"/>
      <c r="BB32" s="847"/>
      <c r="BC32" s="847"/>
      <c r="BD32" s="847"/>
      <c r="BE32" s="847"/>
      <c r="BF32" s="847"/>
      <c r="BG32" s="847"/>
      <c r="BH32" s="847"/>
      <c r="BI32" s="847"/>
      <c r="BJ32" s="847"/>
      <c r="BK32" s="847"/>
      <c r="BL32" s="847"/>
      <c r="BM32" s="847"/>
      <c r="BN32" s="847"/>
      <c r="BO32" s="847"/>
      <c r="BP32" s="847"/>
      <c r="BQ32" s="847"/>
      <c r="BR32" s="847"/>
      <c r="BS32" s="847"/>
      <c r="BT32" s="847"/>
      <c r="BU32" s="847"/>
      <c r="BV32" s="847"/>
      <c r="BW32" s="847"/>
      <c r="BX32" s="847"/>
      <c r="BY32" s="847"/>
      <c r="BZ32" s="847"/>
      <c r="CA32" s="847"/>
      <c r="CB32" s="847"/>
      <c r="CC32" s="847"/>
      <c r="CD32" s="847"/>
      <c r="CE32" s="847"/>
      <c r="CF32" s="847"/>
      <c r="CG32" s="847"/>
      <c r="CH32" s="847"/>
      <c r="CI32" s="847"/>
      <c r="CJ32" s="847"/>
      <c r="CK32" s="847"/>
      <c r="CL32" s="847"/>
      <c r="CM32" s="847"/>
      <c r="CN32" s="847"/>
      <c r="CO32" s="847"/>
      <c r="CP32" s="847"/>
      <c r="CQ32" s="847"/>
      <c r="CR32" s="847"/>
      <c r="CS32" s="847"/>
      <c r="CT32" s="847"/>
      <c r="CU32" s="847"/>
      <c r="CV32" s="847"/>
      <c r="CW32" s="847"/>
      <c r="CX32" s="847"/>
      <c r="CY32" s="847"/>
      <c r="CZ32" s="847"/>
      <c r="DA32" s="847"/>
      <c r="DB32" s="847"/>
      <c r="DC32" s="847"/>
      <c r="DD32" s="847"/>
      <c r="DE32" s="847"/>
      <c r="DF32" s="847"/>
    </row>
    <row r="33" spans="1:110" s="3" customFormat="1" ht="18.75">
      <c r="A33" s="19">
        <v>13</v>
      </c>
      <c r="B33" s="20" t="s">
        <v>12</v>
      </c>
      <c r="C33" s="48">
        <v>30</v>
      </c>
      <c r="D33" s="42"/>
      <c r="E33" s="56">
        <v>6</v>
      </c>
      <c r="F33" s="56">
        <v>0</v>
      </c>
      <c r="G33" s="56"/>
      <c r="H33" s="200"/>
      <c r="I33" s="56">
        <v>0</v>
      </c>
      <c r="J33" s="44"/>
      <c r="K33" s="118"/>
      <c r="L33" s="199"/>
      <c r="M33" s="37"/>
      <c r="N33" s="56">
        <v>29</v>
      </c>
      <c r="O33" s="40"/>
      <c r="P33" s="40"/>
      <c r="Q33" s="40">
        <v>1.4</v>
      </c>
      <c r="R33" s="40"/>
      <c r="S33" s="40"/>
      <c r="T33" s="34"/>
      <c r="U33" s="45"/>
      <c r="V33" s="69"/>
      <c r="W33" s="69"/>
      <c r="X33" s="69"/>
      <c r="Y33" s="69"/>
      <c r="Z33" s="59"/>
      <c r="AA33" s="34"/>
      <c r="AB33" s="34"/>
      <c r="AC33" s="21"/>
      <c r="AD33" s="34"/>
      <c r="AE33" s="45"/>
      <c r="AF33" s="105"/>
      <c r="AG33" s="847"/>
      <c r="AH33" s="847"/>
      <c r="AI33" s="847"/>
      <c r="AJ33" s="847"/>
      <c r="AK33" s="847"/>
      <c r="AL33" s="847"/>
      <c r="AM33" s="847"/>
      <c r="AN33" s="847"/>
      <c r="AO33" s="847"/>
      <c r="AP33" s="847"/>
      <c r="AQ33" s="847"/>
      <c r="AR33" s="847"/>
      <c r="AS33" s="847"/>
      <c r="AT33" s="847"/>
      <c r="AU33" s="847"/>
      <c r="AV33" s="847"/>
      <c r="AW33" s="847"/>
      <c r="AX33" s="847"/>
      <c r="AY33" s="847"/>
      <c r="AZ33" s="847"/>
      <c r="BA33" s="847"/>
      <c r="BB33" s="847"/>
      <c r="BC33" s="847"/>
      <c r="BD33" s="847"/>
      <c r="BE33" s="847"/>
      <c r="BF33" s="847"/>
      <c r="BG33" s="847"/>
      <c r="BH33" s="847"/>
      <c r="BI33" s="847"/>
      <c r="BJ33" s="847"/>
      <c r="BK33" s="847"/>
      <c r="BL33" s="847"/>
      <c r="BM33" s="847"/>
      <c r="BN33" s="847"/>
      <c r="BO33" s="847"/>
      <c r="BP33" s="847"/>
      <c r="BQ33" s="847"/>
      <c r="BR33" s="847"/>
      <c r="BS33" s="847"/>
      <c r="BT33" s="847"/>
      <c r="BU33" s="847"/>
      <c r="BV33" s="847"/>
      <c r="BW33" s="847"/>
      <c r="BX33" s="847"/>
      <c r="BY33" s="847"/>
      <c r="BZ33" s="847"/>
      <c r="CA33" s="847"/>
      <c r="CB33" s="847"/>
      <c r="CC33" s="847"/>
      <c r="CD33" s="847"/>
      <c r="CE33" s="847"/>
      <c r="CF33" s="847"/>
      <c r="CG33" s="847"/>
      <c r="CH33" s="847"/>
      <c r="CI33" s="847"/>
      <c r="CJ33" s="847"/>
      <c r="CK33" s="847"/>
      <c r="CL33" s="847"/>
      <c r="CM33" s="847"/>
      <c r="CN33" s="847"/>
      <c r="CO33" s="847"/>
      <c r="CP33" s="847"/>
      <c r="CQ33" s="847"/>
      <c r="CR33" s="847"/>
      <c r="CS33" s="847"/>
      <c r="CT33" s="847"/>
      <c r="CU33" s="847"/>
      <c r="CV33" s="847"/>
      <c r="CW33" s="847"/>
      <c r="CX33" s="847"/>
      <c r="CY33" s="847"/>
      <c r="CZ33" s="847"/>
      <c r="DA33" s="847"/>
      <c r="DB33" s="847"/>
      <c r="DC33" s="847"/>
      <c r="DD33" s="847"/>
      <c r="DE33" s="847"/>
      <c r="DF33" s="847"/>
    </row>
    <row r="34" spans="1:110" s="31" customFormat="1" ht="17.25" customHeight="1" thickBot="1">
      <c r="A34" s="203"/>
      <c r="B34" s="204"/>
      <c r="C34" s="214"/>
      <c r="D34" s="235"/>
      <c r="E34" s="207">
        <v>7</v>
      </c>
      <c r="F34" s="207">
        <v>0</v>
      </c>
      <c r="G34" s="207">
        <v>3</v>
      </c>
      <c r="H34" s="215"/>
      <c r="I34" s="207">
        <v>0</v>
      </c>
      <c r="J34" s="206">
        <v>10</v>
      </c>
      <c r="K34" s="234"/>
      <c r="L34" s="205">
        <v>0</v>
      </c>
      <c r="M34" s="233"/>
      <c r="N34" s="207">
        <v>3</v>
      </c>
      <c r="O34" s="215"/>
      <c r="P34" s="215"/>
      <c r="Q34" s="215">
        <v>0</v>
      </c>
      <c r="R34" s="215"/>
      <c r="S34" s="215"/>
      <c r="T34" s="205"/>
      <c r="U34" s="208"/>
      <c r="V34" s="205"/>
      <c r="W34" s="205"/>
      <c r="X34" s="205"/>
      <c r="Y34" s="205"/>
      <c r="Z34" s="210"/>
      <c r="AA34" s="205"/>
      <c r="AB34" s="205"/>
      <c r="AC34" s="211"/>
      <c r="AD34" s="205"/>
      <c r="AE34" s="208"/>
      <c r="AF34" s="212">
        <f>SUM(C34:AE34)</f>
        <v>23</v>
      </c>
      <c r="AG34" s="847"/>
      <c r="AH34" s="847"/>
      <c r="AI34" s="847"/>
      <c r="AJ34" s="847"/>
      <c r="AK34" s="847"/>
      <c r="AL34" s="847"/>
      <c r="AM34" s="847"/>
      <c r="AN34" s="847"/>
      <c r="AO34" s="847"/>
      <c r="AP34" s="847"/>
      <c r="AQ34" s="847"/>
      <c r="AR34" s="847"/>
      <c r="AS34" s="847"/>
      <c r="AT34" s="847"/>
      <c r="AU34" s="847"/>
      <c r="AV34" s="847"/>
      <c r="AW34" s="847"/>
      <c r="AX34" s="847"/>
      <c r="AY34" s="847"/>
      <c r="AZ34" s="847"/>
      <c r="BA34" s="847"/>
      <c r="BB34" s="847"/>
      <c r="BC34" s="847"/>
      <c r="BD34" s="847"/>
      <c r="BE34" s="847"/>
      <c r="BF34" s="847"/>
      <c r="BG34" s="847"/>
      <c r="BH34" s="847"/>
      <c r="BI34" s="847"/>
      <c r="BJ34" s="847"/>
      <c r="BK34" s="847"/>
      <c r="BL34" s="847"/>
      <c r="BM34" s="847"/>
      <c r="BN34" s="847"/>
      <c r="BO34" s="847"/>
      <c r="BP34" s="847"/>
      <c r="BQ34" s="847"/>
      <c r="BR34" s="847"/>
      <c r="BS34" s="847"/>
      <c r="BT34" s="847"/>
      <c r="BU34" s="847"/>
      <c r="BV34" s="847"/>
      <c r="BW34" s="847"/>
      <c r="BX34" s="847"/>
      <c r="BY34" s="847"/>
      <c r="BZ34" s="847"/>
      <c r="CA34" s="847"/>
      <c r="CB34" s="847"/>
      <c r="CC34" s="847"/>
      <c r="CD34" s="847"/>
      <c r="CE34" s="847"/>
      <c r="CF34" s="847"/>
      <c r="CG34" s="847"/>
      <c r="CH34" s="847"/>
      <c r="CI34" s="847"/>
      <c r="CJ34" s="847"/>
      <c r="CK34" s="847"/>
      <c r="CL34" s="847"/>
      <c r="CM34" s="847"/>
      <c r="CN34" s="847"/>
      <c r="CO34" s="847"/>
      <c r="CP34" s="847"/>
      <c r="CQ34" s="847"/>
      <c r="CR34" s="847"/>
      <c r="CS34" s="847"/>
      <c r="CT34" s="847"/>
      <c r="CU34" s="847"/>
      <c r="CV34" s="847"/>
      <c r="CW34" s="847"/>
      <c r="CX34" s="847"/>
      <c r="CY34" s="847"/>
      <c r="CZ34" s="847"/>
      <c r="DA34" s="847"/>
      <c r="DB34" s="847"/>
      <c r="DC34" s="847"/>
      <c r="DD34" s="847"/>
      <c r="DE34" s="847"/>
      <c r="DF34" s="847"/>
    </row>
    <row r="35" spans="1:110" s="4" customFormat="1" ht="18.75">
      <c r="A35" s="19">
        <v>14</v>
      </c>
      <c r="B35" s="22" t="s">
        <v>15</v>
      </c>
      <c r="C35" s="54">
        <v>112</v>
      </c>
      <c r="D35" s="39"/>
      <c r="E35" s="64">
        <v>7</v>
      </c>
      <c r="F35" s="64">
        <v>272</v>
      </c>
      <c r="G35" s="64"/>
      <c r="H35" s="39"/>
      <c r="I35" s="64">
        <v>9</v>
      </c>
      <c r="J35" s="115"/>
      <c r="K35" s="116"/>
      <c r="L35" s="39"/>
      <c r="M35" s="39"/>
      <c r="N35" s="64">
        <v>76</v>
      </c>
      <c r="O35" s="39"/>
      <c r="P35" s="39"/>
      <c r="Q35" s="39">
        <v>82.01</v>
      </c>
      <c r="R35" s="39"/>
      <c r="S35" s="39"/>
      <c r="T35" s="39"/>
      <c r="U35" s="55"/>
      <c r="V35" s="66">
        <v>72.099999999999994</v>
      </c>
      <c r="W35" s="66">
        <v>91.6</v>
      </c>
      <c r="X35" s="66">
        <v>91.1</v>
      </c>
      <c r="Y35" s="66">
        <v>96.6</v>
      </c>
      <c r="Z35" s="63"/>
      <c r="AA35" s="39"/>
      <c r="AB35" s="39"/>
      <c r="AC35" s="23"/>
      <c r="AD35" s="39"/>
      <c r="AE35" s="55"/>
      <c r="AF35" s="107"/>
      <c r="AG35" s="847"/>
      <c r="AH35" s="847"/>
      <c r="AI35" s="847"/>
      <c r="AJ35" s="847"/>
      <c r="AK35" s="847"/>
      <c r="AL35" s="847"/>
      <c r="AM35" s="847"/>
      <c r="AN35" s="847"/>
      <c r="AO35" s="847"/>
      <c r="AP35" s="847"/>
      <c r="AQ35" s="847"/>
      <c r="AR35" s="847"/>
      <c r="AS35" s="847"/>
      <c r="AT35" s="847"/>
      <c r="AU35" s="847"/>
      <c r="AV35" s="847"/>
      <c r="AW35" s="847"/>
      <c r="AX35" s="847"/>
      <c r="AY35" s="847"/>
      <c r="AZ35" s="847"/>
      <c r="BA35" s="847"/>
      <c r="BB35" s="847"/>
      <c r="BC35" s="847"/>
      <c r="BD35" s="847"/>
      <c r="BE35" s="847"/>
      <c r="BF35" s="847"/>
      <c r="BG35" s="847"/>
      <c r="BH35" s="847"/>
      <c r="BI35" s="847"/>
      <c r="BJ35" s="847"/>
      <c r="BK35" s="847"/>
      <c r="BL35" s="847"/>
      <c r="BM35" s="847"/>
      <c r="BN35" s="847"/>
      <c r="BO35" s="847"/>
      <c r="BP35" s="847"/>
      <c r="BQ35" s="847"/>
      <c r="BR35" s="847"/>
      <c r="BS35" s="847"/>
      <c r="BT35" s="847"/>
      <c r="BU35" s="847"/>
      <c r="BV35" s="847"/>
      <c r="BW35" s="847"/>
      <c r="BX35" s="847"/>
      <c r="BY35" s="847"/>
      <c r="BZ35" s="847"/>
      <c r="CA35" s="847"/>
      <c r="CB35" s="847"/>
      <c r="CC35" s="847"/>
      <c r="CD35" s="847"/>
      <c r="CE35" s="847"/>
      <c r="CF35" s="847"/>
      <c r="CG35" s="847"/>
      <c r="CH35" s="847"/>
      <c r="CI35" s="847"/>
      <c r="CJ35" s="847"/>
      <c r="CK35" s="847"/>
      <c r="CL35" s="847"/>
      <c r="CM35" s="847"/>
      <c r="CN35" s="847"/>
      <c r="CO35" s="847"/>
      <c r="CP35" s="847"/>
      <c r="CQ35" s="847"/>
      <c r="CR35" s="847"/>
      <c r="CS35" s="847"/>
      <c r="CT35" s="847"/>
      <c r="CU35" s="847"/>
      <c r="CV35" s="847"/>
      <c r="CW35" s="847"/>
      <c r="CX35" s="847"/>
      <c r="CY35" s="847"/>
      <c r="CZ35" s="847"/>
      <c r="DA35" s="847"/>
      <c r="DB35" s="847"/>
      <c r="DC35" s="847"/>
      <c r="DD35" s="847"/>
      <c r="DE35" s="847"/>
      <c r="DF35" s="847"/>
    </row>
    <row r="36" spans="1:110" s="27" customFormat="1" ht="16.5" customHeight="1" thickBot="1">
      <c r="A36" s="203"/>
      <c r="B36" s="204"/>
      <c r="C36" s="214"/>
      <c r="D36" s="205"/>
      <c r="E36" s="207">
        <v>6</v>
      </c>
      <c r="F36" s="207">
        <v>0</v>
      </c>
      <c r="G36" s="207">
        <v>0</v>
      </c>
      <c r="H36" s="205"/>
      <c r="I36" s="207">
        <v>10</v>
      </c>
      <c r="J36" s="206">
        <v>10</v>
      </c>
      <c r="K36" s="206"/>
      <c r="L36" s="205"/>
      <c r="M36" s="205"/>
      <c r="N36" s="207">
        <v>8</v>
      </c>
      <c r="O36" s="205"/>
      <c r="P36" s="205"/>
      <c r="Q36" s="205">
        <v>9</v>
      </c>
      <c r="R36" s="205"/>
      <c r="S36" s="205"/>
      <c r="T36" s="205"/>
      <c r="U36" s="208"/>
      <c r="V36" s="205">
        <v>8</v>
      </c>
      <c r="W36" s="205">
        <v>10</v>
      </c>
      <c r="X36" s="205">
        <v>10</v>
      </c>
      <c r="Y36" s="205">
        <v>10</v>
      </c>
      <c r="Z36" s="217"/>
      <c r="AA36" s="205"/>
      <c r="AB36" s="205"/>
      <c r="AC36" s="211"/>
      <c r="AD36" s="205"/>
      <c r="AE36" s="208"/>
      <c r="AF36" s="213">
        <f>SUM(C36:AE36)</f>
        <v>81</v>
      </c>
      <c r="AG36" s="847"/>
      <c r="AH36" s="847"/>
      <c r="AI36" s="847"/>
      <c r="AJ36" s="847"/>
      <c r="AK36" s="847"/>
      <c r="AL36" s="847"/>
      <c r="AM36" s="847"/>
      <c r="AN36" s="847"/>
      <c r="AO36" s="847"/>
      <c r="AP36" s="847"/>
      <c r="AQ36" s="847"/>
      <c r="AR36" s="847"/>
      <c r="AS36" s="847"/>
      <c r="AT36" s="847"/>
      <c r="AU36" s="847"/>
      <c r="AV36" s="847"/>
      <c r="AW36" s="847"/>
      <c r="AX36" s="847"/>
      <c r="AY36" s="847"/>
      <c r="AZ36" s="847"/>
      <c r="BA36" s="847"/>
      <c r="BB36" s="847"/>
      <c r="BC36" s="847"/>
      <c r="BD36" s="847"/>
      <c r="BE36" s="847"/>
      <c r="BF36" s="847"/>
      <c r="BG36" s="847"/>
      <c r="BH36" s="847"/>
      <c r="BI36" s="847"/>
      <c r="BJ36" s="847"/>
      <c r="BK36" s="847"/>
      <c r="BL36" s="847"/>
      <c r="BM36" s="847"/>
      <c r="BN36" s="847"/>
      <c r="BO36" s="847"/>
      <c r="BP36" s="847"/>
      <c r="BQ36" s="847"/>
      <c r="BR36" s="847"/>
      <c r="BS36" s="847"/>
      <c r="BT36" s="847"/>
      <c r="BU36" s="847"/>
      <c r="BV36" s="847"/>
      <c r="BW36" s="847"/>
      <c r="BX36" s="847"/>
      <c r="BY36" s="847"/>
      <c r="BZ36" s="847"/>
      <c r="CA36" s="847"/>
      <c r="CB36" s="847"/>
      <c r="CC36" s="847"/>
      <c r="CD36" s="847"/>
      <c r="CE36" s="847"/>
      <c r="CF36" s="847"/>
      <c r="CG36" s="847"/>
      <c r="CH36" s="847"/>
      <c r="CI36" s="847"/>
      <c r="CJ36" s="847"/>
      <c r="CK36" s="847"/>
      <c r="CL36" s="847"/>
      <c r="CM36" s="847"/>
      <c r="CN36" s="847"/>
      <c r="CO36" s="847"/>
      <c r="CP36" s="847"/>
      <c r="CQ36" s="847"/>
      <c r="CR36" s="847"/>
      <c r="CS36" s="847"/>
      <c r="CT36" s="847"/>
      <c r="CU36" s="847"/>
      <c r="CV36" s="847"/>
      <c r="CW36" s="847"/>
      <c r="CX36" s="847"/>
      <c r="CY36" s="847"/>
      <c r="CZ36" s="847"/>
      <c r="DA36" s="847"/>
      <c r="DB36" s="847"/>
      <c r="DC36" s="847"/>
      <c r="DD36" s="847"/>
      <c r="DE36" s="847"/>
      <c r="DF36" s="847"/>
    </row>
    <row r="37" spans="1:110" ht="18.75">
      <c r="A37" s="19">
        <v>15</v>
      </c>
      <c r="B37" s="20" t="s">
        <v>60</v>
      </c>
      <c r="C37" s="48">
        <v>11</v>
      </c>
      <c r="D37" s="34"/>
      <c r="E37" s="56">
        <v>0</v>
      </c>
      <c r="F37" s="56">
        <v>3</v>
      </c>
      <c r="G37" s="56"/>
      <c r="H37" s="109"/>
      <c r="I37" s="56">
        <v>0</v>
      </c>
      <c r="J37" s="44"/>
      <c r="K37" s="116"/>
      <c r="L37" s="34"/>
      <c r="M37" s="34"/>
      <c r="N37" s="56">
        <v>10</v>
      </c>
      <c r="O37" s="34"/>
      <c r="P37" s="34"/>
      <c r="Q37" s="34">
        <v>0.87</v>
      </c>
      <c r="R37" s="34"/>
      <c r="S37" s="34"/>
      <c r="T37" s="34"/>
      <c r="U37" s="45"/>
      <c r="V37" s="69">
        <v>45</v>
      </c>
      <c r="W37" s="69">
        <v>18</v>
      </c>
      <c r="X37" s="69">
        <v>18</v>
      </c>
      <c r="Y37" s="69">
        <v>18</v>
      </c>
      <c r="Z37" s="59"/>
      <c r="AA37" s="34"/>
      <c r="AB37" s="34"/>
      <c r="AC37" s="21"/>
      <c r="AD37" s="34"/>
      <c r="AE37" s="45"/>
      <c r="AF37" s="105"/>
      <c r="AG37" s="847"/>
      <c r="AH37" s="847"/>
      <c r="AI37" s="847"/>
      <c r="AJ37" s="847"/>
      <c r="AK37" s="847"/>
      <c r="AL37" s="847"/>
      <c r="AM37" s="847"/>
      <c r="AN37" s="847"/>
      <c r="AO37" s="847"/>
      <c r="AP37" s="847"/>
      <c r="AQ37" s="847"/>
      <c r="AR37" s="847"/>
      <c r="AS37" s="847"/>
      <c r="AT37" s="847"/>
      <c r="AU37" s="847"/>
      <c r="AV37" s="847"/>
      <c r="AW37" s="847"/>
      <c r="AX37" s="847"/>
      <c r="AY37" s="847"/>
      <c r="AZ37" s="847"/>
      <c r="BA37" s="847"/>
      <c r="BB37" s="847"/>
      <c r="BC37" s="847"/>
      <c r="BD37" s="847"/>
      <c r="BE37" s="847"/>
      <c r="BF37" s="847"/>
      <c r="BG37" s="847"/>
      <c r="BH37" s="847"/>
      <c r="BI37" s="847"/>
      <c r="BJ37" s="847"/>
      <c r="BK37" s="847"/>
      <c r="BL37" s="847"/>
      <c r="BM37" s="847"/>
      <c r="BN37" s="847"/>
      <c r="BO37" s="847"/>
      <c r="BP37" s="847"/>
      <c r="BQ37" s="847"/>
      <c r="BR37" s="847"/>
      <c r="BS37" s="847"/>
      <c r="BT37" s="847"/>
      <c r="BU37" s="847"/>
      <c r="BV37" s="847"/>
      <c r="BW37" s="847"/>
      <c r="BX37" s="847"/>
      <c r="BY37" s="847"/>
      <c r="BZ37" s="847"/>
      <c r="CA37" s="847"/>
      <c r="CB37" s="847"/>
      <c r="CC37" s="847"/>
      <c r="CD37" s="847"/>
      <c r="CE37" s="847"/>
      <c r="CF37" s="847"/>
      <c r="CG37" s="847"/>
      <c r="CH37" s="847"/>
      <c r="CI37" s="847"/>
      <c r="CJ37" s="847"/>
      <c r="CK37" s="847"/>
      <c r="CL37" s="847"/>
      <c r="CM37" s="847"/>
      <c r="CN37" s="847"/>
      <c r="CO37" s="847"/>
      <c r="CP37" s="847"/>
      <c r="CQ37" s="847"/>
      <c r="CR37" s="847"/>
      <c r="CS37" s="847"/>
      <c r="CT37" s="847"/>
      <c r="CU37" s="847"/>
      <c r="CV37" s="847"/>
      <c r="CW37" s="847"/>
      <c r="CX37" s="847"/>
      <c r="CY37" s="847"/>
      <c r="CZ37" s="847"/>
      <c r="DA37" s="847"/>
      <c r="DB37" s="847"/>
      <c r="DC37" s="847"/>
      <c r="DD37" s="847"/>
      <c r="DE37" s="847"/>
      <c r="DF37" s="847"/>
    </row>
    <row r="38" spans="1:110" s="27" customFormat="1" ht="17.25" customHeight="1" thickBot="1">
      <c r="A38" s="218"/>
      <c r="B38" s="229"/>
      <c r="C38" s="220"/>
      <c r="D38" s="224"/>
      <c r="E38" s="222">
        <v>10</v>
      </c>
      <c r="F38" s="222">
        <v>8</v>
      </c>
      <c r="G38" s="222">
        <v>7</v>
      </c>
      <c r="H38" s="224"/>
      <c r="I38" s="222">
        <v>10</v>
      </c>
      <c r="J38" s="223">
        <v>10</v>
      </c>
      <c r="K38" s="223"/>
      <c r="L38" s="224"/>
      <c r="M38" s="224"/>
      <c r="N38" s="222">
        <v>1</v>
      </c>
      <c r="O38" s="224"/>
      <c r="P38" s="224"/>
      <c r="Q38" s="224">
        <v>0</v>
      </c>
      <c r="R38" s="224"/>
      <c r="S38" s="224"/>
      <c r="T38" s="224"/>
      <c r="U38" s="225"/>
      <c r="V38" s="224">
        <v>5</v>
      </c>
      <c r="W38" s="224">
        <v>2</v>
      </c>
      <c r="X38" s="224">
        <v>2</v>
      </c>
      <c r="Y38" s="224">
        <v>2</v>
      </c>
      <c r="Z38" s="227"/>
      <c r="AA38" s="224"/>
      <c r="AB38" s="224"/>
      <c r="AC38" s="228"/>
      <c r="AD38" s="224"/>
      <c r="AE38" s="225"/>
      <c r="AF38" s="212">
        <f>SUM(C38:AE38)</f>
        <v>57</v>
      </c>
      <c r="AG38" s="847"/>
      <c r="AH38" s="847"/>
      <c r="AI38" s="847"/>
      <c r="AJ38" s="847"/>
      <c r="AK38" s="847"/>
      <c r="AL38" s="847"/>
      <c r="AM38" s="847"/>
      <c r="AN38" s="847"/>
      <c r="AO38" s="847"/>
      <c r="AP38" s="847"/>
      <c r="AQ38" s="847"/>
      <c r="AR38" s="847"/>
      <c r="AS38" s="847"/>
      <c r="AT38" s="847"/>
      <c r="AU38" s="847"/>
      <c r="AV38" s="847"/>
      <c r="AW38" s="847"/>
      <c r="AX38" s="847"/>
      <c r="AY38" s="847"/>
      <c r="AZ38" s="847"/>
      <c r="BA38" s="847"/>
      <c r="BB38" s="847"/>
      <c r="BC38" s="847"/>
      <c r="BD38" s="847"/>
      <c r="BE38" s="847"/>
      <c r="BF38" s="847"/>
      <c r="BG38" s="847"/>
      <c r="BH38" s="847"/>
      <c r="BI38" s="847"/>
      <c r="BJ38" s="847"/>
      <c r="BK38" s="847"/>
      <c r="BL38" s="847"/>
      <c r="BM38" s="847"/>
      <c r="BN38" s="847"/>
      <c r="BO38" s="847"/>
      <c r="BP38" s="847"/>
      <c r="BQ38" s="847"/>
      <c r="BR38" s="847"/>
      <c r="BS38" s="847"/>
      <c r="BT38" s="847"/>
      <c r="BU38" s="847"/>
      <c r="BV38" s="847"/>
      <c r="BW38" s="847"/>
      <c r="BX38" s="847"/>
      <c r="BY38" s="847"/>
      <c r="BZ38" s="847"/>
      <c r="CA38" s="847"/>
      <c r="CB38" s="847"/>
      <c r="CC38" s="847"/>
      <c r="CD38" s="847"/>
      <c r="CE38" s="847"/>
      <c r="CF38" s="847"/>
      <c r="CG38" s="847"/>
      <c r="CH38" s="847"/>
      <c r="CI38" s="847"/>
      <c r="CJ38" s="847"/>
      <c r="CK38" s="847"/>
      <c r="CL38" s="847"/>
      <c r="CM38" s="847"/>
      <c r="CN38" s="847"/>
      <c r="CO38" s="847"/>
      <c r="CP38" s="847"/>
      <c r="CQ38" s="847"/>
      <c r="CR38" s="847"/>
      <c r="CS38" s="847"/>
      <c r="CT38" s="847"/>
      <c r="CU38" s="847"/>
      <c r="CV38" s="847"/>
      <c r="CW38" s="847"/>
      <c r="CX38" s="847"/>
      <c r="CY38" s="847"/>
      <c r="CZ38" s="847"/>
      <c r="DA38" s="847"/>
      <c r="DB38" s="847"/>
      <c r="DC38" s="847"/>
      <c r="DD38" s="847"/>
      <c r="DE38" s="847"/>
      <c r="DF38" s="847"/>
    </row>
    <row r="39" spans="1:110" ht="18.75">
      <c r="A39" s="19">
        <v>16</v>
      </c>
      <c r="B39" s="20" t="s">
        <v>17</v>
      </c>
      <c r="C39" s="48">
        <v>34</v>
      </c>
      <c r="D39" s="40"/>
      <c r="E39" s="56">
        <v>6</v>
      </c>
      <c r="F39" s="56">
        <v>0</v>
      </c>
      <c r="G39" s="56"/>
      <c r="H39" s="200"/>
      <c r="I39" s="56">
        <v>13</v>
      </c>
      <c r="J39" s="44"/>
      <c r="K39" s="116"/>
      <c r="L39" s="40"/>
      <c r="M39" s="40"/>
      <c r="N39" s="56">
        <v>21</v>
      </c>
      <c r="O39" s="40"/>
      <c r="P39" s="40"/>
      <c r="Q39" s="40">
        <v>34.549999999999997</v>
      </c>
      <c r="R39" s="40"/>
      <c r="S39" s="40"/>
      <c r="T39" s="40"/>
      <c r="U39" s="49"/>
      <c r="V39" s="69">
        <v>30.3</v>
      </c>
      <c r="W39" s="69">
        <v>3</v>
      </c>
      <c r="X39" s="69">
        <v>3</v>
      </c>
      <c r="Y39" s="69">
        <v>73</v>
      </c>
      <c r="Z39" s="59"/>
      <c r="AA39" s="40"/>
      <c r="AB39" s="40"/>
      <c r="AC39" s="21"/>
      <c r="AD39" s="40"/>
      <c r="AE39" s="49"/>
      <c r="AF39" s="108"/>
      <c r="AG39" s="847"/>
      <c r="AH39" s="847"/>
      <c r="AI39" s="847"/>
      <c r="AJ39" s="847"/>
      <c r="AK39" s="847"/>
      <c r="AL39" s="847"/>
      <c r="AM39" s="847"/>
      <c r="AN39" s="847"/>
      <c r="AO39" s="847"/>
      <c r="AP39" s="847"/>
      <c r="AQ39" s="847"/>
      <c r="AR39" s="847"/>
      <c r="AS39" s="847"/>
      <c r="AT39" s="847"/>
      <c r="AU39" s="847"/>
      <c r="AV39" s="847"/>
      <c r="AW39" s="847"/>
      <c r="AX39" s="847"/>
      <c r="AY39" s="847"/>
      <c r="AZ39" s="847"/>
      <c r="BA39" s="847"/>
      <c r="BB39" s="847"/>
      <c r="BC39" s="847"/>
      <c r="BD39" s="847"/>
      <c r="BE39" s="847"/>
      <c r="BF39" s="847"/>
      <c r="BG39" s="847"/>
      <c r="BH39" s="847"/>
      <c r="BI39" s="847"/>
      <c r="BJ39" s="847"/>
      <c r="BK39" s="847"/>
      <c r="BL39" s="847"/>
      <c r="BM39" s="847"/>
      <c r="BN39" s="847"/>
      <c r="BO39" s="847"/>
      <c r="BP39" s="847"/>
      <c r="BQ39" s="847"/>
      <c r="BR39" s="847"/>
      <c r="BS39" s="847"/>
      <c r="BT39" s="847"/>
      <c r="BU39" s="847"/>
      <c r="BV39" s="847"/>
      <c r="BW39" s="847"/>
      <c r="BX39" s="847"/>
      <c r="BY39" s="847"/>
      <c r="BZ39" s="847"/>
      <c r="CA39" s="847"/>
      <c r="CB39" s="847"/>
      <c r="CC39" s="847"/>
      <c r="CD39" s="847"/>
      <c r="CE39" s="847"/>
      <c r="CF39" s="847"/>
      <c r="CG39" s="847"/>
      <c r="CH39" s="847"/>
      <c r="CI39" s="847"/>
      <c r="CJ39" s="847"/>
      <c r="CK39" s="847"/>
      <c r="CL39" s="847"/>
      <c r="CM39" s="847"/>
      <c r="CN39" s="847"/>
      <c r="CO39" s="847"/>
      <c r="CP39" s="847"/>
      <c r="CQ39" s="847"/>
      <c r="CR39" s="847"/>
      <c r="CS39" s="847"/>
      <c r="CT39" s="847"/>
      <c r="CU39" s="847"/>
      <c r="CV39" s="847"/>
      <c r="CW39" s="847"/>
      <c r="CX39" s="847"/>
      <c r="CY39" s="847"/>
      <c r="CZ39" s="847"/>
      <c r="DA39" s="847"/>
      <c r="DB39" s="847"/>
      <c r="DC39" s="847"/>
      <c r="DD39" s="847"/>
      <c r="DE39" s="847"/>
      <c r="DF39" s="847"/>
    </row>
    <row r="40" spans="1:110" s="27" customFormat="1" ht="15.75" customHeight="1" thickBot="1">
      <c r="A40" s="203"/>
      <c r="B40" s="204"/>
      <c r="C40" s="214"/>
      <c r="D40" s="215"/>
      <c r="E40" s="207">
        <v>6</v>
      </c>
      <c r="F40" s="207">
        <v>10</v>
      </c>
      <c r="G40" s="207">
        <v>3</v>
      </c>
      <c r="H40" s="215"/>
      <c r="I40" s="207">
        <v>9</v>
      </c>
      <c r="J40" s="206">
        <v>10</v>
      </c>
      <c r="K40" s="206"/>
      <c r="L40" s="207">
        <v>6</v>
      </c>
      <c r="M40" s="215"/>
      <c r="N40" s="207">
        <v>3</v>
      </c>
      <c r="O40" s="215"/>
      <c r="P40" s="215"/>
      <c r="Q40" s="215">
        <v>4</v>
      </c>
      <c r="R40" s="215"/>
      <c r="S40" s="215"/>
      <c r="T40" s="215"/>
      <c r="U40" s="216"/>
      <c r="V40" s="207">
        <v>4</v>
      </c>
      <c r="W40" s="207">
        <v>0</v>
      </c>
      <c r="X40" s="207">
        <v>0</v>
      </c>
      <c r="Y40" s="207">
        <v>8</v>
      </c>
      <c r="Z40" s="210"/>
      <c r="AA40" s="215"/>
      <c r="AB40" s="215"/>
      <c r="AC40" s="211"/>
      <c r="AD40" s="215"/>
      <c r="AE40" s="216"/>
      <c r="AF40" s="213">
        <f>SUM(C40:AE40)</f>
        <v>63</v>
      </c>
      <c r="AG40" s="847"/>
      <c r="AH40" s="847"/>
      <c r="AI40" s="847"/>
      <c r="AJ40" s="847"/>
      <c r="AK40" s="847"/>
      <c r="AL40" s="847"/>
      <c r="AM40" s="847"/>
      <c r="AN40" s="847"/>
      <c r="AO40" s="847"/>
      <c r="AP40" s="847"/>
      <c r="AQ40" s="847"/>
      <c r="AR40" s="847"/>
      <c r="AS40" s="847"/>
      <c r="AT40" s="847"/>
      <c r="AU40" s="847"/>
      <c r="AV40" s="847"/>
      <c r="AW40" s="847"/>
      <c r="AX40" s="847"/>
      <c r="AY40" s="847"/>
      <c r="AZ40" s="847"/>
      <c r="BA40" s="847"/>
      <c r="BB40" s="847"/>
      <c r="BC40" s="847"/>
      <c r="BD40" s="847"/>
      <c r="BE40" s="847"/>
      <c r="BF40" s="847"/>
      <c r="BG40" s="847"/>
      <c r="BH40" s="847"/>
      <c r="BI40" s="847"/>
      <c r="BJ40" s="847"/>
      <c r="BK40" s="847"/>
      <c r="BL40" s="847"/>
      <c r="BM40" s="847"/>
      <c r="BN40" s="847"/>
      <c r="BO40" s="847"/>
      <c r="BP40" s="847"/>
      <c r="BQ40" s="847"/>
      <c r="BR40" s="847"/>
      <c r="BS40" s="847"/>
      <c r="BT40" s="847"/>
      <c r="BU40" s="847"/>
      <c r="BV40" s="847"/>
      <c r="BW40" s="847"/>
      <c r="BX40" s="847"/>
      <c r="BY40" s="847"/>
      <c r="BZ40" s="847"/>
      <c r="CA40" s="847"/>
      <c r="CB40" s="847"/>
      <c r="CC40" s="847"/>
      <c r="CD40" s="847"/>
      <c r="CE40" s="847"/>
      <c r="CF40" s="847"/>
      <c r="CG40" s="847"/>
      <c r="CH40" s="847"/>
      <c r="CI40" s="847"/>
      <c r="CJ40" s="847"/>
      <c r="CK40" s="847"/>
      <c r="CL40" s="847"/>
      <c r="CM40" s="847"/>
      <c r="CN40" s="847"/>
      <c r="CO40" s="847"/>
      <c r="CP40" s="847"/>
      <c r="CQ40" s="847"/>
      <c r="CR40" s="847"/>
      <c r="CS40" s="847"/>
      <c r="CT40" s="847"/>
      <c r="CU40" s="847"/>
      <c r="CV40" s="847"/>
      <c r="CW40" s="847"/>
      <c r="CX40" s="847"/>
      <c r="CY40" s="847"/>
      <c r="CZ40" s="847"/>
      <c r="DA40" s="847"/>
      <c r="DB40" s="847"/>
      <c r="DC40" s="847"/>
      <c r="DD40" s="847"/>
      <c r="DE40" s="847"/>
      <c r="DF40" s="847"/>
    </row>
    <row r="41" spans="1:110" s="3" customFormat="1" ht="18.75">
      <c r="A41" s="19">
        <v>17</v>
      </c>
      <c r="B41" s="20" t="s">
        <v>18</v>
      </c>
      <c r="C41" s="48">
        <v>15</v>
      </c>
      <c r="D41" s="42"/>
      <c r="E41" s="56">
        <v>2</v>
      </c>
      <c r="F41" s="56">
        <v>0</v>
      </c>
      <c r="G41" s="56"/>
      <c r="H41" s="42"/>
      <c r="I41" s="56">
        <v>0</v>
      </c>
      <c r="J41" s="44"/>
      <c r="K41" s="118"/>
      <c r="L41" s="37"/>
      <c r="M41" s="37"/>
      <c r="N41" s="56">
        <v>10</v>
      </c>
      <c r="O41" s="40"/>
      <c r="P41" s="40"/>
      <c r="Q41" s="40">
        <v>0.11</v>
      </c>
      <c r="R41" s="40"/>
      <c r="S41" s="40"/>
      <c r="T41" s="34"/>
      <c r="U41" s="45"/>
      <c r="V41" s="69"/>
      <c r="W41" s="69"/>
      <c r="X41" s="69"/>
      <c r="Y41" s="69"/>
      <c r="Z41" s="59"/>
      <c r="AA41" s="34"/>
      <c r="AB41" s="34"/>
      <c r="AC41" s="21"/>
      <c r="AD41" s="34"/>
      <c r="AE41" s="45"/>
      <c r="AF41" s="236"/>
      <c r="AG41" s="847"/>
      <c r="AH41" s="847"/>
      <c r="AI41" s="847"/>
      <c r="AJ41" s="847"/>
      <c r="AK41" s="847"/>
      <c r="AL41" s="847"/>
      <c r="AM41" s="847"/>
      <c r="AN41" s="847"/>
      <c r="AO41" s="847"/>
      <c r="AP41" s="847"/>
      <c r="AQ41" s="847"/>
      <c r="AR41" s="847"/>
      <c r="AS41" s="847"/>
      <c r="AT41" s="847"/>
      <c r="AU41" s="847"/>
      <c r="AV41" s="847"/>
      <c r="AW41" s="847"/>
      <c r="AX41" s="847"/>
      <c r="AY41" s="847"/>
      <c r="AZ41" s="847"/>
      <c r="BA41" s="847"/>
      <c r="BB41" s="847"/>
      <c r="BC41" s="847"/>
      <c r="BD41" s="847"/>
      <c r="BE41" s="847"/>
      <c r="BF41" s="847"/>
      <c r="BG41" s="847"/>
      <c r="BH41" s="847"/>
      <c r="BI41" s="847"/>
      <c r="BJ41" s="847"/>
      <c r="BK41" s="847"/>
      <c r="BL41" s="847"/>
      <c r="BM41" s="847"/>
      <c r="BN41" s="847"/>
      <c r="BO41" s="847"/>
      <c r="BP41" s="847"/>
      <c r="BQ41" s="847"/>
      <c r="BR41" s="847"/>
      <c r="BS41" s="847"/>
      <c r="BT41" s="847"/>
      <c r="BU41" s="847"/>
      <c r="BV41" s="847"/>
      <c r="BW41" s="847"/>
      <c r="BX41" s="847"/>
      <c r="BY41" s="847"/>
      <c r="BZ41" s="847"/>
      <c r="CA41" s="847"/>
      <c r="CB41" s="847"/>
      <c r="CC41" s="847"/>
      <c r="CD41" s="847"/>
      <c r="CE41" s="847"/>
      <c r="CF41" s="847"/>
      <c r="CG41" s="847"/>
      <c r="CH41" s="847"/>
      <c r="CI41" s="847"/>
      <c r="CJ41" s="847"/>
      <c r="CK41" s="847"/>
      <c r="CL41" s="847"/>
      <c r="CM41" s="847"/>
      <c r="CN41" s="847"/>
      <c r="CO41" s="847"/>
      <c r="CP41" s="847"/>
      <c r="CQ41" s="847"/>
      <c r="CR41" s="847"/>
      <c r="CS41" s="847"/>
      <c r="CT41" s="847"/>
      <c r="CU41" s="847"/>
      <c r="CV41" s="847"/>
      <c r="CW41" s="847"/>
      <c r="CX41" s="847"/>
      <c r="CY41" s="847"/>
      <c r="CZ41" s="847"/>
      <c r="DA41" s="847"/>
      <c r="DB41" s="847"/>
      <c r="DC41" s="847"/>
      <c r="DD41" s="847"/>
      <c r="DE41" s="847"/>
      <c r="DF41" s="847"/>
    </row>
    <row r="42" spans="1:110" s="31" customFormat="1" ht="15.75" customHeight="1" thickBot="1">
      <c r="A42" s="203"/>
      <c r="B42" s="204"/>
      <c r="C42" s="214"/>
      <c r="D42" s="235"/>
      <c r="E42" s="207">
        <v>9</v>
      </c>
      <c r="F42" s="207">
        <v>10</v>
      </c>
      <c r="G42" s="207">
        <v>8</v>
      </c>
      <c r="H42" s="235"/>
      <c r="I42" s="207">
        <v>10</v>
      </c>
      <c r="J42" s="206">
        <v>10</v>
      </c>
      <c r="K42" s="234"/>
      <c r="L42" s="233"/>
      <c r="M42" s="233"/>
      <c r="N42" s="207">
        <v>1</v>
      </c>
      <c r="O42" s="215"/>
      <c r="P42" s="215"/>
      <c r="Q42" s="215">
        <v>0</v>
      </c>
      <c r="R42" s="215"/>
      <c r="S42" s="215"/>
      <c r="T42" s="205"/>
      <c r="U42" s="208"/>
      <c r="V42" s="207"/>
      <c r="W42" s="207"/>
      <c r="X42" s="207"/>
      <c r="Y42" s="207"/>
      <c r="Z42" s="210"/>
      <c r="AA42" s="205"/>
      <c r="AB42" s="205"/>
      <c r="AC42" s="211"/>
      <c r="AD42" s="205"/>
      <c r="AE42" s="208"/>
      <c r="AF42" s="237">
        <f>SUM(C42:AE42)</f>
        <v>48</v>
      </c>
      <c r="AG42" s="847"/>
      <c r="AH42" s="847"/>
      <c r="AI42" s="847"/>
      <c r="AJ42" s="847"/>
      <c r="AK42" s="847"/>
      <c r="AL42" s="847"/>
      <c r="AM42" s="847"/>
      <c r="AN42" s="847"/>
      <c r="AO42" s="847"/>
      <c r="AP42" s="847"/>
      <c r="AQ42" s="847"/>
      <c r="AR42" s="847"/>
      <c r="AS42" s="847"/>
      <c r="AT42" s="847"/>
      <c r="AU42" s="847"/>
      <c r="AV42" s="847"/>
      <c r="AW42" s="847"/>
      <c r="AX42" s="847"/>
      <c r="AY42" s="847"/>
      <c r="AZ42" s="847"/>
      <c r="BA42" s="847"/>
      <c r="BB42" s="847"/>
      <c r="BC42" s="847"/>
      <c r="BD42" s="847"/>
      <c r="BE42" s="847"/>
      <c r="BF42" s="847"/>
      <c r="BG42" s="847"/>
      <c r="BH42" s="847"/>
      <c r="BI42" s="847"/>
      <c r="BJ42" s="847"/>
      <c r="BK42" s="847"/>
      <c r="BL42" s="847"/>
      <c r="BM42" s="847"/>
      <c r="BN42" s="847"/>
      <c r="BO42" s="847"/>
      <c r="BP42" s="847"/>
      <c r="BQ42" s="847"/>
      <c r="BR42" s="847"/>
      <c r="BS42" s="847"/>
      <c r="BT42" s="847"/>
      <c r="BU42" s="847"/>
      <c r="BV42" s="847"/>
      <c r="BW42" s="847"/>
      <c r="BX42" s="847"/>
      <c r="BY42" s="847"/>
      <c r="BZ42" s="847"/>
      <c r="CA42" s="847"/>
      <c r="CB42" s="847"/>
      <c r="CC42" s="847"/>
      <c r="CD42" s="847"/>
      <c r="CE42" s="847"/>
      <c r="CF42" s="847"/>
      <c r="CG42" s="847"/>
      <c r="CH42" s="847"/>
      <c r="CI42" s="847"/>
      <c r="CJ42" s="847"/>
      <c r="CK42" s="847"/>
      <c r="CL42" s="847"/>
      <c r="CM42" s="847"/>
      <c r="CN42" s="847"/>
      <c r="CO42" s="847"/>
      <c r="CP42" s="847"/>
      <c r="CQ42" s="847"/>
      <c r="CR42" s="847"/>
      <c r="CS42" s="847"/>
      <c r="CT42" s="847"/>
      <c r="CU42" s="847"/>
      <c r="CV42" s="847"/>
      <c r="CW42" s="847"/>
      <c r="CX42" s="847"/>
      <c r="CY42" s="847"/>
      <c r="CZ42" s="847"/>
      <c r="DA42" s="847"/>
      <c r="DB42" s="847"/>
      <c r="DC42" s="847"/>
      <c r="DD42" s="847"/>
      <c r="DE42" s="847"/>
      <c r="DF42" s="847"/>
    </row>
    <row r="43" spans="1:110" ht="29.25" hidden="1" thickBot="1">
      <c r="A43" s="19">
        <v>18</v>
      </c>
      <c r="B43" s="20" t="s">
        <v>61</v>
      </c>
      <c r="C43" s="48">
        <v>5</v>
      </c>
      <c r="D43" s="34"/>
      <c r="E43" s="56">
        <v>0</v>
      </c>
      <c r="F43" s="56"/>
      <c r="G43" s="56"/>
      <c r="H43" s="34"/>
      <c r="I43" s="56"/>
      <c r="J43" s="44"/>
      <c r="K43" s="116"/>
      <c r="L43" s="34"/>
      <c r="M43" s="34"/>
      <c r="N43" s="56">
        <v>5</v>
      </c>
      <c r="O43" s="34"/>
      <c r="P43" s="34"/>
      <c r="Q43" s="34">
        <v>0</v>
      </c>
      <c r="R43" s="34"/>
      <c r="S43" s="34"/>
      <c r="T43" s="34"/>
      <c r="U43" s="45"/>
      <c r="V43" s="69"/>
      <c r="W43" s="69"/>
      <c r="X43" s="69"/>
      <c r="Y43" s="69"/>
      <c r="Z43" s="59"/>
      <c r="AA43" s="34"/>
      <c r="AB43" s="34"/>
      <c r="AC43" s="21"/>
      <c r="AD43" s="34"/>
      <c r="AE43" s="45"/>
      <c r="AF43" s="102"/>
      <c r="AG43" s="847"/>
      <c r="AH43" s="847"/>
      <c r="AI43" s="847"/>
      <c r="AJ43" s="847"/>
      <c r="AK43" s="847"/>
      <c r="AL43" s="847"/>
      <c r="AM43" s="847"/>
      <c r="AN43" s="847"/>
      <c r="AO43" s="847"/>
      <c r="AP43" s="847"/>
      <c r="AQ43" s="847"/>
      <c r="AR43" s="847"/>
      <c r="AS43" s="847"/>
      <c r="AT43" s="847"/>
      <c r="AU43" s="847"/>
      <c r="AV43" s="847"/>
      <c r="AW43" s="847"/>
      <c r="AX43" s="847"/>
      <c r="AY43" s="847"/>
      <c r="AZ43" s="847"/>
      <c r="BA43" s="847"/>
      <c r="BB43" s="847"/>
      <c r="BC43" s="847"/>
      <c r="BD43" s="847"/>
      <c r="BE43" s="847"/>
      <c r="BF43" s="847"/>
      <c r="BG43" s="847"/>
      <c r="BH43" s="847"/>
      <c r="BI43" s="847"/>
      <c r="BJ43" s="847"/>
      <c r="BK43" s="847"/>
      <c r="BL43" s="847"/>
      <c r="BM43" s="847"/>
      <c r="BN43" s="847"/>
      <c r="BO43" s="847"/>
      <c r="BP43" s="847"/>
      <c r="BQ43" s="847"/>
      <c r="BR43" s="847"/>
      <c r="BS43" s="847"/>
      <c r="BT43" s="847"/>
      <c r="BU43" s="847"/>
      <c r="BV43" s="847"/>
      <c r="BW43" s="847"/>
      <c r="BX43" s="847"/>
      <c r="BY43" s="847"/>
      <c r="BZ43" s="847"/>
      <c r="CA43" s="847"/>
      <c r="CB43" s="847"/>
      <c r="CC43" s="847"/>
      <c r="CD43" s="847"/>
      <c r="CE43" s="847"/>
      <c r="CF43" s="847"/>
      <c r="CG43" s="847"/>
      <c r="CH43" s="847"/>
      <c r="CI43" s="847"/>
      <c r="CJ43" s="847"/>
      <c r="CK43" s="847"/>
      <c r="CL43" s="847"/>
      <c r="CM43" s="847"/>
      <c r="CN43" s="847"/>
      <c r="CO43" s="847"/>
      <c r="CP43" s="847"/>
      <c r="CQ43" s="847"/>
      <c r="CR43" s="847"/>
      <c r="CS43" s="847"/>
      <c r="CT43" s="847"/>
      <c r="CU43" s="847"/>
      <c r="CV43" s="847"/>
      <c r="CW43" s="847"/>
      <c r="CX43" s="847"/>
      <c r="CY43" s="847"/>
      <c r="CZ43" s="847"/>
      <c r="DA43" s="847"/>
      <c r="DB43" s="847"/>
      <c r="DC43" s="847"/>
      <c r="DD43" s="847"/>
      <c r="DE43" s="847"/>
      <c r="DF43" s="847"/>
    </row>
    <row r="44" spans="1:110" s="27" customFormat="1" ht="15.75" hidden="1" customHeight="1" thickBot="1">
      <c r="A44" s="24"/>
      <c r="B44" s="25"/>
      <c r="C44" s="50"/>
      <c r="D44" s="36"/>
      <c r="E44" s="57">
        <v>10</v>
      </c>
      <c r="F44" s="57"/>
      <c r="G44" s="57"/>
      <c r="H44" s="36"/>
      <c r="I44" s="57"/>
      <c r="J44" s="46"/>
      <c r="K44" s="117"/>
      <c r="L44" s="36"/>
      <c r="M44" s="36"/>
      <c r="N44" s="57"/>
      <c r="O44" s="36"/>
      <c r="P44" s="36"/>
      <c r="Q44" s="36"/>
      <c r="R44" s="36"/>
      <c r="S44" s="36"/>
      <c r="T44" s="36"/>
      <c r="U44" s="47"/>
      <c r="V44" s="57"/>
      <c r="W44" s="57"/>
      <c r="X44" s="57"/>
      <c r="Y44" s="57"/>
      <c r="Z44" s="60"/>
      <c r="AA44" s="36"/>
      <c r="AB44" s="36"/>
      <c r="AC44" s="26"/>
      <c r="AD44" s="36"/>
      <c r="AE44" s="47"/>
      <c r="AF44" s="103">
        <f>SUM(C44:AE44)</f>
        <v>10</v>
      </c>
      <c r="AG44" s="847"/>
      <c r="AH44" s="847"/>
      <c r="AI44" s="847"/>
      <c r="AJ44" s="847"/>
      <c r="AK44" s="847"/>
      <c r="AL44" s="847"/>
      <c r="AM44" s="847"/>
      <c r="AN44" s="847"/>
      <c r="AO44" s="847"/>
      <c r="AP44" s="847"/>
      <c r="AQ44" s="847"/>
      <c r="AR44" s="847"/>
      <c r="AS44" s="847"/>
      <c r="AT44" s="847"/>
      <c r="AU44" s="847"/>
      <c r="AV44" s="847"/>
      <c r="AW44" s="847"/>
      <c r="AX44" s="847"/>
      <c r="AY44" s="847"/>
      <c r="AZ44" s="847"/>
      <c r="BA44" s="847"/>
      <c r="BB44" s="847"/>
      <c r="BC44" s="847"/>
      <c r="BD44" s="847"/>
      <c r="BE44" s="847"/>
      <c r="BF44" s="847"/>
      <c r="BG44" s="847"/>
      <c r="BH44" s="847"/>
      <c r="BI44" s="847"/>
      <c r="BJ44" s="847"/>
      <c r="BK44" s="847"/>
      <c r="BL44" s="847"/>
      <c r="BM44" s="847"/>
      <c r="BN44" s="847"/>
      <c r="BO44" s="847"/>
      <c r="BP44" s="847"/>
      <c r="BQ44" s="847"/>
      <c r="BR44" s="847"/>
      <c r="BS44" s="847"/>
      <c r="BT44" s="847"/>
      <c r="BU44" s="847"/>
      <c r="BV44" s="847"/>
      <c r="BW44" s="847"/>
      <c r="BX44" s="847"/>
      <c r="BY44" s="847"/>
      <c r="BZ44" s="847"/>
      <c r="CA44" s="847"/>
      <c r="CB44" s="847"/>
      <c r="CC44" s="847"/>
      <c r="CD44" s="847"/>
      <c r="CE44" s="847"/>
      <c r="CF44" s="847"/>
      <c r="CG44" s="847"/>
      <c r="CH44" s="847"/>
      <c r="CI44" s="847"/>
      <c r="CJ44" s="847"/>
      <c r="CK44" s="847"/>
      <c r="CL44" s="847"/>
      <c r="CM44" s="847"/>
      <c r="CN44" s="847"/>
      <c r="CO44" s="847"/>
      <c r="CP44" s="847"/>
      <c r="CQ44" s="847"/>
      <c r="CR44" s="847"/>
      <c r="CS44" s="847"/>
      <c r="CT44" s="847"/>
      <c r="CU44" s="847"/>
      <c r="CV44" s="847"/>
      <c r="CW44" s="847"/>
      <c r="CX44" s="847"/>
      <c r="CY44" s="847"/>
      <c r="CZ44" s="847"/>
      <c r="DA44" s="847"/>
      <c r="DB44" s="847"/>
      <c r="DC44" s="847"/>
      <c r="DD44" s="847"/>
      <c r="DE44" s="847"/>
      <c r="DF44" s="847"/>
    </row>
    <row r="45" spans="1:110" ht="18.75">
      <c r="A45" s="19">
        <v>19</v>
      </c>
      <c r="B45" s="20" t="s">
        <v>62</v>
      </c>
      <c r="C45" s="48">
        <v>8</v>
      </c>
      <c r="D45" s="40"/>
      <c r="E45" s="56">
        <v>0</v>
      </c>
      <c r="F45" s="56">
        <v>0</v>
      </c>
      <c r="G45" s="56"/>
      <c r="H45" s="40"/>
      <c r="I45" s="56">
        <v>0</v>
      </c>
      <c r="J45" s="44"/>
      <c r="K45" s="116"/>
      <c r="L45" s="40"/>
      <c r="M45" s="40"/>
      <c r="N45" s="56">
        <v>0</v>
      </c>
      <c r="O45" s="40"/>
      <c r="P45" s="40"/>
      <c r="Q45" s="40">
        <v>0</v>
      </c>
      <c r="R45" s="40"/>
      <c r="S45" s="40"/>
      <c r="T45" s="40"/>
      <c r="U45" s="49"/>
      <c r="V45" s="69">
        <v>100</v>
      </c>
      <c r="W45" s="69">
        <v>100</v>
      </c>
      <c r="X45" s="69">
        <v>100</v>
      </c>
      <c r="Y45" s="69">
        <v>100</v>
      </c>
      <c r="Z45" s="59"/>
      <c r="AA45" s="40"/>
      <c r="AB45" s="40"/>
      <c r="AC45" s="21"/>
      <c r="AD45" s="40"/>
      <c r="AE45" s="49"/>
      <c r="AF45" s="104"/>
      <c r="AG45" s="847"/>
      <c r="AH45" s="847"/>
      <c r="AI45" s="847"/>
      <c r="AJ45" s="847"/>
      <c r="AK45" s="847"/>
      <c r="AL45" s="847"/>
      <c r="AM45" s="847"/>
      <c r="AN45" s="847"/>
      <c r="AO45" s="847"/>
      <c r="AP45" s="847"/>
      <c r="AQ45" s="847"/>
      <c r="AR45" s="847"/>
      <c r="AS45" s="847"/>
      <c r="AT45" s="847"/>
      <c r="AU45" s="847"/>
      <c r="AV45" s="847"/>
      <c r="AW45" s="847"/>
      <c r="AX45" s="847"/>
      <c r="AY45" s="847"/>
      <c r="AZ45" s="847"/>
      <c r="BA45" s="847"/>
      <c r="BB45" s="847"/>
      <c r="BC45" s="847"/>
      <c r="BD45" s="847"/>
      <c r="BE45" s="847"/>
      <c r="BF45" s="847"/>
      <c r="BG45" s="847"/>
      <c r="BH45" s="847"/>
      <c r="BI45" s="847"/>
      <c r="BJ45" s="847"/>
      <c r="BK45" s="847"/>
      <c r="BL45" s="847"/>
      <c r="BM45" s="847"/>
      <c r="BN45" s="847"/>
      <c r="BO45" s="847"/>
      <c r="BP45" s="847"/>
      <c r="BQ45" s="847"/>
      <c r="BR45" s="847"/>
      <c r="BS45" s="847"/>
      <c r="BT45" s="847"/>
      <c r="BU45" s="847"/>
      <c r="BV45" s="847"/>
      <c r="BW45" s="847"/>
      <c r="BX45" s="847"/>
      <c r="BY45" s="847"/>
      <c r="BZ45" s="847"/>
      <c r="CA45" s="847"/>
      <c r="CB45" s="847"/>
      <c r="CC45" s="847"/>
      <c r="CD45" s="847"/>
      <c r="CE45" s="847"/>
      <c r="CF45" s="847"/>
      <c r="CG45" s="847"/>
      <c r="CH45" s="847"/>
      <c r="CI45" s="847"/>
      <c r="CJ45" s="847"/>
      <c r="CK45" s="847"/>
      <c r="CL45" s="847"/>
      <c r="CM45" s="847"/>
      <c r="CN45" s="847"/>
      <c r="CO45" s="847"/>
      <c r="CP45" s="847"/>
      <c r="CQ45" s="847"/>
      <c r="CR45" s="847"/>
      <c r="CS45" s="847"/>
      <c r="CT45" s="847"/>
      <c r="CU45" s="847"/>
      <c r="CV45" s="847"/>
      <c r="CW45" s="847"/>
      <c r="CX45" s="847"/>
      <c r="CY45" s="847"/>
      <c r="CZ45" s="847"/>
      <c r="DA45" s="847"/>
      <c r="DB45" s="847"/>
      <c r="DC45" s="847"/>
      <c r="DD45" s="847"/>
      <c r="DE45" s="847"/>
      <c r="DF45" s="847"/>
    </row>
    <row r="46" spans="1:110" s="27" customFormat="1" ht="16.5" customHeight="1" thickBot="1">
      <c r="A46" s="203"/>
      <c r="B46" s="204"/>
      <c r="C46" s="214"/>
      <c r="D46" s="215"/>
      <c r="E46" s="207">
        <v>10</v>
      </c>
      <c r="F46" s="207">
        <v>10</v>
      </c>
      <c r="G46" s="207">
        <v>10</v>
      </c>
      <c r="H46" s="215"/>
      <c r="I46" s="207">
        <v>10</v>
      </c>
      <c r="J46" s="206">
        <v>10</v>
      </c>
      <c r="K46" s="206"/>
      <c r="L46" s="215"/>
      <c r="M46" s="215"/>
      <c r="N46" s="207"/>
      <c r="O46" s="215"/>
      <c r="P46" s="215"/>
      <c r="Q46" s="215"/>
      <c r="R46" s="215"/>
      <c r="S46" s="215"/>
      <c r="T46" s="215"/>
      <c r="U46" s="216"/>
      <c r="V46" s="207">
        <v>10</v>
      </c>
      <c r="W46" s="207">
        <v>10</v>
      </c>
      <c r="X46" s="207">
        <v>10</v>
      </c>
      <c r="Y46" s="207">
        <v>10</v>
      </c>
      <c r="Z46" s="210"/>
      <c r="AA46" s="215"/>
      <c r="AB46" s="215"/>
      <c r="AC46" s="211"/>
      <c r="AD46" s="215"/>
      <c r="AE46" s="216"/>
      <c r="AF46" s="212">
        <f>SUM(C46:AE46)</f>
        <v>90</v>
      </c>
      <c r="AG46" s="847"/>
      <c r="AH46" s="847"/>
      <c r="AI46" s="847"/>
      <c r="AJ46" s="847"/>
      <c r="AK46" s="847"/>
      <c r="AL46" s="847"/>
      <c r="AM46" s="847"/>
      <c r="AN46" s="847"/>
      <c r="AO46" s="847"/>
      <c r="AP46" s="847"/>
      <c r="AQ46" s="847"/>
      <c r="AR46" s="847"/>
      <c r="AS46" s="847"/>
      <c r="AT46" s="847"/>
      <c r="AU46" s="847"/>
      <c r="AV46" s="847"/>
      <c r="AW46" s="847"/>
      <c r="AX46" s="847"/>
      <c r="AY46" s="847"/>
      <c r="AZ46" s="847"/>
      <c r="BA46" s="847"/>
      <c r="BB46" s="847"/>
      <c r="BC46" s="847"/>
      <c r="BD46" s="847"/>
      <c r="BE46" s="847"/>
      <c r="BF46" s="847"/>
      <c r="BG46" s="847"/>
      <c r="BH46" s="847"/>
      <c r="BI46" s="847"/>
      <c r="BJ46" s="847"/>
      <c r="BK46" s="847"/>
      <c r="BL46" s="847"/>
      <c r="BM46" s="847"/>
      <c r="BN46" s="847"/>
      <c r="BO46" s="847"/>
      <c r="BP46" s="847"/>
      <c r="BQ46" s="847"/>
      <c r="BR46" s="847"/>
      <c r="BS46" s="847"/>
      <c r="BT46" s="847"/>
      <c r="BU46" s="847"/>
      <c r="BV46" s="847"/>
      <c r="BW46" s="847"/>
      <c r="BX46" s="847"/>
      <c r="BY46" s="847"/>
      <c r="BZ46" s="847"/>
      <c r="CA46" s="847"/>
      <c r="CB46" s="847"/>
      <c r="CC46" s="847"/>
      <c r="CD46" s="847"/>
      <c r="CE46" s="847"/>
      <c r="CF46" s="847"/>
      <c r="CG46" s="847"/>
      <c r="CH46" s="847"/>
      <c r="CI46" s="847"/>
      <c r="CJ46" s="847"/>
      <c r="CK46" s="847"/>
      <c r="CL46" s="847"/>
      <c r="CM46" s="847"/>
      <c r="CN46" s="847"/>
      <c r="CO46" s="847"/>
      <c r="CP46" s="847"/>
      <c r="CQ46" s="847"/>
      <c r="CR46" s="847"/>
      <c r="CS46" s="847"/>
      <c r="CT46" s="847"/>
      <c r="CU46" s="847"/>
      <c r="CV46" s="847"/>
      <c r="CW46" s="847"/>
      <c r="CX46" s="847"/>
      <c r="CY46" s="847"/>
      <c r="CZ46" s="847"/>
      <c r="DA46" s="847"/>
      <c r="DB46" s="847"/>
      <c r="DC46" s="847"/>
      <c r="DD46" s="847"/>
      <c r="DE46" s="847"/>
      <c r="DF46" s="847"/>
    </row>
    <row r="47" spans="1:110" s="3" customFormat="1" ht="18.75">
      <c r="A47" s="19">
        <v>20</v>
      </c>
      <c r="B47" s="20" t="s">
        <v>63</v>
      </c>
      <c r="C47" s="48">
        <v>107</v>
      </c>
      <c r="D47" s="42"/>
      <c r="E47" s="56">
        <v>5</v>
      </c>
      <c r="F47" s="56">
        <v>266</v>
      </c>
      <c r="G47" s="56"/>
      <c r="H47" s="200"/>
      <c r="I47" s="56">
        <v>19</v>
      </c>
      <c r="J47" s="110"/>
      <c r="K47" s="118"/>
      <c r="L47" s="42"/>
      <c r="M47" s="42"/>
      <c r="N47" s="56">
        <v>58</v>
      </c>
      <c r="O47" s="40"/>
      <c r="P47" s="40"/>
      <c r="Q47" s="40">
        <v>67.8</v>
      </c>
      <c r="R47" s="40"/>
      <c r="S47" s="40"/>
      <c r="T47" s="34"/>
      <c r="U47" s="45"/>
      <c r="V47" s="69"/>
      <c r="W47" s="69"/>
      <c r="X47" s="69"/>
      <c r="Y47" s="69"/>
      <c r="Z47" s="59"/>
      <c r="AA47" s="34"/>
      <c r="AB47" s="34"/>
      <c r="AC47" s="21"/>
      <c r="AD47" s="34"/>
      <c r="AE47" s="45"/>
      <c r="AF47" s="102"/>
      <c r="AG47" s="847"/>
      <c r="AH47" s="847"/>
      <c r="AI47" s="847"/>
      <c r="AJ47" s="847"/>
      <c r="AK47" s="847"/>
      <c r="AL47" s="847"/>
      <c r="AM47" s="847"/>
      <c r="AN47" s="847"/>
      <c r="AO47" s="847"/>
      <c r="AP47" s="847"/>
      <c r="AQ47" s="847"/>
      <c r="AR47" s="847"/>
      <c r="AS47" s="847"/>
      <c r="AT47" s="847"/>
      <c r="AU47" s="847"/>
      <c r="AV47" s="847"/>
      <c r="AW47" s="847"/>
      <c r="AX47" s="847"/>
      <c r="AY47" s="847"/>
      <c r="AZ47" s="847"/>
      <c r="BA47" s="847"/>
      <c r="BB47" s="847"/>
      <c r="BC47" s="847"/>
      <c r="BD47" s="847"/>
      <c r="BE47" s="847"/>
      <c r="BF47" s="847"/>
      <c r="BG47" s="847"/>
      <c r="BH47" s="847"/>
      <c r="BI47" s="847"/>
      <c r="BJ47" s="847"/>
      <c r="BK47" s="847"/>
      <c r="BL47" s="847"/>
      <c r="BM47" s="847"/>
      <c r="BN47" s="847"/>
      <c r="BO47" s="847"/>
      <c r="BP47" s="847"/>
      <c r="BQ47" s="847"/>
      <c r="BR47" s="847"/>
      <c r="BS47" s="847"/>
      <c r="BT47" s="847"/>
      <c r="BU47" s="847"/>
      <c r="BV47" s="847"/>
      <c r="BW47" s="847"/>
      <c r="BX47" s="847"/>
      <c r="BY47" s="847"/>
      <c r="BZ47" s="847"/>
      <c r="CA47" s="847"/>
      <c r="CB47" s="847"/>
      <c r="CC47" s="847"/>
      <c r="CD47" s="847"/>
      <c r="CE47" s="847"/>
      <c r="CF47" s="847"/>
      <c r="CG47" s="847"/>
      <c r="CH47" s="847"/>
      <c r="CI47" s="847"/>
      <c r="CJ47" s="847"/>
      <c r="CK47" s="847"/>
      <c r="CL47" s="847"/>
      <c r="CM47" s="847"/>
      <c r="CN47" s="847"/>
      <c r="CO47" s="847"/>
      <c r="CP47" s="847"/>
      <c r="CQ47" s="847"/>
      <c r="CR47" s="847"/>
      <c r="CS47" s="847"/>
      <c r="CT47" s="847"/>
      <c r="CU47" s="847"/>
      <c r="CV47" s="847"/>
      <c r="CW47" s="847"/>
      <c r="CX47" s="847"/>
      <c r="CY47" s="847"/>
      <c r="CZ47" s="847"/>
      <c r="DA47" s="847"/>
      <c r="DB47" s="847"/>
      <c r="DC47" s="847"/>
      <c r="DD47" s="847"/>
      <c r="DE47" s="847"/>
      <c r="DF47" s="847"/>
    </row>
    <row r="48" spans="1:110" s="31" customFormat="1" ht="17.25" customHeight="1" thickBot="1">
      <c r="A48" s="203"/>
      <c r="B48" s="204"/>
      <c r="C48" s="214"/>
      <c r="D48" s="235"/>
      <c r="E48" s="207">
        <v>7</v>
      </c>
      <c r="F48" s="207">
        <v>0</v>
      </c>
      <c r="G48" s="207">
        <v>0</v>
      </c>
      <c r="H48" s="215"/>
      <c r="I48" s="207">
        <v>2</v>
      </c>
      <c r="J48" s="234">
        <v>10</v>
      </c>
      <c r="K48" s="234"/>
      <c r="L48" s="235"/>
      <c r="M48" s="235"/>
      <c r="N48" s="207">
        <v>6</v>
      </c>
      <c r="O48" s="215"/>
      <c r="P48" s="215"/>
      <c r="Q48" s="215">
        <v>7</v>
      </c>
      <c r="R48" s="215"/>
      <c r="S48" s="215"/>
      <c r="T48" s="205"/>
      <c r="U48" s="208"/>
      <c r="V48" s="207"/>
      <c r="W48" s="207"/>
      <c r="X48" s="207"/>
      <c r="Y48" s="207"/>
      <c r="Z48" s="210"/>
      <c r="AA48" s="205"/>
      <c r="AB48" s="205"/>
      <c r="AC48" s="211"/>
      <c r="AD48" s="205"/>
      <c r="AE48" s="208"/>
      <c r="AF48" s="213">
        <f>SUM(C48:AE48)</f>
        <v>32</v>
      </c>
      <c r="AG48" s="847"/>
      <c r="AH48" s="847"/>
      <c r="AI48" s="847"/>
      <c r="AJ48" s="847"/>
      <c r="AK48" s="847"/>
      <c r="AL48" s="847"/>
      <c r="AM48" s="847"/>
      <c r="AN48" s="847"/>
      <c r="AO48" s="847"/>
      <c r="AP48" s="847"/>
      <c r="AQ48" s="847"/>
      <c r="AR48" s="847"/>
      <c r="AS48" s="847"/>
      <c r="AT48" s="847"/>
      <c r="AU48" s="847"/>
      <c r="AV48" s="847"/>
      <c r="AW48" s="847"/>
      <c r="AX48" s="847"/>
      <c r="AY48" s="847"/>
      <c r="AZ48" s="847"/>
      <c r="BA48" s="847"/>
      <c r="BB48" s="847"/>
      <c r="BC48" s="847"/>
      <c r="BD48" s="847"/>
      <c r="BE48" s="847"/>
      <c r="BF48" s="847"/>
      <c r="BG48" s="847"/>
      <c r="BH48" s="847"/>
      <c r="BI48" s="847"/>
      <c r="BJ48" s="847"/>
      <c r="BK48" s="847"/>
      <c r="BL48" s="847"/>
      <c r="BM48" s="847"/>
      <c r="BN48" s="847"/>
      <c r="BO48" s="847"/>
      <c r="BP48" s="847"/>
      <c r="BQ48" s="847"/>
      <c r="BR48" s="847"/>
      <c r="BS48" s="847"/>
      <c r="BT48" s="847"/>
      <c r="BU48" s="847"/>
      <c r="BV48" s="847"/>
      <c r="BW48" s="847"/>
      <c r="BX48" s="847"/>
      <c r="BY48" s="847"/>
      <c r="BZ48" s="847"/>
      <c r="CA48" s="847"/>
      <c r="CB48" s="847"/>
      <c r="CC48" s="847"/>
      <c r="CD48" s="847"/>
      <c r="CE48" s="847"/>
      <c r="CF48" s="847"/>
      <c r="CG48" s="847"/>
      <c r="CH48" s="847"/>
      <c r="CI48" s="847"/>
      <c r="CJ48" s="847"/>
      <c r="CK48" s="847"/>
      <c r="CL48" s="847"/>
      <c r="CM48" s="847"/>
      <c r="CN48" s="847"/>
      <c r="CO48" s="847"/>
      <c r="CP48" s="847"/>
      <c r="CQ48" s="847"/>
      <c r="CR48" s="847"/>
      <c r="CS48" s="847"/>
      <c r="CT48" s="847"/>
      <c r="CU48" s="847"/>
      <c r="CV48" s="847"/>
      <c r="CW48" s="847"/>
      <c r="CX48" s="847"/>
      <c r="CY48" s="847"/>
      <c r="CZ48" s="847"/>
      <c r="DA48" s="847"/>
      <c r="DB48" s="847"/>
      <c r="DC48" s="847"/>
      <c r="DD48" s="847"/>
      <c r="DE48" s="847"/>
      <c r="DF48" s="847"/>
    </row>
    <row r="49" spans="1:110" s="4" customFormat="1" ht="19.5" hidden="1" thickBot="1">
      <c r="A49" s="19">
        <v>21</v>
      </c>
      <c r="B49" s="22" t="s">
        <v>64</v>
      </c>
      <c r="C49" s="54">
        <v>6</v>
      </c>
      <c r="D49" s="39"/>
      <c r="E49" s="64">
        <v>0</v>
      </c>
      <c r="F49" s="64"/>
      <c r="G49" s="64"/>
      <c r="H49" s="39"/>
      <c r="I49" s="64"/>
      <c r="J49" s="115"/>
      <c r="K49" s="116"/>
      <c r="L49" s="39"/>
      <c r="M49" s="39"/>
      <c r="N49" s="64">
        <v>2</v>
      </c>
      <c r="O49" s="39"/>
      <c r="P49" s="39"/>
      <c r="Q49" s="39">
        <v>51.01</v>
      </c>
      <c r="R49" s="39"/>
      <c r="S49" s="39"/>
      <c r="T49" s="39"/>
      <c r="U49" s="55"/>
      <c r="V49" s="66"/>
      <c r="W49" s="66"/>
      <c r="X49" s="66"/>
      <c r="Y49" s="66"/>
      <c r="Z49" s="63"/>
      <c r="AA49" s="39"/>
      <c r="AB49" s="39"/>
      <c r="AC49" s="23"/>
      <c r="AD49" s="39"/>
      <c r="AE49" s="55"/>
      <c r="AF49" s="106"/>
      <c r="AG49" s="847"/>
      <c r="AH49" s="847"/>
      <c r="AI49" s="847"/>
      <c r="AJ49" s="847"/>
      <c r="AK49" s="847"/>
      <c r="AL49" s="847"/>
      <c r="AM49" s="847"/>
      <c r="AN49" s="847"/>
      <c r="AO49" s="847"/>
      <c r="AP49" s="847"/>
      <c r="AQ49" s="847"/>
      <c r="AR49" s="847"/>
      <c r="AS49" s="847"/>
      <c r="AT49" s="847"/>
      <c r="AU49" s="847"/>
      <c r="AV49" s="847"/>
      <c r="AW49" s="847"/>
      <c r="AX49" s="847"/>
      <c r="AY49" s="847"/>
      <c r="AZ49" s="847"/>
      <c r="BA49" s="847"/>
      <c r="BB49" s="847"/>
      <c r="BC49" s="847"/>
      <c r="BD49" s="847"/>
      <c r="BE49" s="847"/>
      <c r="BF49" s="847"/>
      <c r="BG49" s="847"/>
      <c r="BH49" s="847"/>
      <c r="BI49" s="847"/>
      <c r="BJ49" s="847"/>
      <c r="BK49" s="847"/>
      <c r="BL49" s="847"/>
      <c r="BM49" s="847"/>
      <c r="BN49" s="847"/>
      <c r="BO49" s="847"/>
      <c r="BP49" s="847"/>
      <c r="BQ49" s="847"/>
      <c r="BR49" s="847"/>
      <c r="BS49" s="847"/>
      <c r="BT49" s="847"/>
      <c r="BU49" s="847"/>
      <c r="BV49" s="847"/>
      <c r="BW49" s="847"/>
      <c r="BX49" s="847"/>
      <c r="BY49" s="847"/>
      <c r="BZ49" s="847"/>
      <c r="CA49" s="847"/>
      <c r="CB49" s="847"/>
      <c r="CC49" s="847"/>
      <c r="CD49" s="847"/>
      <c r="CE49" s="847"/>
      <c r="CF49" s="847"/>
      <c r="CG49" s="847"/>
      <c r="CH49" s="847"/>
      <c r="CI49" s="847"/>
      <c r="CJ49" s="847"/>
      <c r="CK49" s="847"/>
      <c r="CL49" s="847"/>
      <c r="CM49" s="847"/>
      <c r="CN49" s="847"/>
      <c r="CO49" s="847"/>
      <c r="CP49" s="847"/>
      <c r="CQ49" s="847"/>
      <c r="CR49" s="847"/>
      <c r="CS49" s="847"/>
      <c r="CT49" s="847"/>
      <c r="CU49" s="847"/>
      <c r="CV49" s="847"/>
      <c r="CW49" s="847"/>
      <c r="CX49" s="847"/>
      <c r="CY49" s="847"/>
      <c r="CZ49" s="847"/>
      <c r="DA49" s="847"/>
      <c r="DB49" s="847"/>
      <c r="DC49" s="847"/>
      <c r="DD49" s="847"/>
      <c r="DE49" s="847"/>
      <c r="DF49" s="847"/>
    </row>
    <row r="50" spans="1:110" s="27" customFormat="1" ht="16.5" hidden="1" customHeight="1" thickBot="1">
      <c r="A50" s="24"/>
      <c r="B50" s="25"/>
      <c r="C50" s="50"/>
      <c r="D50" s="36"/>
      <c r="E50" s="57">
        <v>10</v>
      </c>
      <c r="F50" s="57"/>
      <c r="G50" s="57"/>
      <c r="H50" s="36"/>
      <c r="I50" s="57"/>
      <c r="J50" s="46"/>
      <c r="K50" s="117"/>
      <c r="L50" s="36"/>
      <c r="M50" s="36"/>
      <c r="N50" s="57"/>
      <c r="O50" s="36"/>
      <c r="P50" s="36"/>
      <c r="Q50" s="36">
        <v>6</v>
      </c>
      <c r="R50" s="36"/>
      <c r="S50" s="36"/>
      <c r="T50" s="36"/>
      <c r="U50" s="47"/>
      <c r="V50" s="57"/>
      <c r="W50" s="57"/>
      <c r="X50" s="57"/>
      <c r="Y50" s="57"/>
      <c r="Z50" s="60"/>
      <c r="AA50" s="36"/>
      <c r="AB50" s="36"/>
      <c r="AC50" s="26"/>
      <c r="AD50" s="36"/>
      <c r="AE50" s="47"/>
      <c r="AF50" s="101">
        <f>SUM(C50:AE50)</f>
        <v>16</v>
      </c>
      <c r="AG50" s="847"/>
      <c r="AH50" s="847"/>
      <c r="AI50" s="847"/>
      <c r="AJ50" s="847"/>
      <c r="AK50" s="847"/>
      <c r="AL50" s="847"/>
      <c r="AM50" s="847"/>
      <c r="AN50" s="847"/>
      <c r="AO50" s="847"/>
      <c r="AP50" s="847"/>
      <c r="AQ50" s="847"/>
      <c r="AR50" s="847"/>
      <c r="AS50" s="847"/>
      <c r="AT50" s="847"/>
      <c r="AU50" s="847"/>
      <c r="AV50" s="847"/>
      <c r="AW50" s="847"/>
      <c r="AX50" s="847"/>
      <c r="AY50" s="847"/>
      <c r="AZ50" s="847"/>
      <c r="BA50" s="847"/>
      <c r="BB50" s="847"/>
      <c r="BC50" s="847"/>
      <c r="BD50" s="847"/>
      <c r="BE50" s="847"/>
      <c r="BF50" s="847"/>
      <c r="BG50" s="847"/>
      <c r="BH50" s="847"/>
      <c r="BI50" s="847"/>
      <c r="BJ50" s="847"/>
      <c r="BK50" s="847"/>
      <c r="BL50" s="847"/>
      <c r="BM50" s="847"/>
      <c r="BN50" s="847"/>
      <c r="BO50" s="847"/>
      <c r="BP50" s="847"/>
      <c r="BQ50" s="847"/>
      <c r="BR50" s="847"/>
      <c r="BS50" s="847"/>
      <c r="BT50" s="847"/>
      <c r="BU50" s="847"/>
      <c r="BV50" s="847"/>
      <c r="BW50" s="847"/>
      <c r="BX50" s="847"/>
      <c r="BY50" s="847"/>
      <c r="BZ50" s="847"/>
      <c r="CA50" s="847"/>
      <c r="CB50" s="847"/>
      <c r="CC50" s="847"/>
      <c r="CD50" s="847"/>
      <c r="CE50" s="847"/>
      <c r="CF50" s="847"/>
      <c r="CG50" s="847"/>
      <c r="CH50" s="847"/>
      <c r="CI50" s="847"/>
      <c r="CJ50" s="847"/>
      <c r="CK50" s="847"/>
      <c r="CL50" s="847"/>
      <c r="CM50" s="847"/>
      <c r="CN50" s="847"/>
      <c r="CO50" s="847"/>
      <c r="CP50" s="847"/>
      <c r="CQ50" s="847"/>
      <c r="CR50" s="847"/>
      <c r="CS50" s="847"/>
      <c r="CT50" s="847"/>
      <c r="CU50" s="847"/>
      <c r="CV50" s="847"/>
      <c r="CW50" s="847"/>
      <c r="CX50" s="847"/>
      <c r="CY50" s="847"/>
      <c r="CZ50" s="847"/>
      <c r="DA50" s="847"/>
      <c r="DB50" s="847"/>
      <c r="DC50" s="847"/>
      <c r="DD50" s="847"/>
      <c r="DE50" s="847"/>
      <c r="DF50" s="847"/>
    </row>
    <row r="51" spans="1:110" ht="19.5" hidden="1" thickBot="1">
      <c r="A51" s="19">
        <v>22</v>
      </c>
      <c r="B51" s="20" t="s">
        <v>65</v>
      </c>
      <c r="C51" s="48">
        <v>4</v>
      </c>
      <c r="D51" s="56"/>
      <c r="E51" s="56">
        <v>0</v>
      </c>
      <c r="F51" s="56"/>
      <c r="G51" s="56"/>
      <c r="H51" s="56"/>
      <c r="I51" s="56"/>
      <c r="J51" s="44"/>
      <c r="K51" s="116"/>
      <c r="L51" s="40"/>
      <c r="M51" s="40"/>
      <c r="N51" s="56">
        <v>0</v>
      </c>
      <c r="O51" s="40"/>
      <c r="P51" s="40"/>
      <c r="Q51" s="40">
        <v>100</v>
      </c>
      <c r="R51" s="40"/>
      <c r="S51" s="40"/>
      <c r="T51" s="34"/>
      <c r="U51" s="49"/>
      <c r="V51" s="69"/>
      <c r="W51" s="69"/>
      <c r="X51" s="69"/>
      <c r="Y51" s="69"/>
      <c r="Z51" s="59"/>
      <c r="AA51" s="40"/>
      <c r="AB51" s="40"/>
      <c r="AC51" s="21"/>
      <c r="AD51" s="40"/>
      <c r="AE51" s="49"/>
      <c r="AF51" s="108"/>
      <c r="AG51" s="847"/>
      <c r="AH51" s="847"/>
      <c r="AI51" s="847"/>
      <c r="AJ51" s="847"/>
      <c r="AK51" s="847"/>
      <c r="AL51" s="847"/>
      <c r="AM51" s="847"/>
      <c r="AN51" s="847"/>
      <c r="AO51" s="847"/>
      <c r="AP51" s="847"/>
      <c r="AQ51" s="847"/>
      <c r="AR51" s="847"/>
      <c r="AS51" s="847"/>
      <c r="AT51" s="847"/>
      <c r="AU51" s="847"/>
      <c r="AV51" s="847"/>
      <c r="AW51" s="847"/>
      <c r="AX51" s="847"/>
      <c r="AY51" s="847"/>
      <c r="AZ51" s="847"/>
      <c r="BA51" s="847"/>
      <c r="BB51" s="847"/>
      <c r="BC51" s="847"/>
      <c r="BD51" s="847"/>
      <c r="BE51" s="847"/>
      <c r="BF51" s="847"/>
      <c r="BG51" s="847"/>
      <c r="BH51" s="847"/>
      <c r="BI51" s="847"/>
      <c r="BJ51" s="847"/>
      <c r="BK51" s="847"/>
      <c r="BL51" s="847"/>
      <c r="BM51" s="847"/>
      <c r="BN51" s="847"/>
      <c r="BO51" s="847"/>
      <c r="BP51" s="847"/>
      <c r="BQ51" s="847"/>
      <c r="BR51" s="847"/>
      <c r="BS51" s="847"/>
      <c r="BT51" s="847"/>
      <c r="BU51" s="847"/>
      <c r="BV51" s="847"/>
      <c r="BW51" s="847"/>
      <c r="BX51" s="847"/>
      <c r="BY51" s="847"/>
      <c r="BZ51" s="847"/>
      <c r="CA51" s="847"/>
      <c r="CB51" s="847"/>
      <c r="CC51" s="847"/>
      <c r="CD51" s="847"/>
      <c r="CE51" s="847"/>
      <c r="CF51" s="847"/>
      <c r="CG51" s="847"/>
      <c r="CH51" s="847"/>
      <c r="CI51" s="847"/>
      <c r="CJ51" s="847"/>
      <c r="CK51" s="847"/>
      <c r="CL51" s="847"/>
      <c r="CM51" s="847"/>
      <c r="CN51" s="847"/>
      <c r="CO51" s="847"/>
      <c r="CP51" s="847"/>
      <c r="CQ51" s="847"/>
      <c r="CR51" s="847"/>
      <c r="CS51" s="847"/>
      <c r="CT51" s="847"/>
      <c r="CU51" s="847"/>
      <c r="CV51" s="847"/>
      <c r="CW51" s="847"/>
      <c r="CX51" s="847"/>
      <c r="CY51" s="847"/>
      <c r="CZ51" s="847"/>
      <c r="DA51" s="847"/>
      <c r="DB51" s="847"/>
      <c r="DC51" s="847"/>
      <c r="DD51" s="847"/>
      <c r="DE51" s="847"/>
      <c r="DF51" s="847"/>
    </row>
    <row r="52" spans="1:110" s="27" customFormat="1" ht="19.5" hidden="1" thickBot="1">
      <c r="A52" s="24"/>
      <c r="B52" s="25"/>
      <c r="C52" s="50"/>
      <c r="D52" s="57"/>
      <c r="E52" s="57">
        <v>10</v>
      </c>
      <c r="F52" s="57"/>
      <c r="G52" s="57"/>
      <c r="H52" s="57"/>
      <c r="I52" s="57"/>
      <c r="J52" s="46"/>
      <c r="K52" s="117"/>
      <c r="L52" s="41"/>
      <c r="M52" s="41"/>
      <c r="N52" s="57"/>
      <c r="O52" s="41"/>
      <c r="P52" s="41"/>
      <c r="Q52" s="41">
        <v>10</v>
      </c>
      <c r="R52" s="41"/>
      <c r="S52" s="41"/>
      <c r="T52" s="36"/>
      <c r="U52" s="51"/>
      <c r="V52" s="57"/>
      <c r="W52" s="57"/>
      <c r="X52" s="57"/>
      <c r="Y52" s="57"/>
      <c r="Z52" s="60"/>
      <c r="AA52" s="41"/>
      <c r="AB52" s="41"/>
      <c r="AC52" s="26"/>
      <c r="AD52" s="41"/>
      <c r="AE52" s="51"/>
      <c r="AF52" s="103">
        <f>SUM(C52:AE52)</f>
        <v>20</v>
      </c>
      <c r="AG52" s="847"/>
      <c r="AH52" s="847"/>
      <c r="AI52" s="847"/>
      <c r="AJ52" s="847"/>
      <c r="AK52" s="847"/>
      <c r="AL52" s="847"/>
      <c r="AM52" s="847"/>
      <c r="AN52" s="847"/>
      <c r="AO52" s="847"/>
      <c r="AP52" s="847"/>
      <c r="AQ52" s="847"/>
      <c r="AR52" s="847"/>
      <c r="AS52" s="847"/>
      <c r="AT52" s="847"/>
      <c r="AU52" s="847"/>
      <c r="AV52" s="847"/>
      <c r="AW52" s="847"/>
      <c r="AX52" s="847"/>
      <c r="AY52" s="847"/>
      <c r="AZ52" s="847"/>
      <c r="BA52" s="847"/>
      <c r="BB52" s="847"/>
      <c r="BC52" s="847"/>
      <c r="BD52" s="847"/>
      <c r="BE52" s="847"/>
      <c r="BF52" s="847"/>
      <c r="BG52" s="847"/>
      <c r="BH52" s="847"/>
      <c r="BI52" s="847"/>
      <c r="BJ52" s="847"/>
      <c r="BK52" s="847"/>
      <c r="BL52" s="847"/>
      <c r="BM52" s="847"/>
      <c r="BN52" s="847"/>
      <c r="BO52" s="847"/>
      <c r="BP52" s="847"/>
      <c r="BQ52" s="847"/>
      <c r="BR52" s="847"/>
      <c r="BS52" s="847"/>
      <c r="BT52" s="847"/>
      <c r="BU52" s="847"/>
      <c r="BV52" s="847"/>
      <c r="BW52" s="847"/>
      <c r="BX52" s="847"/>
      <c r="BY52" s="847"/>
      <c r="BZ52" s="847"/>
      <c r="CA52" s="847"/>
      <c r="CB52" s="847"/>
      <c r="CC52" s="847"/>
      <c r="CD52" s="847"/>
      <c r="CE52" s="847"/>
      <c r="CF52" s="847"/>
      <c r="CG52" s="847"/>
      <c r="CH52" s="847"/>
      <c r="CI52" s="847"/>
      <c r="CJ52" s="847"/>
      <c r="CK52" s="847"/>
      <c r="CL52" s="847"/>
      <c r="CM52" s="847"/>
      <c r="CN52" s="847"/>
      <c r="CO52" s="847"/>
      <c r="CP52" s="847"/>
      <c r="CQ52" s="847"/>
      <c r="CR52" s="847"/>
      <c r="CS52" s="847"/>
      <c r="CT52" s="847"/>
      <c r="CU52" s="847"/>
      <c r="CV52" s="847"/>
      <c r="CW52" s="847"/>
      <c r="CX52" s="847"/>
      <c r="CY52" s="847"/>
      <c r="CZ52" s="847"/>
      <c r="DA52" s="847"/>
      <c r="DB52" s="847"/>
      <c r="DC52" s="847"/>
      <c r="DD52" s="847"/>
      <c r="DE52" s="847"/>
      <c r="DF52" s="847"/>
    </row>
    <row r="53" spans="1:110" s="3" customFormat="1" ht="19.5" hidden="1" thickBot="1">
      <c r="A53" s="19">
        <v>23</v>
      </c>
      <c r="B53" s="20" t="s">
        <v>66</v>
      </c>
      <c r="C53" s="48">
        <v>1</v>
      </c>
      <c r="D53" s="42"/>
      <c r="E53" s="58"/>
      <c r="F53" s="58"/>
      <c r="G53" s="58"/>
      <c r="H53" s="42"/>
      <c r="I53" s="58"/>
      <c r="J53" s="110"/>
      <c r="K53" s="118"/>
      <c r="L53" s="37"/>
      <c r="M53" s="37"/>
      <c r="N53" s="56">
        <v>0</v>
      </c>
      <c r="O53" s="40"/>
      <c r="P53" s="40"/>
      <c r="Q53" s="40">
        <v>100</v>
      </c>
      <c r="R53" s="40"/>
      <c r="S53" s="40"/>
      <c r="T53" s="34"/>
      <c r="U53" s="45"/>
      <c r="V53" s="69"/>
      <c r="W53" s="69"/>
      <c r="X53" s="69"/>
      <c r="Y53" s="69"/>
      <c r="Z53" s="59"/>
      <c r="AA53" s="34"/>
      <c r="AB53" s="34"/>
      <c r="AC53" s="21"/>
      <c r="AD53" s="34"/>
      <c r="AE53" s="45"/>
      <c r="AF53" s="105"/>
      <c r="AG53" s="847"/>
      <c r="AH53" s="847"/>
      <c r="AI53" s="847"/>
      <c r="AJ53" s="847"/>
      <c r="AK53" s="847"/>
      <c r="AL53" s="847"/>
      <c r="AM53" s="847"/>
      <c r="AN53" s="847"/>
      <c r="AO53" s="847"/>
      <c r="AP53" s="847"/>
      <c r="AQ53" s="847"/>
      <c r="AR53" s="847"/>
      <c r="AS53" s="847"/>
      <c r="AT53" s="847"/>
      <c r="AU53" s="847"/>
      <c r="AV53" s="847"/>
      <c r="AW53" s="847"/>
      <c r="AX53" s="847"/>
      <c r="AY53" s="847"/>
      <c r="AZ53" s="847"/>
      <c r="BA53" s="847"/>
      <c r="BB53" s="847"/>
      <c r="BC53" s="847"/>
      <c r="BD53" s="847"/>
      <c r="BE53" s="847"/>
      <c r="BF53" s="847"/>
      <c r="BG53" s="847"/>
      <c r="BH53" s="847"/>
      <c r="BI53" s="847"/>
      <c r="BJ53" s="847"/>
      <c r="BK53" s="847"/>
      <c r="BL53" s="847"/>
      <c r="BM53" s="847"/>
      <c r="BN53" s="847"/>
      <c r="BO53" s="847"/>
      <c r="BP53" s="847"/>
      <c r="BQ53" s="847"/>
      <c r="BR53" s="847"/>
      <c r="BS53" s="847"/>
      <c r="BT53" s="847"/>
      <c r="BU53" s="847"/>
      <c r="BV53" s="847"/>
      <c r="BW53" s="847"/>
      <c r="BX53" s="847"/>
      <c r="BY53" s="847"/>
      <c r="BZ53" s="847"/>
      <c r="CA53" s="847"/>
      <c r="CB53" s="847"/>
      <c r="CC53" s="847"/>
      <c r="CD53" s="847"/>
      <c r="CE53" s="847"/>
      <c r="CF53" s="847"/>
      <c r="CG53" s="847"/>
      <c r="CH53" s="847"/>
      <c r="CI53" s="847"/>
      <c r="CJ53" s="847"/>
      <c r="CK53" s="847"/>
      <c r="CL53" s="847"/>
      <c r="CM53" s="847"/>
      <c r="CN53" s="847"/>
      <c r="CO53" s="847"/>
      <c r="CP53" s="847"/>
      <c r="CQ53" s="847"/>
      <c r="CR53" s="847"/>
      <c r="CS53" s="847"/>
      <c r="CT53" s="847"/>
      <c r="CU53" s="847"/>
      <c r="CV53" s="847"/>
      <c r="CW53" s="847"/>
      <c r="CX53" s="847"/>
      <c r="CY53" s="847"/>
      <c r="CZ53" s="847"/>
      <c r="DA53" s="847"/>
      <c r="DB53" s="847"/>
      <c r="DC53" s="847"/>
      <c r="DD53" s="847"/>
      <c r="DE53" s="847"/>
      <c r="DF53" s="847"/>
    </row>
    <row r="54" spans="1:110" s="31" customFormat="1" ht="17.25" hidden="1" customHeight="1" thickBot="1">
      <c r="A54" s="24"/>
      <c r="B54" s="25"/>
      <c r="C54" s="50"/>
      <c r="D54" s="43"/>
      <c r="E54" s="65"/>
      <c r="F54" s="65"/>
      <c r="G54" s="65"/>
      <c r="H54" s="43"/>
      <c r="I54" s="65"/>
      <c r="J54" s="114"/>
      <c r="K54" s="120"/>
      <c r="L54" s="38"/>
      <c r="M54" s="38"/>
      <c r="N54" s="57"/>
      <c r="O54" s="41"/>
      <c r="P54" s="41"/>
      <c r="Q54" s="41">
        <v>10</v>
      </c>
      <c r="R54" s="41"/>
      <c r="S54" s="41"/>
      <c r="T54" s="36"/>
      <c r="U54" s="47"/>
      <c r="V54" s="57"/>
      <c r="W54" s="57"/>
      <c r="X54" s="57"/>
      <c r="Y54" s="57"/>
      <c r="Z54" s="60"/>
      <c r="AA54" s="36"/>
      <c r="AB54" s="36"/>
      <c r="AC54" s="26"/>
      <c r="AD54" s="36"/>
      <c r="AE54" s="47"/>
      <c r="AF54" s="101">
        <f>SUM(C54:AE54)</f>
        <v>10</v>
      </c>
      <c r="AG54" s="847"/>
      <c r="AH54" s="847"/>
      <c r="AI54" s="847"/>
      <c r="AJ54" s="847"/>
      <c r="AK54" s="847"/>
      <c r="AL54" s="847"/>
      <c r="AM54" s="847"/>
      <c r="AN54" s="847"/>
      <c r="AO54" s="847"/>
      <c r="AP54" s="847"/>
      <c r="AQ54" s="847"/>
      <c r="AR54" s="847"/>
      <c r="AS54" s="847"/>
      <c r="AT54" s="847"/>
      <c r="AU54" s="847"/>
      <c r="AV54" s="847"/>
      <c r="AW54" s="847"/>
      <c r="AX54" s="847"/>
      <c r="AY54" s="847"/>
      <c r="AZ54" s="847"/>
      <c r="BA54" s="847"/>
      <c r="BB54" s="847"/>
      <c r="BC54" s="847"/>
      <c r="BD54" s="847"/>
      <c r="BE54" s="847"/>
      <c r="BF54" s="847"/>
      <c r="BG54" s="847"/>
      <c r="BH54" s="847"/>
      <c r="BI54" s="847"/>
      <c r="BJ54" s="847"/>
      <c r="BK54" s="847"/>
      <c r="BL54" s="847"/>
      <c r="BM54" s="847"/>
      <c r="BN54" s="847"/>
      <c r="BO54" s="847"/>
      <c r="BP54" s="847"/>
      <c r="BQ54" s="847"/>
      <c r="BR54" s="847"/>
      <c r="BS54" s="847"/>
      <c r="BT54" s="847"/>
      <c r="BU54" s="847"/>
      <c r="BV54" s="847"/>
      <c r="BW54" s="847"/>
      <c r="BX54" s="847"/>
      <c r="BY54" s="847"/>
      <c r="BZ54" s="847"/>
      <c r="CA54" s="847"/>
      <c r="CB54" s="847"/>
      <c r="CC54" s="847"/>
      <c r="CD54" s="847"/>
      <c r="CE54" s="847"/>
      <c r="CF54" s="847"/>
      <c r="CG54" s="847"/>
      <c r="CH54" s="847"/>
      <c r="CI54" s="847"/>
      <c r="CJ54" s="847"/>
      <c r="CK54" s="847"/>
      <c r="CL54" s="847"/>
      <c r="CM54" s="847"/>
      <c r="CN54" s="847"/>
      <c r="CO54" s="847"/>
      <c r="CP54" s="847"/>
      <c r="CQ54" s="847"/>
      <c r="CR54" s="847"/>
      <c r="CS54" s="847"/>
      <c r="CT54" s="847"/>
      <c r="CU54" s="847"/>
      <c r="CV54" s="847"/>
      <c r="CW54" s="847"/>
      <c r="CX54" s="847"/>
      <c r="CY54" s="847"/>
      <c r="CZ54" s="847"/>
      <c r="DA54" s="847"/>
      <c r="DB54" s="847"/>
      <c r="DC54" s="847"/>
      <c r="DD54" s="847"/>
      <c r="DE54" s="847"/>
      <c r="DF54" s="847"/>
    </row>
    <row r="55" spans="1:110" s="4" customFormat="1" ht="28.5">
      <c r="A55" s="19">
        <v>24</v>
      </c>
      <c r="B55" s="22" t="s">
        <v>20</v>
      </c>
      <c r="C55" s="54">
        <v>62</v>
      </c>
      <c r="D55" s="39"/>
      <c r="E55" s="64">
        <v>4</v>
      </c>
      <c r="F55" s="64">
        <v>1</v>
      </c>
      <c r="G55" s="64"/>
      <c r="H55" s="109"/>
      <c r="I55" s="64">
        <v>0</v>
      </c>
      <c r="J55" s="115"/>
      <c r="K55" s="116"/>
      <c r="L55" s="39"/>
      <c r="M55" s="39"/>
      <c r="N55" s="64">
        <v>23</v>
      </c>
      <c r="O55" s="39"/>
      <c r="P55" s="39"/>
      <c r="Q55" s="39">
        <v>11.54</v>
      </c>
      <c r="R55" s="39"/>
      <c r="S55" s="39">
        <v>1.61</v>
      </c>
      <c r="T55" s="39"/>
      <c r="U55" s="55"/>
      <c r="V55" s="66">
        <v>0.02</v>
      </c>
      <c r="W55" s="66">
        <v>0</v>
      </c>
      <c r="X55" s="66">
        <v>0</v>
      </c>
      <c r="Y55" s="66">
        <v>0.12</v>
      </c>
      <c r="Z55" s="63"/>
      <c r="AA55" s="39"/>
      <c r="AB55" s="39"/>
      <c r="AC55" s="23"/>
      <c r="AD55" s="39"/>
      <c r="AE55" s="55"/>
      <c r="AF55" s="107"/>
      <c r="AG55" s="847"/>
      <c r="AH55" s="847"/>
      <c r="AI55" s="847"/>
      <c r="AJ55" s="847"/>
      <c r="AK55" s="847"/>
      <c r="AL55" s="847"/>
      <c r="AM55" s="847"/>
      <c r="AN55" s="847"/>
      <c r="AO55" s="847"/>
      <c r="AP55" s="847"/>
      <c r="AQ55" s="847"/>
      <c r="AR55" s="847"/>
      <c r="AS55" s="847"/>
      <c r="AT55" s="847"/>
      <c r="AU55" s="847"/>
      <c r="AV55" s="847"/>
      <c r="AW55" s="847"/>
      <c r="AX55" s="847"/>
      <c r="AY55" s="847"/>
      <c r="AZ55" s="847"/>
      <c r="BA55" s="847"/>
      <c r="BB55" s="847"/>
      <c r="BC55" s="847"/>
      <c r="BD55" s="847"/>
      <c r="BE55" s="847"/>
      <c r="BF55" s="847"/>
      <c r="BG55" s="847"/>
      <c r="BH55" s="847"/>
      <c r="BI55" s="847"/>
      <c r="BJ55" s="847"/>
      <c r="BK55" s="847"/>
      <c r="BL55" s="847"/>
      <c r="BM55" s="847"/>
      <c r="BN55" s="847"/>
      <c r="BO55" s="847"/>
      <c r="BP55" s="847"/>
      <c r="BQ55" s="847"/>
      <c r="BR55" s="847"/>
      <c r="BS55" s="847"/>
      <c r="BT55" s="847"/>
      <c r="BU55" s="847"/>
      <c r="BV55" s="847"/>
      <c r="BW55" s="847"/>
      <c r="BX55" s="847"/>
      <c r="BY55" s="847"/>
      <c r="BZ55" s="847"/>
      <c r="CA55" s="847"/>
      <c r="CB55" s="847"/>
      <c r="CC55" s="847"/>
      <c r="CD55" s="847"/>
      <c r="CE55" s="847"/>
      <c r="CF55" s="847"/>
      <c r="CG55" s="847"/>
      <c r="CH55" s="847"/>
      <c r="CI55" s="847"/>
      <c r="CJ55" s="847"/>
      <c r="CK55" s="847"/>
      <c r="CL55" s="847"/>
      <c r="CM55" s="847"/>
      <c r="CN55" s="847"/>
      <c r="CO55" s="847"/>
      <c r="CP55" s="847"/>
      <c r="CQ55" s="847"/>
      <c r="CR55" s="847"/>
      <c r="CS55" s="847"/>
      <c r="CT55" s="847"/>
      <c r="CU55" s="847"/>
      <c r="CV55" s="847"/>
      <c r="CW55" s="847"/>
      <c r="CX55" s="847"/>
      <c r="CY55" s="847"/>
      <c r="CZ55" s="847"/>
      <c r="DA55" s="847"/>
      <c r="DB55" s="847"/>
      <c r="DC55" s="847"/>
      <c r="DD55" s="847"/>
      <c r="DE55" s="847"/>
      <c r="DF55" s="847"/>
    </row>
    <row r="56" spans="1:110" s="27" customFormat="1" ht="15" customHeight="1" thickBot="1">
      <c r="A56" s="203"/>
      <c r="B56" s="204"/>
      <c r="C56" s="214"/>
      <c r="D56" s="205"/>
      <c r="E56" s="207">
        <v>8</v>
      </c>
      <c r="F56" s="207">
        <v>9</v>
      </c>
      <c r="G56" s="207">
        <v>10</v>
      </c>
      <c r="H56" s="205"/>
      <c r="I56" s="207">
        <v>9</v>
      </c>
      <c r="J56" s="206">
        <v>10</v>
      </c>
      <c r="K56" s="206"/>
      <c r="L56" s="205"/>
      <c r="M56" s="205"/>
      <c r="N56" s="207">
        <v>3</v>
      </c>
      <c r="O56" s="205"/>
      <c r="P56" s="205"/>
      <c r="Q56" s="205">
        <v>1</v>
      </c>
      <c r="R56" s="205"/>
      <c r="S56" s="205">
        <v>0</v>
      </c>
      <c r="T56" s="205"/>
      <c r="U56" s="208"/>
      <c r="V56" s="207">
        <v>0</v>
      </c>
      <c r="W56" s="207">
        <v>0</v>
      </c>
      <c r="X56" s="207">
        <v>0</v>
      </c>
      <c r="Y56" s="207">
        <v>0</v>
      </c>
      <c r="Z56" s="210"/>
      <c r="AA56" s="205"/>
      <c r="AB56" s="205"/>
      <c r="AC56" s="211"/>
      <c r="AD56" s="205"/>
      <c r="AE56" s="208"/>
      <c r="AF56" s="213">
        <f>SUM(C56:AE56)</f>
        <v>50</v>
      </c>
      <c r="AG56" s="847"/>
      <c r="AH56" s="847"/>
      <c r="AI56" s="847"/>
      <c r="AJ56" s="847"/>
      <c r="AK56" s="847"/>
      <c r="AL56" s="847"/>
      <c r="AM56" s="847"/>
      <c r="AN56" s="847"/>
      <c r="AO56" s="847"/>
      <c r="AP56" s="847"/>
      <c r="AQ56" s="847"/>
      <c r="AR56" s="847"/>
      <c r="AS56" s="847"/>
      <c r="AT56" s="847"/>
      <c r="AU56" s="847"/>
      <c r="AV56" s="847"/>
      <c r="AW56" s="847"/>
      <c r="AX56" s="847"/>
      <c r="AY56" s="847"/>
      <c r="AZ56" s="847"/>
      <c r="BA56" s="847"/>
      <c r="BB56" s="847"/>
      <c r="BC56" s="847"/>
      <c r="BD56" s="847"/>
      <c r="BE56" s="847"/>
      <c r="BF56" s="847"/>
      <c r="BG56" s="847"/>
      <c r="BH56" s="847"/>
      <c r="BI56" s="847"/>
      <c r="BJ56" s="847"/>
      <c r="BK56" s="847"/>
      <c r="BL56" s="847"/>
      <c r="BM56" s="847"/>
      <c r="BN56" s="847"/>
      <c r="BO56" s="847"/>
      <c r="BP56" s="847"/>
      <c r="BQ56" s="847"/>
      <c r="BR56" s="847"/>
      <c r="BS56" s="847"/>
      <c r="BT56" s="847"/>
      <c r="BU56" s="847"/>
      <c r="BV56" s="847"/>
      <c r="BW56" s="847"/>
      <c r="BX56" s="847"/>
      <c r="BY56" s="847"/>
      <c r="BZ56" s="847"/>
      <c r="CA56" s="847"/>
      <c r="CB56" s="847"/>
      <c r="CC56" s="847"/>
      <c r="CD56" s="847"/>
      <c r="CE56" s="847"/>
      <c r="CF56" s="847"/>
      <c r="CG56" s="847"/>
      <c r="CH56" s="847"/>
      <c r="CI56" s="847"/>
      <c r="CJ56" s="847"/>
      <c r="CK56" s="847"/>
      <c r="CL56" s="847"/>
      <c r="CM56" s="847"/>
      <c r="CN56" s="847"/>
      <c r="CO56" s="847"/>
      <c r="CP56" s="847"/>
      <c r="CQ56" s="847"/>
      <c r="CR56" s="847"/>
      <c r="CS56" s="847"/>
      <c r="CT56" s="847"/>
      <c r="CU56" s="847"/>
      <c r="CV56" s="847"/>
      <c r="CW56" s="847"/>
      <c r="CX56" s="847"/>
      <c r="CY56" s="847"/>
      <c r="CZ56" s="847"/>
      <c r="DA56" s="847"/>
      <c r="DB56" s="847"/>
      <c r="DC56" s="847"/>
      <c r="DD56" s="847"/>
      <c r="DE56" s="847"/>
      <c r="DF56" s="847"/>
    </row>
    <row r="57" spans="1:110" ht="19.5" hidden="1" thickBot="1">
      <c r="A57" s="19">
        <v>25</v>
      </c>
      <c r="B57" s="20" t="s">
        <v>67</v>
      </c>
      <c r="C57" s="48">
        <v>2</v>
      </c>
      <c r="D57" s="34"/>
      <c r="E57" s="56">
        <v>0</v>
      </c>
      <c r="F57" s="56"/>
      <c r="G57" s="56"/>
      <c r="H57" s="34"/>
      <c r="I57" s="56"/>
      <c r="J57" s="44"/>
      <c r="K57" s="116"/>
      <c r="L57" s="34"/>
      <c r="M57" s="34"/>
      <c r="N57" s="56">
        <v>0</v>
      </c>
      <c r="O57" s="34"/>
      <c r="P57" s="34"/>
      <c r="Q57" s="34">
        <v>100</v>
      </c>
      <c r="R57" s="34"/>
      <c r="S57" s="34"/>
      <c r="T57" s="34"/>
      <c r="U57" s="45"/>
      <c r="V57" s="69"/>
      <c r="W57" s="69"/>
      <c r="X57" s="69"/>
      <c r="Y57" s="69"/>
      <c r="Z57" s="59"/>
      <c r="AA57" s="34"/>
      <c r="AB57" s="34"/>
      <c r="AC57" s="21"/>
      <c r="AD57" s="34"/>
      <c r="AE57" s="45"/>
      <c r="AF57" s="105"/>
      <c r="AG57" s="847"/>
      <c r="AH57" s="847"/>
      <c r="AI57" s="847"/>
      <c r="AJ57" s="847"/>
      <c r="AK57" s="847"/>
      <c r="AL57" s="847"/>
      <c r="AM57" s="847"/>
      <c r="AN57" s="847"/>
      <c r="AO57" s="847"/>
      <c r="AP57" s="847"/>
      <c r="AQ57" s="847"/>
      <c r="AR57" s="847"/>
      <c r="AS57" s="847"/>
      <c r="AT57" s="847"/>
      <c r="AU57" s="847"/>
      <c r="AV57" s="847"/>
      <c r="AW57" s="847"/>
      <c r="AX57" s="847"/>
      <c r="AY57" s="847"/>
      <c r="AZ57" s="847"/>
      <c r="BA57" s="847"/>
      <c r="BB57" s="847"/>
      <c r="BC57" s="847"/>
      <c r="BD57" s="847"/>
      <c r="BE57" s="847"/>
      <c r="BF57" s="847"/>
      <c r="BG57" s="847"/>
      <c r="BH57" s="847"/>
      <c r="BI57" s="847"/>
      <c r="BJ57" s="847"/>
      <c r="BK57" s="847"/>
      <c r="BL57" s="847"/>
      <c r="BM57" s="847"/>
      <c r="BN57" s="847"/>
      <c r="BO57" s="847"/>
      <c r="BP57" s="847"/>
      <c r="BQ57" s="847"/>
      <c r="BR57" s="847"/>
      <c r="BS57" s="847"/>
      <c r="BT57" s="847"/>
      <c r="BU57" s="847"/>
      <c r="BV57" s="847"/>
      <c r="BW57" s="847"/>
      <c r="BX57" s="847"/>
      <c r="BY57" s="847"/>
      <c r="BZ57" s="847"/>
      <c r="CA57" s="847"/>
      <c r="CB57" s="847"/>
      <c r="CC57" s="847"/>
      <c r="CD57" s="847"/>
      <c r="CE57" s="847"/>
      <c r="CF57" s="847"/>
      <c r="CG57" s="847"/>
      <c r="CH57" s="847"/>
      <c r="CI57" s="847"/>
      <c r="CJ57" s="847"/>
      <c r="CK57" s="847"/>
      <c r="CL57" s="847"/>
      <c r="CM57" s="847"/>
      <c r="CN57" s="847"/>
      <c r="CO57" s="847"/>
      <c r="CP57" s="847"/>
      <c r="CQ57" s="847"/>
      <c r="CR57" s="847"/>
      <c r="CS57" s="847"/>
      <c r="CT57" s="847"/>
      <c r="CU57" s="847"/>
      <c r="CV57" s="847"/>
      <c r="CW57" s="847"/>
      <c r="CX57" s="847"/>
      <c r="CY57" s="847"/>
      <c r="CZ57" s="847"/>
      <c r="DA57" s="847"/>
      <c r="DB57" s="847"/>
      <c r="DC57" s="847"/>
      <c r="DD57" s="847"/>
      <c r="DE57" s="847"/>
      <c r="DF57" s="847"/>
    </row>
    <row r="58" spans="1:110" s="27" customFormat="1" ht="15.75" hidden="1" customHeight="1" thickBot="1">
      <c r="A58" s="24"/>
      <c r="B58" s="25"/>
      <c r="C58" s="50"/>
      <c r="D58" s="36"/>
      <c r="E58" s="57">
        <v>10</v>
      </c>
      <c r="F58" s="57"/>
      <c r="G58" s="57"/>
      <c r="H58" s="36"/>
      <c r="I58" s="57"/>
      <c r="J58" s="46"/>
      <c r="K58" s="117"/>
      <c r="L58" s="36"/>
      <c r="M58" s="36"/>
      <c r="N58" s="57"/>
      <c r="O58" s="36"/>
      <c r="P58" s="36"/>
      <c r="Q58" s="36">
        <v>10</v>
      </c>
      <c r="R58" s="36"/>
      <c r="S58" s="36"/>
      <c r="T58" s="36"/>
      <c r="U58" s="47"/>
      <c r="V58" s="57"/>
      <c r="W58" s="57"/>
      <c r="X58" s="57"/>
      <c r="Y58" s="57"/>
      <c r="Z58" s="60"/>
      <c r="AA58" s="36"/>
      <c r="AB58" s="36"/>
      <c r="AC58" s="26"/>
      <c r="AD58" s="36"/>
      <c r="AE58" s="47"/>
      <c r="AF58" s="101">
        <f>SUM(C58:AE58)</f>
        <v>20</v>
      </c>
      <c r="AG58" s="847"/>
      <c r="AH58" s="847"/>
      <c r="AI58" s="847"/>
      <c r="AJ58" s="847"/>
      <c r="AK58" s="847"/>
      <c r="AL58" s="847"/>
      <c r="AM58" s="847"/>
      <c r="AN58" s="847"/>
      <c r="AO58" s="847"/>
      <c r="AP58" s="847"/>
      <c r="AQ58" s="847"/>
      <c r="AR58" s="847"/>
      <c r="AS58" s="847"/>
      <c r="AT58" s="847"/>
      <c r="AU58" s="847"/>
      <c r="AV58" s="847"/>
      <c r="AW58" s="847"/>
      <c r="AX58" s="847"/>
      <c r="AY58" s="847"/>
      <c r="AZ58" s="847"/>
      <c r="BA58" s="847"/>
      <c r="BB58" s="847"/>
      <c r="BC58" s="847"/>
      <c r="BD58" s="847"/>
      <c r="BE58" s="847"/>
      <c r="BF58" s="847"/>
      <c r="BG58" s="847"/>
      <c r="BH58" s="847"/>
      <c r="BI58" s="847"/>
      <c r="BJ58" s="847"/>
      <c r="BK58" s="847"/>
      <c r="BL58" s="847"/>
      <c r="BM58" s="847"/>
      <c r="BN58" s="847"/>
      <c r="BO58" s="847"/>
      <c r="BP58" s="847"/>
      <c r="BQ58" s="847"/>
      <c r="BR58" s="847"/>
      <c r="BS58" s="847"/>
      <c r="BT58" s="847"/>
      <c r="BU58" s="847"/>
      <c r="BV58" s="847"/>
      <c r="BW58" s="847"/>
      <c r="BX58" s="847"/>
      <c r="BY58" s="847"/>
      <c r="BZ58" s="847"/>
      <c r="CA58" s="847"/>
      <c r="CB58" s="847"/>
      <c r="CC58" s="847"/>
      <c r="CD58" s="847"/>
      <c r="CE58" s="847"/>
      <c r="CF58" s="847"/>
      <c r="CG58" s="847"/>
      <c r="CH58" s="847"/>
      <c r="CI58" s="847"/>
      <c r="CJ58" s="847"/>
      <c r="CK58" s="847"/>
      <c r="CL58" s="847"/>
      <c r="CM58" s="847"/>
      <c r="CN58" s="847"/>
      <c r="CO58" s="847"/>
      <c r="CP58" s="847"/>
      <c r="CQ58" s="847"/>
      <c r="CR58" s="847"/>
      <c r="CS58" s="847"/>
      <c r="CT58" s="847"/>
      <c r="CU58" s="847"/>
      <c r="CV58" s="847"/>
      <c r="CW58" s="847"/>
      <c r="CX58" s="847"/>
      <c r="CY58" s="847"/>
      <c r="CZ58" s="847"/>
      <c r="DA58" s="847"/>
      <c r="DB58" s="847"/>
      <c r="DC58" s="847"/>
      <c r="DD58" s="847"/>
      <c r="DE58" s="847"/>
      <c r="DF58" s="847"/>
    </row>
    <row r="59" spans="1:110" ht="18.75">
      <c r="A59" s="19">
        <v>26</v>
      </c>
      <c r="B59" s="20" t="s">
        <v>16</v>
      </c>
      <c r="C59" s="48">
        <v>188</v>
      </c>
      <c r="D59" s="34"/>
      <c r="E59" s="56">
        <v>18</v>
      </c>
      <c r="F59" s="56">
        <v>0</v>
      </c>
      <c r="G59" s="56"/>
      <c r="H59" s="200"/>
      <c r="I59" s="56">
        <v>24</v>
      </c>
      <c r="J59" s="44"/>
      <c r="K59" s="116"/>
      <c r="L59" s="34"/>
      <c r="M59" s="34"/>
      <c r="N59" s="56">
        <v>0</v>
      </c>
      <c r="O59" s="40"/>
      <c r="P59" s="40"/>
      <c r="Q59" s="40">
        <v>0</v>
      </c>
      <c r="R59" s="40"/>
      <c r="S59" s="40"/>
      <c r="T59" s="34"/>
      <c r="U59" s="45"/>
      <c r="V59" s="69"/>
      <c r="W59" s="69"/>
      <c r="X59" s="69"/>
      <c r="Y59" s="69"/>
      <c r="Z59" s="59"/>
      <c r="AA59" s="34"/>
      <c r="AB59" s="34"/>
      <c r="AC59" s="21"/>
      <c r="AD59" s="34"/>
      <c r="AE59" s="45"/>
      <c r="AF59" s="102"/>
      <c r="AG59" s="847"/>
      <c r="AH59" s="847"/>
      <c r="AI59" s="847"/>
      <c r="AJ59" s="847"/>
      <c r="AK59" s="847"/>
      <c r="AL59" s="847"/>
      <c r="AM59" s="847"/>
      <c r="AN59" s="847"/>
      <c r="AO59" s="847"/>
      <c r="AP59" s="847"/>
      <c r="AQ59" s="847"/>
      <c r="AR59" s="847"/>
      <c r="AS59" s="847"/>
      <c r="AT59" s="847"/>
      <c r="AU59" s="847"/>
      <c r="AV59" s="847"/>
      <c r="AW59" s="847"/>
      <c r="AX59" s="847"/>
      <c r="AY59" s="847"/>
      <c r="AZ59" s="847"/>
      <c r="BA59" s="847"/>
      <c r="BB59" s="847"/>
      <c r="BC59" s="847"/>
      <c r="BD59" s="847"/>
      <c r="BE59" s="847"/>
      <c r="BF59" s="847"/>
      <c r="BG59" s="847"/>
      <c r="BH59" s="847"/>
      <c r="BI59" s="847"/>
      <c r="BJ59" s="847"/>
      <c r="BK59" s="847"/>
      <c r="BL59" s="847"/>
      <c r="BM59" s="847"/>
      <c r="BN59" s="847"/>
      <c r="BO59" s="847"/>
      <c r="BP59" s="847"/>
      <c r="BQ59" s="847"/>
      <c r="BR59" s="847"/>
      <c r="BS59" s="847"/>
      <c r="BT59" s="847"/>
      <c r="BU59" s="847"/>
      <c r="BV59" s="847"/>
      <c r="BW59" s="847"/>
      <c r="BX59" s="847"/>
      <c r="BY59" s="847"/>
      <c r="BZ59" s="847"/>
      <c r="CA59" s="847"/>
      <c r="CB59" s="847"/>
      <c r="CC59" s="847"/>
      <c r="CD59" s="847"/>
      <c r="CE59" s="847"/>
      <c r="CF59" s="847"/>
      <c r="CG59" s="847"/>
      <c r="CH59" s="847"/>
      <c r="CI59" s="847"/>
      <c r="CJ59" s="847"/>
      <c r="CK59" s="847"/>
      <c r="CL59" s="847"/>
      <c r="CM59" s="847"/>
      <c r="CN59" s="847"/>
      <c r="CO59" s="847"/>
      <c r="CP59" s="847"/>
      <c r="CQ59" s="847"/>
      <c r="CR59" s="847"/>
      <c r="CS59" s="847"/>
      <c r="CT59" s="847"/>
      <c r="CU59" s="847"/>
      <c r="CV59" s="847"/>
      <c r="CW59" s="847"/>
      <c r="CX59" s="847"/>
      <c r="CY59" s="847"/>
      <c r="CZ59" s="847"/>
      <c r="DA59" s="847"/>
      <c r="DB59" s="847"/>
      <c r="DC59" s="847"/>
      <c r="DD59" s="847"/>
      <c r="DE59" s="847"/>
      <c r="DF59" s="847"/>
    </row>
    <row r="60" spans="1:110" s="27" customFormat="1" ht="19.5" thickBot="1">
      <c r="A60" s="203"/>
      <c r="B60" s="204"/>
      <c r="C60" s="214"/>
      <c r="D60" s="205"/>
      <c r="E60" s="207">
        <v>1</v>
      </c>
      <c r="F60" s="207">
        <v>0</v>
      </c>
      <c r="G60" s="207">
        <v>6</v>
      </c>
      <c r="H60" s="215"/>
      <c r="I60" s="207">
        <v>0</v>
      </c>
      <c r="J60" s="206">
        <v>10</v>
      </c>
      <c r="K60" s="206"/>
      <c r="L60" s="205"/>
      <c r="M60" s="205"/>
      <c r="N60" s="207"/>
      <c r="O60" s="215"/>
      <c r="P60" s="215"/>
      <c r="Q60" s="215"/>
      <c r="R60" s="215"/>
      <c r="S60" s="215"/>
      <c r="T60" s="205"/>
      <c r="U60" s="208"/>
      <c r="V60" s="207"/>
      <c r="W60" s="207"/>
      <c r="X60" s="207"/>
      <c r="Y60" s="207"/>
      <c r="Z60" s="210"/>
      <c r="AA60" s="205"/>
      <c r="AB60" s="205"/>
      <c r="AC60" s="211"/>
      <c r="AD60" s="205"/>
      <c r="AE60" s="208"/>
      <c r="AF60" s="213">
        <f>SUM(C60:AE60)</f>
        <v>17</v>
      </c>
      <c r="AG60" s="847"/>
      <c r="AH60" s="847"/>
      <c r="AI60" s="847"/>
      <c r="AJ60" s="847"/>
      <c r="AK60" s="847"/>
      <c r="AL60" s="847"/>
      <c r="AM60" s="847"/>
      <c r="AN60" s="847"/>
      <c r="AO60" s="847"/>
      <c r="AP60" s="847"/>
      <c r="AQ60" s="847"/>
      <c r="AR60" s="847"/>
      <c r="AS60" s="847"/>
      <c r="AT60" s="847"/>
      <c r="AU60" s="847"/>
      <c r="AV60" s="847"/>
      <c r="AW60" s="847"/>
      <c r="AX60" s="847"/>
      <c r="AY60" s="847"/>
      <c r="AZ60" s="847"/>
      <c r="BA60" s="847"/>
      <c r="BB60" s="847"/>
      <c r="BC60" s="847"/>
      <c r="BD60" s="847"/>
      <c r="BE60" s="847"/>
      <c r="BF60" s="847"/>
      <c r="BG60" s="847"/>
      <c r="BH60" s="847"/>
      <c r="BI60" s="847"/>
      <c r="BJ60" s="847"/>
      <c r="BK60" s="847"/>
      <c r="BL60" s="847"/>
      <c r="BM60" s="847"/>
      <c r="BN60" s="847"/>
      <c r="BO60" s="847"/>
      <c r="BP60" s="847"/>
      <c r="BQ60" s="847"/>
      <c r="BR60" s="847"/>
      <c r="BS60" s="847"/>
      <c r="BT60" s="847"/>
      <c r="BU60" s="847"/>
      <c r="BV60" s="847"/>
      <c r="BW60" s="847"/>
      <c r="BX60" s="847"/>
      <c r="BY60" s="847"/>
      <c r="BZ60" s="847"/>
      <c r="CA60" s="847"/>
      <c r="CB60" s="847"/>
      <c r="CC60" s="847"/>
      <c r="CD60" s="847"/>
      <c r="CE60" s="847"/>
      <c r="CF60" s="847"/>
      <c r="CG60" s="847"/>
      <c r="CH60" s="847"/>
      <c r="CI60" s="847"/>
      <c r="CJ60" s="847"/>
      <c r="CK60" s="847"/>
      <c r="CL60" s="847"/>
      <c r="CM60" s="847"/>
      <c r="CN60" s="847"/>
      <c r="CO60" s="847"/>
      <c r="CP60" s="847"/>
      <c r="CQ60" s="847"/>
      <c r="CR60" s="847"/>
      <c r="CS60" s="847"/>
      <c r="CT60" s="847"/>
      <c r="CU60" s="847"/>
      <c r="CV60" s="847"/>
      <c r="CW60" s="847"/>
      <c r="CX60" s="847"/>
      <c r="CY60" s="847"/>
      <c r="CZ60" s="847"/>
      <c r="DA60" s="847"/>
      <c r="DB60" s="847"/>
      <c r="DC60" s="847"/>
      <c r="DD60" s="847"/>
      <c r="DE60" s="847"/>
      <c r="DF60" s="847"/>
    </row>
    <row r="61" spans="1:110" s="3" customFormat="1" ht="18.75" hidden="1">
      <c r="A61" s="19">
        <v>27</v>
      </c>
      <c r="B61" s="20" t="s">
        <v>68</v>
      </c>
      <c r="C61" s="48">
        <v>1</v>
      </c>
      <c r="D61" s="37"/>
      <c r="E61" s="58"/>
      <c r="F61" s="58"/>
      <c r="G61" s="58"/>
      <c r="H61" s="37"/>
      <c r="I61" s="58"/>
      <c r="J61" s="110"/>
      <c r="K61" s="110"/>
      <c r="L61" s="37"/>
      <c r="M61" s="37"/>
      <c r="N61" s="56">
        <v>0</v>
      </c>
      <c r="O61" s="40"/>
      <c r="P61" s="40"/>
      <c r="Q61" s="40">
        <v>0</v>
      </c>
      <c r="R61" s="40"/>
      <c r="S61" s="40"/>
      <c r="T61" s="34"/>
      <c r="U61" s="49"/>
      <c r="V61" s="69"/>
      <c r="W61" s="69"/>
      <c r="X61" s="69"/>
      <c r="Y61" s="69"/>
      <c r="Z61" s="59"/>
      <c r="AA61" s="40"/>
      <c r="AB61" s="40"/>
      <c r="AC61" s="21"/>
      <c r="AD61" s="40"/>
      <c r="AE61" s="49"/>
      <c r="AF61" s="104"/>
      <c r="AG61" s="847"/>
      <c r="AH61" s="847"/>
      <c r="AI61" s="847"/>
      <c r="AJ61" s="847"/>
      <c r="AK61" s="847"/>
      <c r="AL61" s="847"/>
      <c r="AM61" s="847"/>
      <c r="AN61" s="847"/>
      <c r="AO61" s="847"/>
      <c r="AP61" s="847"/>
      <c r="AQ61" s="847"/>
      <c r="AR61" s="847"/>
      <c r="AS61" s="847"/>
      <c r="AT61" s="847"/>
      <c r="AU61" s="847"/>
      <c r="AV61" s="847"/>
      <c r="AW61" s="847"/>
      <c r="AX61" s="847"/>
      <c r="AY61" s="847"/>
      <c r="AZ61" s="847"/>
      <c r="BA61" s="847"/>
      <c r="BB61" s="847"/>
      <c r="BC61" s="847"/>
      <c r="BD61" s="847"/>
      <c r="BE61" s="847"/>
      <c r="BF61" s="847"/>
      <c r="BG61" s="847"/>
      <c r="BH61" s="847"/>
      <c r="BI61" s="847"/>
      <c r="BJ61" s="847"/>
      <c r="BK61" s="847"/>
      <c r="BL61" s="847"/>
      <c r="BM61" s="847"/>
      <c r="BN61" s="847"/>
      <c r="BO61" s="847"/>
      <c r="BP61" s="847"/>
      <c r="BQ61" s="847"/>
      <c r="BR61" s="847"/>
      <c r="BS61" s="847"/>
      <c r="BT61" s="847"/>
      <c r="BU61" s="847"/>
      <c r="BV61" s="847"/>
      <c r="BW61" s="847"/>
      <c r="BX61" s="847"/>
      <c r="BY61" s="847"/>
      <c r="BZ61" s="847"/>
      <c r="CA61" s="847"/>
      <c r="CB61" s="847"/>
      <c r="CC61" s="847"/>
      <c r="CD61" s="847"/>
      <c r="CE61" s="847"/>
      <c r="CF61" s="847"/>
      <c r="CG61" s="847"/>
      <c r="CH61" s="847"/>
      <c r="CI61" s="847"/>
      <c r="CJ61" s="847"/>
      <c r="CK61" s="847"/>
      <c r="CL61" s="847"/>
      <c r="CM61" s="847"/>
      <c r="CN61" s="847"/>
      <c r="CO61" s="847"/>
      <c r="CP61" s="847"/>
      <c r="CQ61" s="847"/>
      <c r="CR61" s="847"/>
      <c r="CS61" s="847"/>
      <c r="CT61" s="847"/>
      <c r="CU61" s="847"/>
      <c r="CV61" s="847"/>
      <c r="CW61" s="847"/>
      <c r="CX61" s="847"/>
      <c r="CY61" s="847"/>
      <c r="CZ61" s="847"/>
      <c r="DA61" s="847"/>
      <c r="DB61" s="847"/>
      <c r="DC61" s="847"/>
      <c r="DD61" s="847"/>
      <c r="DE61" s="847"/>
      <c r="DF61" s="847"/>
    </row>
    <row r="62" spans="1:110" s="31" customFormat="1" ht="17.25" hidden="1" customHeight="1" thickBot="1">
      <c r="A62" s="24"/>
      <c r="B62" s="25"/>
      <c r="C62" s="50"/>
      <c r="D62" s="38"/>
      <c r="E62" s="65"/>
      <c r="F62" s="65"/>
      <c r="G62" s="65"/>
      <c r="H62" s="38"/>
      <c r="I62" s="65"/>
      <c r="J62" s="114"/>
      <c r="K62" s="114"/>
      <c r="L62" s="38"/>
      <c r="M62" s="38"/>
      <c r="N62" s="57"/>
      <c r="O62" s="41"/>
      <c r="P62" s="41"/>
      <c r="Q62" s="41"/>
      <c r="R62" s="41"/>
      <c r="S62" s="41"/>
      <c r="T62" s="36"/>
      <c r="U62" s="51"/>
      <c r="V62" s="57"/>
      <c r="W62" s="57"/>
      <c r="X62" s="57"/>
      <c r="Y62" s="57"/>
      <c r="Z62" s="60"/>
      <c r="AA62" s="41"/>
      <c r="AB62" s="41"/>
      <c r="AC62" s="26"/>
      <c r="AD62" s="41"/>
      <c r="AE62" s="51"/>
      <c r="AF62" s="101">
        <f>SUM(C62:AE62)</f>
        <v>0</v>
      </c>
      <c r="AG62" s="847"/>
      <c r="AH62" s="847"/>
      <c r="AI62" s="847"/>
      <c r="AJ62" s="847"/>
      <c r="AK62" s="847"/>
      <c r="AL62" s="847"/>
      <c r="AM62" s="847"/>
      <c r="AN62" s="847"/>
      <c r="AO62" s="847"/>
      <c r="AP62" s="847"/>
      <c r="AQ62" s="847"/>
      <c r="AR62" s="847"/>
      <c r="AS62" s="847"/>
      <c r="AT62" s="847"/>
      <c r="AU62" s="847"/>
      <c r="AV62" s="847"/>
      <c r="AW62" s="847"/>
      <c r="AX62" s="847"/>
      <c r="AY62" s="847"/>
      <c r="AZ62" s="847"/>
      <c r="BA62" s="847"/>
      <c r="BB62" s="847"/>
      <c r="BC62" s="847"/>
      <c r="BD62" s="847"/>
      <c r="BE62" s="847"/>
      <c r="BF62" s="847"/>
      <c r="BG62" s="847"/>
      <c r="BH62" s="847"/>
      <c r="BI62" s="847"/>
      <c r="BJ62" s="847"/>
      <c r="BK62" s="847"/>
      <c r="BL62" s="847"/>
      <c r="BM62" s="847"/>
      <c r="BN62" s="847"/>
      <c r="BO62" s="847"/>
      <c r="BP62" s="847"/>
      <c r="BQ62" s="847"/>
      <c r="BR62" s="847"/>
      <c r="BS62" s="847"/>
      <c r="BT62" s="847"/>
      <c r="BU62" s="847"/>
      <c r="BV62" s="847"/>
      <c r="BW62" s="847"/>
      <c r="BX62" s="847"/>
      <c r="BY62" s="847"/>
      <c r="BZ62" s="847"/>
      <c r="CA62" s="847"/>
      <c r="CB62" s="847"/>
      <c r="CC62" s="847"/>
      <c r="CD62" s="847"/>
      <c r="CE62" s="847"/>
      <c r="CF62" s="847"/>
      <c r="CG62" s="847"/>
      <c r="CH62" s="847"/>
      <c r="CI62" s="847"/>
      <c r="CJ62" s="847"/>
      <c r="CK62" s="847"/>
      <c r="CL62" s="847"/>
      <c r="CM62" s="847"/>
      <c r="CN62" s="847"/>
      <c r="CO62" s="847"/>
      <c r="CP62" s="847"/>
      <c r="CQ62" s="847"/>
      <c r="CR62" s="847"/>
      <c r="CS62" s="847"/>
      <c r="CT62" s="847"/>
      <c r="CU62" s="847"/>
      <c r="CV62" s="847"/>
      <c r="CW62" s="847"/>
      <c r="CX62" s="847"/>
      <c r="CY62" s="847"/>
      <c r="CZ62" s="847"/>
      <c r="DA62" s="847"/>
      <c r="DB62" s="847"/>
      <c r="DC62" s="847"/>
      <c r="DD62" s="847"/>
      <c r="DE62" s="847"/>
      <c r="DF62" s="847"/>
    </row>
    <row r="63" spans="1:110" ht="28.5" hidden="1">
      <c r="A63" s="19">
        <v>28</v>
      </c>
      <c r="B63" s="20" t="s">
        <v>69</v>
      </c>
      <c r="C63" s="48">
        <v>2</v>
      </c>
      <c r="D63" s="34"/>
      <c r="E63" s="56">
        <v>0</v>
      </c>
      <c r="F63" s="56">
        <v>0</v>
      </c>
      <c r="G63" s="56">
        <v>0</v>
      </c>
      <c r="H63" s="34"/>
      <c r="I63" s="56">
        <v>0</v>
      </c>
      <c r="J63" s="44">
        <v>0</v>
      </c>
      <c r="K63" s="44"/>
      <c r="L63" s="34"/>
      <c r="M63" s="34"/>
      <c r="N63" s="56">
        <v>2</v>
      </c>
      <c r="O63" s="34"/>
      <c r="P63" s="34"/>
      <c r="Q63" s="34">
        <v>0</v>
      </c>
      <c r="R63" s="34"/>
      <c r="S63" s="34"/>
      <c r="T63" s="34"/>
      <c r="U63" s="45"/>
      <c r="V63" s="69"/>
      <c r="W63" s="69"/>
      <c r="X63" s="69"/>
      <c r="Y63" s="69"/>
      <c r="Z63" s="59"/>
      <c r="AA63" s="34"/>
      <c r="AB63" s="34"/>
      <c r="AC63" s="21"/>
      <c r="AD63" s="34"/>
      <c r="AE63" s="45"/>
      <c r="AF63" s="102"/>
      <c r="AG63" s="847"/>
      <c r="AH63" s="847"/>
      <c r="AI63" s="847"/>
      <c r="AJ63" s="847"/>
      <c r="AK63" s="847"/>
      <c r="AL63" s="847"/>
      <c r="AM63" s="847"/>
      <c r="AN63" s="847"/>
      <c r="AO63" s="847"/>
      <c r="AP63" s="847"/>
      <c r="AQ63" s="847"/>
      <c r="AR63" s="847"/>
      <c r="AS63" s="847"/>
      <c r="AT63" s="847"/>
      <c r="AU63" s="847"/>
      <c r="AV63" s="847"/>
      <c r="AW63" s="847"/>
      <c r="AX63" s="847"/>
      <c r="AY63" s="847"/>
      <c r="AZ63" s="847"/>
      <c r="BA63" s="847"/>
      <c r="BB63" s="847"/>
      <c r="BC63" s="847"/>
      <c r="BD63" s="847"/>
      <c r="BE63" s="847"/>
      <c r="BF63" s="847"/>
      <c r="BG63" s="847"/>
      <c r="BH63" s="847"/>
      <c r="BI63" s="847"/>
      <c r="BJ63" s="847"/>
      <c r="BK63" s="847"/>
      <c r="BL63" s="847"/>
      <c r="BM63" s="847"/>
      <c r="BN63" s="847"/>
      <c r="BO63" s="847"/>
      <c r="BP63" s="847"/>
      <c r="BQ63" s="847"/>
      <c r="BR63" s="847"/>
      <c r="BS63" s="847"/>
      <c r="BT63" s="847"/>
      <c r="BU63" s="847"/>
      <c r="BV63" s="847"/>
      <c r="BW63" s="847"/>
      <c r="BX63" s="847"/>
      <c r="BY63" s="847"/>
      <c r="BZ63" s="847"/>
      <c r="CA63" s="847"/>
      <c r="CB63" s="847"/>
      <c r="CC63" s="847"/>
      <c r="CD63" s="847"/>
      <c r="CE63" s="847"/>
      <c r="CF63" s="847"/>
      <c r="CG63" s="847"/>
      <c r="CH63" s="847"/>
      <c r="CI63" s="847"/>
      <c r="CJ63" s="847"/>
      <c r="CK63" s="847"/>
      <c r="CL63" s="847"/>
      <c r="CM63" s="847"/>
      <c r="CN63" s="847"/>
      <c r="CO63" s="847"/>
      <c r="CP63" s="847"/>
      <c r="CQ63" s="847"/>
      <c r="CR63" s="847"/>
      <c r="CS63" s="847"/>
      <c r="CT63" s="847"/>
      <c r="CU63" s="847"/>
      <c r="CV63" s="847"/>
      <c r="CW63" s="847"/>
      <c r="CX63" s="847"/>
      <c r="CY63" s="847"/>
      <c r="CZ63" s="847"/>
      <c r="DA63" s="847"/>
      <c r="DB63" s="847"/>
      <c r="DC63" s="847"/>
      <c r="DD63" s="847"/>
      <c r="DE63" s="847"/>
      <c r="DF63" s="847"/>
    </row>
    <row r="64" spans="1:110" s="27" customFormat="1" ht="16.5" hidden="1" customHeight="1" thickBot="1">
      <c r="A64" s="24"/>
      <c r="B64" s="25"/>
      <c r="C64" s="50"/>
      <c r="D64" s="36"/>
      <c r="E64" s="57">
        <v>10</v>
      </c>
      <c r="F64" s="57">
        <v>10</v>
      </c>
      <c r="G64" s="57">
        <v>10</v>
      </c>
      <c r="H64" s="36"/>
      <c r="I64" s="57">
        <v>10</v>
      </c>
      <c r="J64" s="46">
        <v>10</v>
      </c>
      <c r="K64" s="46"/>
      <c r="L64" s="36"/>
      <c r="M64" s="36"/>
      <c r="N64" s="57"/>
      <c r="O64" s="36"/>
      <c r="P64" s="36"/>
      <c r="Q64" s="36"/>
      <c r="R64" s="36"/>
      <c r="S64" s="36"/>
      <c r="T64" s="36"/>
      <c r="U64" s="47"/>
      <c r="V64" s="57"/>
      <c r="W64" s="57"/>
      <c r="X64" s="57"/>
      <c r="Y64" s="57"/>
      <c r="Z64" s="60"/>
      <c r="AA64" s="36"/>
      <c r="AB64" s="36"/>
      <c r="AC64" s="26"/>
      <c r="AD64" s="36"/>
      <c r="AE64" s="47"/>
      <c r="AF64" s="103">
        <f>SUM(C64:AE64)</f>
        <v>50</v>
      </c>
      <c r="AG64" s="847"/>
      <c r="AH64" s="847"/>
      <c r="AI64" s="847"/>
      <c r="AJ64" s="847"/>
      <c r="AK64" s="847"/>
      <c r="AL64" s="847"/>
      <c r="AM64" s="847"/>
      <c r="AN64" s="847"/>
      <c r="AO64" s="847"/>
      <c r="AP64" s="847"/>
      <c r="AQ64" s="847"/>
      <c r="AR64" s="847"/>
      <c r="AS64" s="847"/>
      <c r="AT64" s="847"/>
      <c r="AU64" s="847"/>
      <c r="AV64" s="847"/>
      <c r="AW64" s="847"/>
      <c r="AX64" s="847"/>
      <c r="AY64" s="847"/>
      <c r="AZ64" s="847"/>
      <c r="BA64" s="847"/>
      <c r="BB64" s="847"/>
      <c r="BC64" s="847"/>
      <c r="BD64" s="847"/>
      <c r="BE64" s="847"/>
      <c r="BF64" s="847"/>
      <c r="BG64" s="847"/>
      <c r="BH64" s="847"/>
      <c r="BI64" s="847"/>
      <c r="BJ64" s="847"/>
      <c r="BK64" s="847"/>
      <c r="BL64" s="847"/>
      <c r="BM64" s="847"/>
      <c r="BN64" s="847"/>
      <c r="BO64" s="847"/>
      <c r="BP64" s="847"/>
      <c r="BQ64" s="847"/>
      <c r="BR64" s="847"/>
      <c r="BS64" s="847"/>
      <c r="BT64" s="847"/>
      <c r="BU64" s="847"/>
      <c r="BV64" s="847"/>
      <c r="BW64" s="847"/>
      <c r="BX64" s="847"/>
      <c r="BY64" s="847"/>
      <c r="BZ64" s="847"/>
      <c r="CA64" s="847"/>
      <c r="CB64" s="847"/>
      <c r="CC64" s="847"/>
      <c r="CD64" s="847"/>
      <c r="CE64" s="847"/>
      <c r="CF64" s="847"/>
      <c r="CG64" s="847"/>
      <c r="CH64" s="847"/>
      <c r="CI64" s="847"/>
      <c r="CJ64" s="847"/>
      <c r="CK64" s="847"/>
      <c r="CL64" s="847"/>
      <c r="CM64" s="847"/>
      <c r="CN64" s="847"/>
      <c r="CO64" s="847"/>
      <c r="CP64" s="847"/>
      <c r="CQ64" s="847"/>
      <c r="CR64" s="847"/>
      <c r="CS64" s="847"/>
      <c r="CT64" s="847"/>
      <c r="CU64" s="847"/>
      <c r="CV64" s="847"/>
      <c r="CW64" s="847"/>
      <c r="CX64" s="847"/>
      <c r="CY64" s="847"/>
      <c r="CZ64" s="847"/>
      <c r="DA64" s="847"/>
      <c r="DB64" s="847"/>
      <c r="DC64" s="847"/>
      <c r="DD64" s="847"/>
      <c r="DE64" s="847"/>
      <c r="DF64" s="847"/>
    </row>
    <row r="65" spans="1:110" ht="18.75" hidden="1">
      <c r="A65" s="19">
        <v>29</v>
      </c>
      <c r="B65" s="20" t="s">
        <v>70</v>
      </c>
      <c r="C65" s="48">
        <v>145</v>
      </c>
      <c r="D65" s="40"/>
      <c r="E65" s="56"/>
      <c r="F65" s="56"/>
      <c r="G65" s="56"/>
      <c r="H65" s="40"/>
      <c r="I65" s="56"/>
      <c r="J65" s="40"/>
      <c r="K65" s="40"/>
      <c r="L65" s="40"/>
      <c r="M65" s="40"/>
      <c r="N65" s="56">
        <v>0</v>
      </c>
      <c r="O65" s="40"/>
      <c r="P65" s="40"/>
      <c r="Q65" s="40">
        <v>0</v>
      </c>
      <c r="R65" s="40"/>
      <c r="S65" s="40"/>
      <c r="T65" s="40"/>
      <c r="U65" s="49"/>
      <c r="V65" s="69"/>
      <c r="W65" s="69"/>
      <c r="X65" s="69"/>
      <c r="Y65" s="69"/>
      <c r="Z65" s="59"/>
      <c r="AA65" s="40"/>
      <c r="AB65" s="40"/>
      <c r="AC65" s="21"/>
      <c r="AD65" s="40"/>
      <c r="AE65" s="49"/>
      <c r="AF65" s="104"/>
      <c r="AG65" s="847"/>
      <c r="AH65" s="847"/>
      <c r="AI65" s="847"/>
      <c r="AJ65" s="847"/>
      <c r="AK65" s="847"/>
      <c r="AL65" s="847"/>
      <c r="AM65" s="847"/>
      <c r="AN65" s="847"/>
      <c r="AO65" s="847"/>
      <c r="AP65" s="847"/>
      <c r="AQ65" s="847"/>
      <c r="AR65" s="847"/>
      <c r="AS65" s="847"/>
      <c r="AT65" s="847"/>
      <c r="AU65" s="847"/>
      <c r="AV65" s="847"/>
      <c r="AW65" s="847"/>
      <c r="AX65" s="847"/>
      <c r="AY65" s="847"/>
      <c r="AZ65" s="847"/>
      <c r="BA65" s="847"/>
      <c r="BB65" s="847"/>
      <c r="BC65" s="847"/>
      <c r="BD65" s="847"/>
      <c r="BE65" s="847"/>
      <c r="BF65" s="847"/>
      <c r="BG65" s="847"/>
      <c r="BH65" s="847"/>
      <c r="BI65" s="847"/>
      <c r="BJ65" s="847"/>
      <c r="BK65" s="847"/>
      <c r="BL65" s="847"/>
      <c r="BM65" s="847"/>
      <c r="BN65" s="847"/>
      <c r="BO65" s="847"/>
      <c r="BP65" s="847"/>
      <c r="BQ65" s="847"/>
      <c r="BR65" s="847"/>
      <c r="BS65" s="847"/>
      <c r="BT65" s="847"/>
      <c r="BU65" s="847"/>
      <c r="BV65" s="847"/>
      <c r="BW65" s="847"/>
      <c r="BX65" s="847"/>
      <c r="BY65" s="847"/>
      <c r="BZ65" s="847"/>
      <c r="CA65" s="847"/>
      <c r="CB65" s="847"/>
      <c r="CC65" s="847"/>
      <c r="CD65" s="847"/>
      <c r="CE65" s="847"/>
      <c r="CF65" s="847"/>
      <c r="CG65" s="847"/>
      <c r="CH65" s="847"/>
      <c r="CI65" s="847"/>
      <c r="CJ65" s="847"/>
      <c r="CK65" s="847"/>
      <c r="CL65" s="847"/>
      <c r="CM65" s="847"/>
      <c r="CN65" s="847"/>
      <c r="CO65" s="847"/>
      <c r="CP65" s="847"/>
      <c r="CQ65" s="847"/>
      <c r="CR65" s="847"/>
      <c r="CS65" s="847"/>
      <c r="CT65" s="847"/>
      <c r="CU65" s="847"/>
      <c r="CV65" s="847"/>
      <c r="CW65" s="847"/>
      <c r="CX65" s="847"/>
      <c r="CY65" s="847"/>
      <c r="CZ65" s="847"/>
      <c r="DA65" s="847"/>
      <c r="DB65" s="847"/>
      <c r="DC65" s="847"/>
      <c r="DD65" s="847"/>
      <c r="DE65" s="847"/>
      <c r="DF65" s="847"/>
    </row>
    <row r="66" spans="1:110" s="31" customFormat="1" ht="16.5" hidden="1" customHeight="1" thickBot="1">
      <c r="A66" s="24"/>
      <c r="B66" s="25"/>
      <c r="C66" s="38"/>
      <c r="D66" s="43"/>
      <c r="E66" s="65"/>
      <c r="F66" s="65"/>
      <c r="G66" s="65"/>
      <c r="H66" s="38"/>
      <c r="I66" s="65"/>
      <c r="J66" s="38"/>
      <c r="K66" s="38"/>
      <c r="L66" s="38"/>
      <c r="M66" s="38"/>
      <c r="N66" s="57"/>
      <c r="O66" s="36"/>
      <c r="P66" s="36"/>
      <c r="Q66" s="41"/>
      <c r="R66" s="41"/>
      <c r="S66" s="41"/>
      <c r="T66" s="36"/>
      <c r="U66" s="47"/>
      <c r="V66" s="57"/>
      <c r="W66" s="57"/>
      <c r="X66" s="57"/>
      <c r="Y66" s="57"/>
      <c r="Z66" s="60"/>
      <c r="AA66" s="36"/>
      <c r="AB66" s="36"/>
      <c r="AC66" s="26"/>
      <c r="AD66" s="36"/>
      <c r="AE66" s="47"/>
      <c r="AF66" s="103">
        <f>SUM(C66:AE66)</f>
        <v>0</v>
      </c>
      <c r="AG66" s="847"/>
      <c r="AH66" s="847"/>
      <c r="AI66" s="847"/>
      <c r="AJ66" s="847"/>
      <c r="AK66" s="847"/>
      <c r="AL66" s="847"/>
      <c r="AM66" s="847"/>
      <c r="AN66" s="847"/>
      <c r="AO66" s="847"/>
      <c r="AP66" s="847"/>
      <c r="AQ66" s="847"/>
      <c r="AR66" s="847"/>
      <c r="AS66" s="847"/>
      <c r="AT66" s="847"/>
      <c r="AU66" s="847"/>
      <c r="AV66" s="847"/>
      <c r="AW66" s="847"/>
      <c r="AX66" s="847"/>
      <c r="AY66" s="847"/>
      <c r="AZ66" s="847"/>
      <c r="BA66" s="847"/>
      <c r="BB66" s="847"/>
      <c r="BC66" s="847"/>
      <c r="BD66" s="847"/>
      <c r="BE66" s="847"/>
      <c r="BF66" s="847"/>
      <c r="BG66" s="847"/>
      <c r="BH66" s="847"/>
      <c r="BI66" s="847"/>
      <c r="BJ66" s="847"/>
      <c r="BK66" s="847"/>
      <c r="BL66" s="847"/>
      <c r="BM66" s="847"/>
      <c r="BN66" s="847"/>
      <c r="BO66" s="847"/>
      <c r="BP66" s="847"/>
      <c r="BQ66" s="847"/>
      <c r="BR66" s="847"/>
      <c r="BS66" s="847"/>
      <c r="BT66" s="847"/>
      <c r="BU66" s="847"/>
      <c r="BV66" s="847"/>
      <c r="BW66" s="847"/>
      <c r="BX66" s="847"/>
      <c r="BY66" s="847"/>
      <c r="BZ66" s="847"/>
      <c r="CA66" s="847"/>
      <c r="CB66" s="847"/>
      <c r="CC66" s="847"/>
      <c r="CD66" s="847"/>
      <c r="CE66" s="847"/>
      <c r="CF66" s="847"/>
      <c r="CG66" s="847"/>
      <c r="CH66" s="847"/>
      <c r="CI66" s="847"/>
      <c r="CJ66" s="847"/>
      <c r="CK66" s="847"/>
      <c r="CL66" s="847"/>
      <c r="CM66" s="847"/>
      <c r="CN66" s="847"/>
      <c r="CO66" s="847"/>
      <c r="CP66" s="847"/>
      <c r="CQ66" s="847"/>
      <c r="CR66" s="847"/>
      <c r="CS66" s="847"/>
      <c r="CT66" s="847"/>
      <c r="CU66" s="847"/>
      <c r="CV66" s="847"/>
      <c r="CW66" s="847"/>
      <c r="CX66" s="847"/>
      <c r="CY66" s="847"/>
      <c r="CZ66" s="847"/>
      <c r="DA66" s="847"/>
      <c r="DB66" s="847"/>
      <c r="DC66" s="847"/>
      <c r="DD66" s="847"/>
      <c r="DE66" s="847"/>
      <c r="DF66" s="847"/>
    </row>
    <row r="67" spans="1:110" s="4" customFormat="1" ht="12.75">
      <c r="A67" s="857"/>
      <c r="B67" s="858"/>
      <c r="C67" s="858"/>
      <c r="D67" s="858"/>
      <c r="E67" s="858"/>
      <c r="F67" s="858"/>
      <c r="G67" s="858"/>
      <c r="H67" s="858"/>
      <c r="I67" s="858"/>
      <c r="J67" s="858"/>
      <c r="K67" s="858"/>
      <c r="L67" s="858"/>
      <c r="M67" s="858"/>
      <c r="N67" s="858"/>
      <c r="O67" s="858"/>
      <c r="P67" s="858"/>
      <c r="Q67" s="858"/>
      <c r="R67" s="858"/>
      <c r="S67" s="858"/>
      <c r="T67" s="858"/>
      <c r="U67" s="858"/>
      <c r="V67" s="858"/>
      <c r="W67" s="858"/>
      <c r="X67" s="858"/>
      <c r="Y67" s="858"/>
      <c r="Z67" s="858"/>
      <c r="AA67" s="858"/>
      <c r="AB67" s="858"/>
      <c r="AC67" s="858"/>
      <c r="AD67" s="858"/>
      <c r="AE67" s="859"/>
      <c r="AF67" s="83"/>
      <c r="AG67" s="848"/>
      <c r="AH67" s="848"/>
      <c r="AI67" s="848"/>
      <c r="AJ67" s="848"/>
      <c r="AK67" s="848"/>
      <c r="AL67" s="848"/>
      <c r="AM67" s="848"/>
      <c r="AN67" s="848"/>
      <c r="AO67" s="848"/>
      <c r="AP67" s="848"/>
      <c r="AQ67" s="848"/>
      <c r="AR67" s="848"/>
      <c r="AS67" s="848"/>
      <c r="AT67" s="848"/>
      <c r="AU67" s="848"/>
      <c r="AV67" s="848"/>
      <c r="AW67" s="848"/>
      <c r="AX67" s="848"/>
      <c r="AY67" s="848"/>
      <c r="AZ67" s="848"/>
      <c r="BA67" s="848"/>
      <c r="BB67" s="848"/>
      <c r="BC67" s="848"/>
      <c r="BD67" s="848"/>
      <c r="BE67" s="848"/>
      <c r="BF67" s="848"/>
      <c r="BG67" s="848"/>
      <c r="BH67" s="848"/>
      <c r="BI67" s="848"/>
      <c r="BJ67" s="848"/>
      <c r="BK67" s="848"/>
      <c r="BL67" s="848"/>
      <c r="BM67" s="848"/>
      <c r="BN67" s="848"/>
      <c r="BO67" s="848"/>
      <c r="BP67" s="848"/>
      <c r="BQ67" s="848"/>
      <c r="BR67" s="848"/>
      <c r="BS67" s="848"/>
      <c r="BT67" s="848"/>
      <c r="BU67" s="848"/>
      <c r="BV67" s="848"/>
      <c r="BW67" s="848"/>
      <c r="BX67" s="848"/>
      <c r="BY67" s="848"/>
      <c r="BZ67" s="848"/>
      <c r="CA67" s="848"/>
      <c r="CB67" s="848"/>
      <c r="CC67" s="848"/>
      <c r="CD67" s="848"/>
      <c r="CE67" s="848"/>
      <c r="CF67" s="848"/>
      <c r="CG67" s="848"/>
      <c r="CH67" s="848"/>
      <c r="CI67" s="848"/>
      <c r="CJ67" s="848"/>
      <c r="CK67" s="848"/>
      <c r="CL67" s="848"/>
      <c r="CM67" s="848"/>
      <c r="CN67" s="848"/>
      <c r="CO67" s="848"/>
      <c r="CP67" s="848"/>
      <c r="CQ67" s="848"/>
      <c r="CR67" s="848"/>
      <c r="CS67" s="848"/>
      <c r="CT67" s="848"/>
      <c r="CU67" s="848"/>
      <c r="CV67" s="848"/>
      <c r="CW67" s="848"/>
      <c r="CX67" s="848"/>
      <c r="CY67" s="848"/>
      <c r="CZ67" s="848"/>
      <c r="DA67" s="848"/>
      <c r="DB67" s="848"/>
      <c r="DC67" s="848"/>
      <c r="DD67" s="848"/>
      <c r="DE67" s="848"/>
      <c r="DF67" s="848"/>
    </row>
    <row r="68" spans="1:110" ht="12.75">
      <c r="A68" s="860"/>
      <c r="B68" s="858"/>
      <c r="C68" s="858"/>
      <c r="D68" s="858"/>
      <c r="E68" s="858"/>
      <c r="F68" s="858"/>
      <c r="G68" s="858"/>
      <c r="H68" s="858"/>
      <c r="I68" s="858"/>
      <c r="J68" s="858"/>
      <c r="K68" s="858"/>
      <c r="L68" s="858"/>
      <c r="M68" s="858"/>
      <c r="N68" s="858"/>
      <c r="O68" s="858"/>
      <c r="P68" s="858"/>
      <c r="Q68" s="858"/>
      <c r="R68" s="858"/>
      <c r="S68" s="858"/>
      <c r="T68" s="858"/>
      <c r="U68" s="858"/>
      <c r="V68" s="858"/>
      <c r="W68" s="858"/>
      <c r="X68" s="858"/>
      <c r="Y68" s="858"/>
      <c r="Z68" s="858"/>
      <c r="AA68" s="858"/>
      <c r="AB68" s="858"/>
      <c r="AC68" s="858"/>
      <c r="AD68" s="858"/>
      <c r="AE68" s="859"/>
      <c r="AF68" s="83"/>
      <c r="AG68" s="848"/>
      <c r="AH68" s="848"/>
      <c r="AI68" s="848"/>
      <c r="AJ68" s="848"/>
      <c r="AK68" s="848"/>
      <c r="AL68" s="848"/>
      <c r="AM68" s="848"/>
      <c r="AN68" s="848"/>
      <c r="AO68" s="848"/>
      <c r="AP68" s="848"/>
      <c r="AQ68" s="848"/>
      <c r="AR68" s="848"/>
      <c r="AS68" s="848"/>
      <c r="AT68" s="848"/>
      <c r="AU68" s="848"/>
      <c r="AV68" s="848"/>
      <c r="AW68" s="848"/>
      <c r="AX68" s="848"/>
      <c r="AY68" s="848"/>
      <c r="AZ68" s="848"/>
      <c r="BA68" s="848"/>
      <c r="BB68" s="848"/>
      <c r="BC68" s="848"/>
      <c r="BD68" s="848"/>
      <c r="BE68" s="848"/>
      <c r="BF68" s="848"/>
      <c r="BG68" s="848"/>
      <c r="BH68" s="848"/>
      <c r="BI68" s="848"/>
      <c r="BJ68" s="848"/>
      <c r="BK68" s="848"/>
      <c r="BL68" s="848"/>
      <c r="BM68" s="848"/>
      <c r="BN68" s="848"/>
      <c r="BO68" s="848"/>
      <c r="BP68" s="848"/>
      <c r="BQ68" s="848"/>
      <c r="BR68" s="848"/>
      <c r="BS68" s="848"/>
      <c r="BT68" s="848"/>
      <c r="BU68" s="848"/>
      <c r="BV68" s="848"/>
      <c r="BW68" s="848"/>
      <c r="BX68" s="848"/>
      <c r="BY68" s="848"/>
      <c r="BZ68" s="848"/>
      <c r="CA68" s="848"/>
      <c r="CB68" s="848"/>
      <c r="CC68" s="848"/>
      <c r="CD68" s="848"/>
      <c r="CE68" s="848"/>
      <c r="CF68" s="848"/>
      <c r="CG68" s="848"/>
      <c r="CH68" s="848"/>
      <c r="CI68" s="848"/>
      <c r="CJ68" s="848"/>
      <c r="CK68" s="848"/>
      <c r="CL68" s="848"/>
      <c r="CM68" s="848"/>
      <c r="CN68" s="848"/>
      <c r="CO68" s="848"/>
      <c r="CP68" s="848"/>
      <c r="CQ68" s="848"/>
      <c r="CR68" s="848"/>
      <c r="CS68" s="848"/>
      <c r="CT68" s="848"/>
      <c r="CU68" s="848"/>
      <c r="CV68" s="848"/>
      <c r="CW68" s="848"/>
      <c r="CX68" s="848"/>
      <c r="CY68" s="848"/>
      <c r="CZ68" s="848"/>
      <c r="DA68" s="848"/>
      <c r="DB68" s="848"/>
      <c r="DC68" s="848"/>
      <c r="DD68" s="848"/>
      <c r="DE68" s="848"/>
      <c r="DF68" s="848"/>
    </row>
    <row r="69" spans="1:110" ht="12.75">
      <c r="A69" s="860"/>
      <c r="B69" s="858"/>
      <c r="C69" s="858"/>
      <c r="D69" s="858"/>
      <c r="E69" s="858"/>
      <c r="F69" s="858"/>
      <c r="G69" s="858"/>
      <c r="H69" s="858"/>
      <c r="I69" s="858"/>
      <c r="J69" s="858"/>
      <c r="K69" s="858"/>
      <c r="L69" s="858"/>
      <c r="M69" s="858"/>
      <c r="N69" s="858"/>
      <c r="O69" s="858"/>
      <c r="P69" s="858"/>
      <c r="Q69" s="858"/>
      <c r="R69" s="858"/>
      <c r="S69" s="858"/>
      <c r="T69" s="858"/>
      <c r="U69" s="858"/>
      <c r="V69" s="858"/>
      <c r="W69" s="858"/>
      <c r="X69" s="858"/>
      <c r="Y69" s="858"/>
      <c r="Z69" s="858"/>
      <c r="AA69" s="858"/>
      <c r="AB69" s="858"/>
      <c r="AC69" s="858"/>
      <c r="AD69" s="858"/>
      <c r="AE69" s="859"/>
      <c r="AF69" s="83"/>
      <c r="AG69" s="848"/>
      <c r="AH69" s="848"/>
      <c r="AI69" s="848"/>
      <c r="AJ69" s="848"/>
      <c r="AK69" s="848"/>
      <c r="AL69" s="848"/>
      <c r="AM69" s="848"/>
      <c r="AN69" s="848"/>
      <c r="AO69" s="848"/>
      <c r="AP69" s="848"/>
      <c r="AQ69" s="848"/>
      <c r="AR69" s="848"/>
      <c r="AS69" s="848"/>
      <c r="AT69" s="848"/>
      <c r="AU69" s="848"/>
      <c r="AV69" s="848"/>
      <c r="AW69" s="848"/>
      <c r="AX69" s="848"/>
      <c r="AY69" s="848"/>
      <c r="AZ69" s="848"/>
      <c r="BA69" s="848"/>
      <c r="BB69" s="848"/>
      <c r="BC69" s="848"/>
      <c r="BD69" s="848"/>
      <c r="BE69" s="848"/>
      <c r="BF69" s="848"/>
      <c r="BG69" s="848"/>
      <c r="BH69" s="848"/>
      <c r="BI69" s="848"/>
      <c r="BJ69" s="848"/>
      <c r="BK69" s="848"/>
      <c r="BL69" s="848"/>
      <c r="BM69" s="848"/>
      <c r="BN69" s="848"/>
      <c r="BO69" s="848"/>
      <c r="BP69" s="848"/>
      <c r="BQ69" s="848"/>
      <c r="BR69" s="848"/>
      <c r="BS69" s="848"/>
      <c r="BT69" s="848"/>
      <c r="BU69" s="848"/>
      <c r="BV69" s="848"/>
      <c r="BW69" s="848"/>
      <c r="BX69" s="848"/>
      <c r="BY69" s="848"/>
      <c r="BZ69" s="848"/>
      <c r="CA69" s="848"/>
      <c r="CB69" s="848"/>
      <c r="CC69" s="848"/>
      <c r="CD69" s="848"/>
      <c r="CE69" s="848"/>
      <c r="CF69" s="848"/>
      <c r="CG69" s="848"/>
      <c r="CH69" s="848"/>
      <c r="CI69" s="848"/>
      <c r="CJ69" s="848"/>
      <c r="CK69" s="848"/>
      <c r="CL69" s="848"/>
      <c r="CM69" s="848"/>
      <c r="CN69" s="848"/>
      <c r="CO69" s="848"/>
      <c r="CP69" s="848"/>
      <c r="CQ69" s="848"/>
      <c r="CR69" s="848"/>
      <c r="CS69" s="848"/>
      <c r="CT69" s="848"/>
      <c r="CU69" s="848"/>
      <c r="CV69" s="848"/>
      <c r="CW69" s="848"/>
      <c r="CX69" s="848"/>
      <c r="CY69" s="848"/>
      <c r="CZ69" s="848"/>
      <c r="DA69" s="848"/>
      <c r="DB69" s="848"/>
      <c r="DC69" s="848"/>
      <c r="DD69" s="848"/>
      <c r="DE69" s="848"/>
      <c r="DF69" s="848"/>
    </row>
    <row r="70" spans="1:110" s="3" customFormat="1" ht="12.75">
      <c r="A70" s="860"/>
      <c r="B70" s="858"/>
      <c r="C70" s="858"/>
      <c r="D70" s="858"/>
      <c r="E70" s="858"/>
      <c r="F70" s="858"/>
      <c r="G70" s="858"/>
      <c r="H70" s="858"/>
      <c r="I70" s="858"/>
      <c r="J70" s="858"/>
      <c r="K70" s="858"/>
      <c r="L70" s="858"/>
      <c r="M70" s="858"/>
      <c r="N70" s="858"/>
      <c r="O70" s="858"/>
      <c r="P70" s="858"/>
      <c r="Q70" s="858"/>
      <c r="R70" s="858"/>
      <c r="S70" s="858"/>
      <c r="T70" s="858"/>
      <c r="U70" s="858"/>
      <c r="V70" s="858"/>
      <c r="W70" s="858"/>
      <c r="X70" s="858"/>
      <c r="Y70" s="858"/>
      <c r="Z70" s="858"/>
      <c r="AA70" s="858"/>
      <c r="AB70" s="858"/>
      <c r="AC70" s="858"/>
      <c r="AD70" s="858"/>
      <c r="AE70" s="859"/>
      <c r="AF70" s="83"/>
      <c r="AG70" s="848"/>
      <c r="AH70" s="848"/>
      <c r="AI70" s="848"/>
      <c r="AJ70" s="848"/>
      <c r="AK70" s="848"/>
      <c r="AL70" s="848"/>
      <c r="AM70" s="848"/>
      <c r="AN70" s="848"/>
      <c r="AO70" s="848"/>
      <c r="AP70" s="848"/>
      <c r="AQ70" s="848"/>
      <c r="AR70" s="848"/>
      <c r="AS70" s="848"/>
      <c r="AT70" s="848"/>
      <c r="AU70" s="848"/>
      <c r="AV70" s="848"/>
      <c r="AW70" s="848"/>
      <c r="AX70" s="848"/>
      <c r="AY70" s="848"/>
      <c r="AZ70" s="848"/>
      <c r="BA70" s="848"/>
      <c r="BB70" s="848"/>
      <c r="BC70" s="848"/>
      <c r="BD70" s="848"/>
      <c r="BE70" s="848"/>
      <c r="BF70" s="848"/>
      <c r="BG70" s="848"/>
      <c r="BH70" s="848"/>
      <c r="BI70" s="848"/>
      <c r="BJ70" s="848"/>
      <c r="BK70" s="848"/>
      <c r="BL70" s="848"/>
      <c r="BM70" s="848"/>
      <c r="BN70" s="848"/>
      <c r="BO70" s="848"/>
      <c r="BP70" s="848"/>
      <c r="BQ70" s="848"/>
      <c r="BR70" s="848"/>
      <c r="BS70" s="848"/>
      <c r="BT70" s="848"/>
      <c r="BU70" s="848"/>
      <c r="BV70" s="848"/>
      <c r="BW70" s="848"/>
      <c r="BX70" s="848"/>
      <c r="BY70" s="848"/>
      <c r="BZ70" s="848"/>
      <c r="CA70" s="848"/>
      <c r="CB70" s="848"/>
      <c r="CC70" s="848"/>
      <c r="CD70" s="848"/>
      <c r="CE70" s="848"/>
      <c r="CF70" s="848"/>
      <c r="CG70" s="848"/>
      <c r="CH70" s="848"/>
      <c r="CI70" s="848"/>
      <c r="CJ70" s="848"/>
      <c r="CK70" s="848"/>
      <c r="CL70" s="848"/>
      <c r="CM70" s="848"/>
      <c r="CN70" s="848"/>
      <c r="CO70" s="848"/>
      <c r="CP70" s="848"/>
      <c r="CQ70" s="848"/>
      <c r="CR70" s="848"/>
      <c r="CS70" s="848"/>
      <c r="CT70" s="848"/>
      <c r="CU70" s="848"/>
      <c r="CV70" s="848"/>
      <c r="CW70" s="848"/>
      <c r="CX70" s="848"/>
      <c r="CY70" s="848"/>
      <c r="CZ70" s="848"/>
      <c r="DA70" s="848"/>
      <c r="DB70" s="848"/>
      <c r="DC70" s="848"/>
      <c r="DD70" s="848"/>
      <c r="DE70" s="848"/>
      <c r="DF70" s="848"/>
    </row>
    <row r="71" spans="1:110" s="4" customFormat="1" ht="12.75">
      <c r="A71" s="860"/>
      <c r="B71" s="858"/>
      <c r="C71" s="858"/>
      <c r="D71" s="858"/>
      <c r="E71" s="858"/>
      <c r="F71" s="858"/>
      <c r="G71" s="858"/>
      <c r="H71" s="858"/>
      <c r="I71" s="858"/>
      <c r="J71" s="858"/>
      <c r="K71" s="858"/>
      <c r="L71" s="858"/>
      <c r="M71" s="858"/>
      <c r="N71" s="858"/>
      <c r="O71" s="858"/>
      <c r="P71" s="858"/>
      <c r="Q71" s="858"/>
      <c r="R71" s="858"/>
      <c r="S71" s="858"/>
      <c r="T71" s="858"/>
      <c r="U71" s="858"/>
      <c r="V71" s="858"/>
      <c r="W71" s="858"/>
      <c r="X71" s="858"/>
      <c r="Y71" s="858"/>
      <c r="Z71" s="858"/>
      <c r="AA71" s="858"/>
      <c r="AB71" s="858"/>
      <c r="AC71" s="858"/>
      <c r="AD71" s="858"/>
      <c r="AE71" s="859"/>
      <c r="AF71" s="83"/>
      <c r="AG71" s="848"/>
      <c r="AH71" s="848"/>
      <c r="AI71" s="848"/>
      <c r="AJ71" s="848"/>
      <c r="AK71" s="848"/>
      <c r="AL71" s="848"/>
      <c r="AM71" s="848"/>
      <c r="AN71" s="848"/>
      <c r="AO71" s="848"/>
      <c r="AP71" s="848"/>
      <c r="AQ71" s="848"/>
      <c r="AR71" s="848"/>
      <c r="AS71" s="848"/>
      <c r="AT71" s="848"/>
      <c r="AU71" s="848"/>
      <c r="AV71" s="848"/>
      <c r="AW71" s="848"/>
      <c r="AX71" s="848"/>
      <c r="AY71" s="848"/>
      <c r="AZ71" s="848"/>
      <c r="BA71" s="848"/>
      <c r="BB71" s="848"/>
      <c r="BC71" s="848"/>
      <c r="BD71" s="848"/>
      <c r="BE71" s="848"/>
      <c r="BF71" s="848"/>
      <c r="BG71" s="848"/>
      <c r="BH71" s="848"/>
      <c r="BI71" s="848"/>
      <c r="BJ71" s="848"/>
      <c r="BK71" s="848"/>
      <c r="BL71" s="848"/>
      <c r="BM71" s="848"/>
      <c r="BN71" s="848"/>
      <c r="BO71" s="848"/>
      <c r="BP71" s="848"/>
      <c r="BQ71" s="848"/>
      <c r="BR71" s="848"/>
      <c r="BS71" s="848"/>
      <c r="BT71" s="848"/>
      <c r="BU71" s="848"/>
      <c r="BV71" s="848"/>
      <c r="BW71" s="848"/>
      <c r="BX71" s="848"/>
      <c r="BY71" s="848"/>
      <c r="BZ71" s="848"/>
      <c r="CA71" s="848"/>
      <c r="CB71" s="848"/>
      <c r="CC71" s="848"/>
      <c r="CD71" s="848"/>
      <c r="CE71" s="848"/>
      <c r="CF71" s="848"/>
      <c r="CG71" s="848"/>
      <c r="CH71" s="848"/>
      <c r="CI71" s="848"/>
      <c r="CJ71" s="848"/>
      <c r="CK71" s="848"/>
      <c r="CL71" s="848"/>
      <c r="CM71" s="848"/>
      <c r="CN71" s="848"/>
      <c r="CO71" s="848"/>
      <c r="CP71" s="848"/>
      <c r="CQ71" s="848"/>
      <c r="CR71" s="848"/>
      <c r="CS71" s="848"/>
      <c r="CT71" s="848"/>
      <c r="CU71" s="848"/>
      <c r="CV71" s="848"/>
      <c r="CW71" s="848"/>
      <c r="CX71" s="848"/>
      <c r="CY71" s="848"/>
      <c r="CZ71" s="848"/>
      <c r="DA71" s="848"/>
      <c r="DB71" s="848"/>
      <c r="DC71" s="848"/>
      <c r="DD71" s="848"/>
      <c r="DE71" s="848"/>
      <c r="DF71" s="848"/>
    </row>
    <row r="72" spans="1:110" ht="12.75">
      <c r="A72" s="860"/>
      <c r="B72" s="858"/>
      <c r="C72" s="858"/>
      <c r="D72" s="858"/>
      <c r="E72" s="858"/>
      <c r="F72" s="858"/>
      <c r="G72" s="858"/>
      <c r="H72" s="858"/>
      <c r="I72" s="858"/>
      <c r="J72" s="858"/>
      <c r="K72" s="858"/>
      <c r="L72" s="858"/>
      <c r="M72" s="858"/>
      <c r="N72" s="858"/>
      <c r="O72" s="858"/>
      <c r="P72" s="858"/>
      <c r="Q72" s="858"/>
      <c r="R72" s="858"/>
      <c r="S72" s="858"/>
      <c r="T72" s="858"/>
      <c r="U72" s="858"/>
      <c r="V72" s="858"/>
      <c r="W72" s="858"/>
      <c r="X72" s="858"/>
      <c r="Y72" s="858"/>
      <c r="Z72" s="858"/>
      <c r="AA72" s="858"/>
      <c r="AB72" s="858"/>
      <c r="AC72" s="858"/>
      <c r="AD72" s="858"/>
      <c r="AE72" s="859"/>
      <c r="AF72" s="83"/>
      <c r="AG72" s="848"/>
      <c r="AH72" s="848"/>
      <c r="AI72" s="848"/>
      <c r="AJ72" s="848"/>
      <c r="AK72" s="848"/>
      <c r="AL72" s="848"/>
      <c r="AM72" s="848"/>
      <c r="AN72" s="848"/>
      <c r="AO72" s="848"/>
      <c r="AP72" s="848"/>
      <c r="AQ72" s="848"/>
      <c r="AR72" s="848"/>
      <c r="AS72" s="848"/>
      <c r="AT72" s="848"/>
      <c r="AU72" s="848"/>
      <c r="AV72" s="848"/>
      <c r="AW72" s="848"/>
      <c r="AX72" s="848"/>
      <c r="AY72" s="848"/>
      <c r="AZ72" s="848"/>
      <c r="BA72" s="848"/>
      <c r="BB72" s="848"/>
      <c r="BC72" s="848"/>
      <c r="BD72" s="848"/>
      <c r="BE72" s="848"/>
      <c r="BF72" s="848"/>
      <c r="BG72" s="848"/>
      <c r="BH72" s="848"/>
      <c r="BI72" s="848"/>
      <c r="BJ72" s="848"/>
      <c r="BK72" s="848"/>
      <c r="BL72" s="848"/>
      <c r="BM72" s="848"/>
      <c r="BN72" s="848"/>
      <c r="BO72" s="848"/>
      <c r="BP72" s="848"/>
      <c r="BQ72" s="848"/>
      <c r="BR72" s="848"/>
      <c r="BS72" s="848"/>
      <c r="BT72" s="848"/>
      <c r="BU72" s="848"/>
      <c r="BV72" s="848"/>
      <c r="BW72" s="848"/>
      <c r="BX72" s="848"/>
      <c r="BY72" s="848"/>
      <c r="BZ72" s="848"/>
      <c r="CA72" s="848"/>
      <c r="CB72" s="848"/>
      <c r="CC72" s="848"/>
      <c r="CD72" s="848"/>
      <c r="CE72" s="848"/>
      <c r="CF72" s="848"/>
      <c r="CG72" s="848"/>
      <c r="CH72" s="848"/>
      <c r="CI72" s="848"/>
      <c r="CJ72" s="848"/>
      <c r="CK72" s="848"/>
      <c r="CL72" s="848"/>
      <c r="CM72" s="848"/>
      <c r="CN72" s="848"/>
      <c r="CO72" s="848"/>
      <c r="CP72" s="848"/>
      <c r="CQ72" s="848"/>
      <c r="CR72" s="848"/>
      <c r="CS72" s="848"/>
      <c r="CT72" s="848"/>
      <c r="CU72" s="848"/>
      <c r="CV72" s="848"/>
      <c r="CW72" s="848"/>
      <c r="CX72" s="848"/>
      <c r="CY72" s="848"/>
      <c r="CZ72" s="848"/>
      <c r="DA72" s="848"/>
      <c r="DB72" s="848"/>
      <c r="DC72" s="848"/>
      <c r="DD72" s="848"/>
      <c r="DE72" s="848"/>
      <c r="DF72" s="848"/>
    </row>
    <row r="73" spans="1:110" ht="12.75">
      <c r="A73" s="860"/>
      <c r="B73" s="858"/>
      <c r="C73" s="858"/>
      <c r="D73" s="858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858"/>
      <c r="P73" s="858"/>
      <c r="Q73" s="858"/>
      <c r="R73" s="858"/>
      <c r="S73" s="858"/>
      <c r="T73" s="858"/>
      <c r="U73" s="858"/>
      <c r="V73" s="858"/>
      <c r="W73" s="858"/>
      <c r="X73" s="858"/>
      <c r="Y73" s="858"/>
      <c r="Z73" s="858"/>
      <c r="AA73" s="858"/>
      <c r="AB73" s="858"/>
      <c r="AC73" s="858"/>
      <c r="AD73" s="858"/>
      <c r="AE73" s="859"/>
      <c r="AF73" s="83"/>
      <c r="AG73" s="848"/>
      <c r="AH73" s="848"/>
      <c r="AI73" s="848"/>
      <c r="AJ73" s="848"/>
      <c r="AK73" s="848"/>
      <c r="AL73" s="848"/>
      <c r="AM73" s="848"/>
      <c r="AN73" s="848"/>
      <c r="AO73" s="848"/>
      <c r="AP73" s="848"/>
      <c r="AQ73" s="848"/>
      <c r="AR73" s="848"/>
      <c r="AS73" s="848"/>
      <c r="AT73" s="848"/>
      <c r="AU73" s="848"/>
      <c r="AV73" s="848"/>
      <c r="AW73" s="848"/>
      <c r="AX73" s="848"/>
      <c r="AY73" s="848"/>
      <c r="AZ73" s="848"/>
      <c r="BA73" s="848"/>
      <c r="BB73" s="848"/>
      <c r="BC73" s="848"/>
      <c r="BD73" s="848"/>
      <c r="BE73" s="848"/>
      <c r="BF73" s="848"/>
      <c r="BG73" s="848"/>
      <c r="BH73" s="848"/>
      <c r="BI73" s="848"/>
      <c r="BJ73" s="848"/>
      <c r="BK73" s="848"/>
      <c r="BL73" s="848"/>
      <c r="BM73" s="848"/>
      <c r="BN73" s="848"/>
      <c r="BO73" s="848"/>
      <c r="BP73" s="848"/>
      <c r="BQ73" s="848"/>
      <c r="BR73" s="848"/>
      <c r="BS73" s="848"/>
      <c r="BT73" s="848"/>
      <c r="BU73" s="848"/>
      <c r="BV73" s="848"/>
      <c r="BW73" s="848"/>
      <c r="BX73" s="848"/>
      <c r="BY73" s="848"/>
      <c r="BZ73" s="848"/>
      <c r="CA73" s="848"/>
      <c r="CB73" s="848"/>
      <c r="CC73" s="848"/>
      <c r="CD73" s="848"/>
      <c r="CE73" s="848"/>
      <c r="CF73" s="848"/>
      <c r="CG73" s="848"/>
      <c r="CH73" s="848"/>
      <c r="CI73" s="848"/>
      <c r="CJ73" s="848"/>
      <c r="CK73" s="848"/>
      <c r="CL73" s="848"/>
      <c r="CM73" s="848"/>
      <c r="CN73" s="848"/>
      <c r="CO73" s="848"/>
      <c r="CP73" s="848"/>
      <c r="CQ73" s="848"/>
      <c r="CR73" s="848"/>
      <c r="CS73" s="848"/>
      <c r="CT73" s="848"/>
      <c r="CU73" s="848"/>
      <c r="CV73" s="848"/>
      <c r="CW73" s="848"/>
      <c r="CX73" s="848"/>
      <c r="CY73" s="848"/>
      <c r="CZ73" s="848"/>
      <c r="DA73" s="848"/>
      <c r="DB73" s="848"/>
      <c r="DC73" s="848"/>
      <c r="DD73" s="848"/>
      <c r="DE73" s="848"/>
      <c r="DF73" s="848"/>
    </row>
    <row r="74" spans="1:110" s="3" customFormat="1" ht="12.75">
      <c r="A74" s="860"/>
      <c r="B74" s="858"/>
      <c r="C74" s="858"/>
      <c r="D74" s="858"/>
      <c r="E74" s="858"/>
      <c r="F74" s="858"/>
      <c r="G74" s="858"/>
      <c r="H74" s="858"/>
      <c r="I74" s="858"/>
      <c r="J74" s="858"/>
      <c r="K74" s="858"/>
      <c r="L74" s="858"/>
      <c r="M74" s="858"/>
      <c r="N74" s="858"/>
      <c r="O74" s="858"/>
      <c r="P74" s="858"/>
      <c r="Q74" s="858"/>
      <c r="R74" s="858"/>
      <c r="S74" s="858"/>
      <c r="T74" s="858"/>
      <c r="U74" s="858"/>
      <c r="V74" s="858"/>
      <c r="W74" s="858"/>
      <c r="X74" s="858"/>
      <c r="Y74" s="858"/>
      <c r="Z74" s="858"/>
      <c r="AA74" s="858"/>
      <c r="AB74" s="858"/>
      <c r="AC74" s="858"/>
      <c r="AD74" s="858"/>
      <c r="AE74" s="859"/>
      <c r="AF74" s="83"/>
      <c r="AG74" s="848"/>
      <c r="AH74" s="848"/>
      <c r="AI74" s="848"/>
      <c r="AJ74" s="848"/>
      <c r="AK74" s="848"/>
      <c r="AL74" s="848"/>
      <c r="AM74" s="848"/>
      <c r="AN74" s="848"/>
      <c r="AO74" s="848"/>
      <c r="AP74" s="848"/>
      <c r="AQ74" s="848"/>
      <c r="AR74" s="848"/>
      <c r="AS74" s="848"/>
      <c r="AT74" s="848"/>
      <c r="AU74" s="848"/>
      <c r="AV74" s="848"/>
      <c r="AW74" s="848"/>
      <c r="AX74" s="848"/>
      <c r="AY74" s="848"/>
      <c r="AZ74" s="848"/>
      <c r="BA74" s="848"/>
      <c r="BB74" s="848"/>
      <c r="BC74" s="848"/>
      <c r="BD74" s="848"/>
      <c r="BE74" s="848"/>
      <c r="BF74" s="848"/>
      <c r="BG74" s="848"/>
      <c r="BH74" s="848"/>
      <c r="BI74" s="848"/>
      <c r="BJ74" s="848"/>
      <c r="BK74" s="848"/>
      <c r="BL74" s="848"/>
      <c r="BM74" s="848"/>
      <c r="BN74" s="848"/>
      <c r="BO74" s="848"/>
      <c r="BP74" s="848"/>
      <c r="BQ74" s="848"/>
      <c r="BR74" s="848"/>
      <c r="BS74" s="848"/>
      <c r="BT74" s="848"/>
      <c r="BU74" s="848"/>
      <c r="BV74" s="848"/>
      <c r="BW74" s="848"/>
      <c r="BX74" s="848"/>
      <c r="BY74" s="848"/>
      <c r="BZ74" s="848"/>
      <c r="CA74" s="848"/>
      <c r="CB74" s="848"/>
      <c r="CC74" s="848"/>
      <c r="CD74" s="848"/>
      <c r="CE74" s="848"/>
      <c r="CF74" s="848"/>
      <c r="CG74" s="848"/>
      <c r="CH74" s="848"/>
      <c r="CI74" s="848"/>
      <c r="CJ74" s="848"/>
      <c r="CK74" s="848"/>
      <c r="CL74" s="848"/>
      <c r="CM74" s="848"/>
      <c r="CN74" s="848"/>
      <c r="CO74" s="848"/>
      <c r="CP74" s="848"/>
      <c r="CQ74" s="848"/>
      <c r="CR74" s="848"/>
      <c r="CS74" s="848"/>
      <c r="CT74" s="848"/>
      <c r="CU74" s="848"/>
      <c r="CV74" s="848"/>
      <c r="CW74" s="848"/>
      <c r="CX74" s="848"/>
      <c r="CY74" s="848"/>
      <c r="CZ74" s="848"/>
      <c r="DA74" s="848"/>
      <c r="DB74" s="848"/>
      <c r="DC74" s="848"/>
      <c r="DD74" s="848"/>
      <c r="DE74" s="848"/>
      <c r="DF74" s="848"/>
    </row>
    <row r="75" spans="1:110" s="4" customFormat="1" ht="12.75">
      <c r="A75" s="860"/>
      <c r="B75" s="858"/>
      <c r="C75" s="858"/>
      <c r="D75" s="858"/>
      <c r="E75" s="858"/>
      <c r="F75" s="858"/>
      <c r="G75" s="858"/>
      <c r="H75" s="858"/>
      <c r="I75" s="858"/>
      <c r="J75" s="858"/>
      <c r="K75" s="858"/>
      <c r="L75" s="858"/>
      <c r="M75" s="858"/>
      <c r="N75" s="858"/>
      <c r="O75" s="858"/>
      <c r="P75" s="858"/>
      <c r="Q75" s="858"/>
      <c r="R75" s="858"/>
      <c r="S75" s="858"/>
      <c r="T75" s="858"/>
      <c r="U75" s="858"/>
      <c r="V75" s="858"/>
      <c r="W75" s="858"/>
      <c r="X75" s="858"/>
      <c r="Y75" s="858"/>
      <c r="Z75" s="858"/>
      <c r="AA75" s="858"/>
      <c r="AB75" s="858"/>
      <c r="AC75" s="858"/>
      <c r="AD75" s="858"/>
      <c r="AE75" s="859"/>
      <c r="AF75" s="83"/>
      <c r="AG75" s="848"/>
      <c r="AH75" s="848"/>
      <c r="AI75" s="848"/>
      <c r="AJ75" s="848"/>
      <c r="AK75" s="848"/>
      <c r="AL75" s="848"/>
      <c r="AM75" s="848"/>
      <c r="AN75" s="848"/>
      <c r="AO75" s="848"/>
      <c r="AP75" s="848"/>
      <c r="AQ75" s="848"/>
      <c r="AR75" s="848"/>
      <c r="AS75" s="848"/>
      <c r="AT75" s="848"/>
      <c r="AU75" s="848"/>
      <c r="AV75" s="848"/>
      <c r="AW75" s="848"/>
      <c r="AX75" s="848"/>
      <c r="AY75" s="848"/>
      <c r="AZ75" s="848"/>
      <c r="BA75" s="848"/>
      <c r="BB75" s="848"/>
      <c r="BC75" s="848"/>
      <c r="BD75" s="848"/>
      <c r="BE75" s="848"/>
      <c r="BF75" s="848"/>
      <c r="BG75" s="848"/>
      <c r="BH75" s="848"/>
      <c r="BI75" s="848"/>
      <c r="BJ75" s="848"/>
      <c r="BK75" s="848"/>
      <c r="BL75" s="848"/>
      <c r="BM75" s="848"/>
      <c r="BN75" s="848"/>
      <c r="BO75" s="848"/>
      <c r="BP75" s="848"/>
      <c r="BQ75" s="848"/>
      <c r="BR75" s="848"/>
      <c r="BS75" s="848"/>
      <c r="BT75" s="848"/>
      <c r="BU75" s="848"/>
      <c r="BV75" s="848"/>
      <c r="BW75" s="848"/>
      <c r="BX75" s="848"/>
      <c r="BY75" s="848"/>
      <c r="BZ75" s="848"/>
      <c r="CA75" s="848"/>
      <c r="CB75" s="848"/>
      <c r="CC75" s="848"/>
      <c r="CD75" s="848"/>
      <c r="CE75" s="848"/>
      <c r="CF75" s="848"/>
      <c r="CG75" s="848"/>
      <c r="CH75" s="848"/>
      <c r="CI75" s="848"/>
      <c r="CJ75" s="848"/>
      <c r="CK75" s="848"/>
      <c r="CL75" s="848"/>
      <c r="CM75" s="848"/>
      <c r="CN75" s="848"/>
      <c r="CO75" s="848"/>
      <c r="CP75" s="848"/>
      <c r="CQ75" s="848"/>
      <c r="CR75" s="848"/>
      <c r="CS75" s="848"/>
      <c r="CT75" s="848"/>
      <c r="CU75" s="848"/>
      <c r="CV75" s="848"/>
      <c r="CW75" s="848"/>
      <c r="CX75" s="848"/>
      <c r="CY75" s="848"/>
      <c r="CZ75" s="848"/>
      <c r="DA75" s="848"/>
      <c r="DB75" s="848"/>
      <c r="DC75" s="848"/>
      <c r="DD75" s="848"/>
      <c r="DE75" s="848"/>
      <c r="DF75" s="848"/>
    </row>
    <row r="76" spans="1:110" ht="12.75">
      <c r="A76" s="860"/>
      <c r="B76" s="858"/>
      <c r="C76" s="858"/>
      <c r="D76" s="858"/>
      <c r="E76" s="858"/>
      <c r="F76" s="858"/>
      <c r="G76" s="858"/>
      <c r="H76" s="858"/>
      <c r="I76" s="858"/>
      <c r="J76" s="858"/>
      <c r="K76" s="858"/>
      <c r="L76" s="858"/>
      <c r="M76" s="858"/>
      <c r="N76" s="858"/>
      <c r="O76" s="858"/>
      <c r="P76" s="858"/>
      <c r="Q76" s="858"/>
      <c r="R76" s="858"/>
      <c r="S76" s="858"/>
      <c r="T76" s="858"/>
      <c r="U76" s="858"/>
      <c r="V76" s="858"/>
      <c r="W76" s="858"/>
      <c r="X76" s="858"/>
      <c r="Y76" s="858"/>
      <c r="Z76" s="858"/>
      <c r="AA76" s="858"/>
      <c r="AB76" s="858"/>
      <c r="AC76" s="858"/>
      <c r="AD76" s="858"/>
      <c r="AE76" s="859"/>
      <c r="AF76" s="83"/>
      <c r="AG76" s="848"/>
      <c r="AH76" s="848"/>
      <c r="AI76" s="848"/>
      <c r="AJ76" s="848"/>
      <c r="AK76" s="848"/>
      <c r="AL76" s="848"/>
      <c r="AM76" s="848"/>
      <c r="AN76" s="848"/>
      <c r="AO76" s="848"/>
      <c r="AP76" s="848"/>
      <c r="AQ76" s="848"/>
      <c r="AR76" s="848"/>
      <c r="AS76" s="848"/>
      <c r="AT76" s="848"/>
      <c r="AU76" s="848"/>
      <c r="AV76" s="848"/>
      <c r="AW76" s="848"/>
      <c r="AX76" s="848"/>
      <c r="AY76" s="848"/>
      <c r="AZ76" s="848"/>
      <c r="BA76" s="848"/>
      <c r="BB76" s="848"/>
      <c r="BC76" s="848"/>
      <c r="BD76" s="848"/>
      <c r="BE76" s="848"/>
      <c r="BF76" s="848"/>
      <c r="BG76" s="848"/>
      <c r="BH76" s="848"/>
      <c r="BI76" s="848"/>
      <c r="BJ76" s="848"/>
      <c r="BK76" s="848"/>
      <c r="BL76" s="848"/>
      <c r="BM76" s="848"/>
      <c r="BN76" s="848"/>
      <c r="BO76" s="848"/>
      <c r="BP76" s="848"/>
      <c r="BQ76" s="848"/>
      <c r="BR76" s="848"/>
      <c r="BS76" s="848"/>
      <c r="BT76" s="848"/>
      <c r="BU76" s="848"/>
      <c r="BV76" s="848"/>
      <c r="BW76" s="848"/>
      <c r="BX76" s="848"/>
      <c r="BY76" s="848"/>
      <c r="BZ76" s="848"/>
      <c r="CA76" s="848"/>
      <c r="CB76" s="848"/>
      <c r="CC76" s="848"/>
      <c r="CD76" s="848"/>
      <c r="CE76" s="848"/>
      <c r="CF76" s="848"/>
      <c r="CG76" s="848"/>
      <c r="CH76" s="848"/>
      <c r="CI76" s="848"/>
      <c r="CJ76" s="848"/>
      <c r="CK76" s="848"/>
      <c r="CL76" s="848"/>
      <c r="CM76" s="848"/>
      <c r="CN76" s="848"/>
      <c r="CO76" s="848"/>
      <c r="CP76" s="848"/>
      <c r="CQ76" s="848"/>
      <c r="CR76" s="848"/>
      <c r="CS76" s="848"/>
      <c r="CT76" s="848"/>
      <c r="CU76" s="848"/>
      <c r="CV76" s="848"/>
      <c r="CW76" s="848"/>
      <c r="CX76" s="848"/>
      <c r="CY76" s="848"/>
      <c r="CZ76" s="848"/>
      <c r="DA76" s="848"/>
      <c r="DB76" s="848"/>
      <c r="DC76" s="848"/>
      <c r="DD76" s="848"/>
      <c r="DE76" s="848"/>
      <c r="DF76" s="848"/>
    </row>
    <row r="77" spans="1:110" ht="12.75">
      <c r="A77" s="860"/>
      <c r="B77" s="858"/>
      <c r="C77" s="858"/>
      <c r="D77" s="858"/>
      <c r="E77" s="858"/>
      <c r="F77" s="858"/>
      <c r="G77" s="858"/>
      <c r="H77" s="858"/>
      <c r="I77" s="858"/>
      <c r="J77" s="858"/>
      <c r="K77" s="858"/>
      <c r="L77" s="858"/>
      <c r="M77" s="858"/>
      <c r="N77" s="858"/>
      <c r="O77" s="858"/>
      <c r="P77" s="858"/>
      <c r="Q77" s="858"/>
      <c r="R77" s="858"/>
      <c r="S77" s="858"/>
      <c r="T77" s="858"/>
      <c r="U77" s="858"/>
      <c r="V77" s="858"/>
      <c r="W77" s="858"/>
      <c r="X77" s="858"/>
      <c r="Y77" s="858"/>
      <c r="Z77" s="858"/>
      <c r="AA77" s="858"/>
      <c r="AB77" s="858"/>
      <c r="AC77" s="858"/>
      <c r="AD77" s="858"/>
      <c r="AE77" s="859"/>
      <c r="AF77" s="83"/>
      <c r="AG77" s="848"/>
      <c r="AH77" s="848"/>
      <c r="AI77" s="848"/>
      <c r="AJ77" s="848"/>
      <c r="AK77" s="848"/>
      <c r="AL77" s="848"/>
      <c r="AM77" s="848"/>
      <c r="AN77" s="848"/>
      <c r="AO77" s="848"/>
      <c r="AP77" s="848"/>
      <c r="AQ77" s="848"/>
      <c r="AR77" s="848"/>
      <c r="AS77" s="848"/>
      <c r="AT77" s="848"/>
      <c r="AU77" s="848"/>
      <c r="AV77" s="848"/>
      <c r="AW77" s="848"/>
      <c r="AX77" s="848"/>
      <c r="AY77" s="848"/>
      <c r="AZ77" s="848"/>
      <c r="BA77" s="848"/>
      <c r="BB77" s="848"/>
      <c r="BC77" s="848"/>
      <c r="BD77" s="848"/>
      <c r="BE77" s="848"/>
      <c r="BF77" s="848"/>
      <c r="BG77" s="848"/>
      <c r="BH77" s="848"/>
      <c r="BI77" s="848"/>
      <c r="BJ77" s="848"/>
      <c r="BK77" s="848"/>
      <c r="BL77" s="848"/>
      <c r="BM77" s="848"/>
      <c r="BN77" s="848"/>
      <c r="BO77" s="848"/>
      <c r="BP77" s="848"/>
      <c r="BQ77" s="848"/>
      <c r="BR77" s="848"/>
      <c r="BS77" s="848"/>
      <c r="BT77" s="848"/>
      <c r="BU77" s="848"/>
      <c r="BV77" s="848"/>
      <c r="BW77" s="848"/>
      <c r="BX77" s="848"/>
      <c r="BY77" s="848"/>
      <c r="BZ77" s="848"/>
      <c r="CA77" s="848"/>
      <c r="CB77" s="848"/>
      <c r="CC77" s="848"/>
      <c r="CD77" s="848"/>
      <c r="CE77" s="848"/>
      <c r="CF77" s="848"/>
      <c r="CG77" s="848"/>
      <c r="CH77" s="848"/>
      <c r="CI77" s="848"/>
      <c r="CJ77" s="848"/>
      <c r="CK77" s="848"/>
      <c r="CL77" s="848"/>
      <c r="CM77" s="848"/>
      <c r="CN77" s="848"/>
      <c r="CO77" s="848"/>
      <c r="CP77" s="848"/>
      <c r="CQ77" s="848"/>
      <c r="CR77" s="848"/>
      <c r="CS77" s="848"/>
      <c r="CT77" s="848"/>
      <c r="CU77" s="848"/>
      <c r="CV77" s="848"/>
      <c r="CW77" s="848"/>
      <c r="CX77" s="848"/>
      <c r="CY77" s="848"/>
      <c r="CZ77" s="848"/>
      <c r="DA77" s="848"/>
      <c r="DB77" s="848"/>
      <c r="DC77" s="848"/>
      <c r="DD77" s="848"/>
      <c r="DE77" s="848"/>
      <c r="DF77" s="848"/>
    </row>
    <row r="78" spans="1:110" ht="12.75">
      <c r="A78" s="860"/>
      <c r="B78" s="858"/>
      <c r="C78" s="858"/>
      <c r="D78" s="858"/>
      <c r="E78" s="858"/>
      <c r="F78" s="858"/>
      <c r="G78" s="858"/>
      <c r="H78" s="858"/>
      <c r="I78" s="858"/>
      <c r="J78" s="858"/>
      <c r="K78" s="858"/>
      <c r="L78" s="858"/>
      <c r="M78" s="858"/>
      <c r="N78" s="858"/>
      <c r="O78" s="858"/>
      <c r="P78" s="858"/>
      <c r="Q78" s="858"/>
      <c r="R78" s="858"/>
      <c r="S78" s="858"/>
      <c r="T78" s="858"/>
      <c r="U78" s="858"/>
      <c r="V78" s="858"/>
      <c r="W78" s="858"/>
      <c r="X78" s="858"/>
      <c r="Y78" s="858"/>
      <c r="Z78" s="858"/>
      <c r="AA78" s="858"/>
      <c r="AB78" s="858"/>
      <c r="AC78" s="858"/>
      <c r="AD78" s="858"/>
      <c r="AE78" s="859"/>
      <c r="AF78" s="83"/>
      <c r="AG78" s="848"/>
      <c r="AH78" s="848"/>
      <c r="AI78" s="848"/>
      <c r="AJ78" s="848"/>
      <c r="AK78" s="848"/>
      <c r="AL78" s="848"/>
      <c r="AM78" s="848"/>
      <c r="AN78" s="848"/>
      <c r="AO78" s="848"/>
      <c r="AP78" s="848"/>
      <c r="AQ78" s="848"/>
      <c r="AR78" s="848"/>
      <c r="AS78" s="848"/>
      <c r="AT78" s="848"/>
      <c r="AU78" s="848"/>
      <c r="AV78" s="848"/>
      <c r="AW78" s="848"/>
      <c r="AX78" s="848"/>
      <c r="AY78" s="848"/>
      <c r="AZ78" s="848"/>
      <c r="BA78" s="848"/>
      <c r="BB78" s="848"/>
      <c r="BC78" s="848"/>
      <c r="BD78" s="848"/>
      <c r="BE78" s="848"/>
      <c r="BF78" s="848"/>
      <c r="BG78" s="848"/>
      <c r="BH78" s="848"/>
      <c r="BI78" s="848"/>
      <c r="BJ78" s="848"/>
      <c r="BK78" s="848"/>
      <c r="BL78" s="848"/>
      <c r="BM78" s="848"/>
      <c r="BN78" s="848"/>
      <c r="BO78" s="848"/>
      <c r="BP78" s="848"/>
      <c r="BQ78" s="848"/>
      <c r="BR78" s="848"/>
      <c r="BS78" s="848"/>
      <c r="BT78" s="848"/>
      <c r="BU78" s="848"/>
      <c r="BV78" s="848"/>
      <c r="BW78" s="848"/>
      <c r="BX78" s="848"/>
      <c r="BY78" s="848"/>
      <c r="BZ78" s="848"/>
      <c r="CA78" s="848"/>
      <c r="CB78" s="848"/>
      <c r="CC78" s="848"/>
      <c r="CD78" s="848"/>
      <c r="CE78" s="848"/>
      <c r="CF78" s="848"/>
      <c r="CG78" s="848"/>
      <c r="CH78" s="848"/>
      <c r="CI78" s="848"/>
      <c r="CJ78" s="848"/>
      <c r="CK78" s="848"/>
      <c r="CL78" s="848"/>
      <c r="CM78" s="848"/>
      <c r="CN78" s="848"/>
      <c r="CO78" s="848"/>
      <c r="CP78" s="848"/>
      <c r="CQ78" s="848"/>
      <c r="CR78" s="848"/>
      <c r="CS78" s="848"/>
      <c r="CT78" s="848"/>
      <c r="CU78" s="848"/>
      <c r="CV78" s="848"/>
      <c r="CW78" s="848"/>
      <c r="CX78" s="848"/>
      <c r="CY78" s="848"/>
      <c r="CZ78" s="848"/>
      <c r="DA78" s="848"/>
      <c r="DB78" s="848"/>
      <c r="DC78" s="848"/>
      <c r="DD78" s="848"/>
      <c r="DE78" s="848"/>
      <c r="DF78" s="848"/>
    </row>
    <row r="79" spans="1:110" s="3" customFormat="1" ht="12.75">
      <c r="A79" s="860"/>
      <c r="B79" s="858"/>
      <c r="C79" s="858"/>
      <c r="D79" s="858"/>
      <c r="E79" s="858"/>
      <c r="F79" s="858"/>
      <c r="G79" s="858"/>
      <c r="H79" s="858"/>
      <c r="I79" s="858"/>
      <c r="J79" s="858"/>
      <c r="K79" s="858"/>
      <c r="L79" s="858"/>
      <c r="M79" s="858"/>
      <c r="N79" s="858"/>
      <c r="O79" s="858"/>
      <c r="P79" s="858"/>
      <c r="Q79" s="858"/>
      <c r="R79" s="858"/>
      <c r="S79" s="858"/>
      <c r="T79" s="858"/>
      <c r="U79" s="858"/>
      <c r="V79" s="858"/>
      <c r="W79" s="858"/>
      <c r="X79" s="858"/>
      <c r="Y79" s="858"/>
      <c r="Z79" s="858"/>
      <c r="AA79" s="858"/>
      <c r="AB79" s="858"/>
      <c r="AC79" s="858"/>
      <c r="AD79" s="858"/>
      <c r="AE79" s="859"/>
      <c r="AF79" s="83"/>
      <c r="AG79" s="848"/>
      <c r="AH79" s="848"/>
      <c r="AI79" s="848"/>
      <c r="AJ79" s="848"/>
      <c r="AK79" s="848"/>
      <c r="AL79" s="848"/>
      <c r="AM79" s="848"/>
      <c r="AN79" s="848"/>
      <c r="AO79" s="848"/>
      <c r="AP79" s="848"/>
      <c r="AQ79" s="848"/>
      <c r="AR79" s="848"/>
      <c r="AS79" s="848"/>
      <c r="AT79" s="848"/>
      <c r="AU79" s="848"/>
      <c r="AV79" s="848"/>
      <c r="AW79" s="848"/>
      <c r="AX79" s="848"/>
      <c r="AY79" s="848"/>
      <c r="AZ79" s="848"/>
      <c r="BA79" s="848"/>
      <c r="BB79" s="848"/>
      <c r="BC79" s="848"/>
      <c r="BD79" s="848"/>
      <c r="BE79" s="848"/>
      <c r="BF79" s="848"/>
      <c r="BG79" s="848"/>
      <c r="BH79" s="848"/>
      <c r="BI79" s="848"/>
      <c r="BJ79" s="848"/>
      <c r="BK79" s="848"/>
      <c r="BL79" s="848"/>
      <c r="BM79" s="848"/>
      <c r="BN79" s="848"/>
      <c r="BO79" s="848"/>
      <c r="BP79" s="848"/>
      <c r="BQ79" s="848"/>
      <c r="BR79" s="848"/>
      <c r="BS79" s="848"/>
      <c r="BT79" s="848"/>
      <c r="BU79" s="848"/>
      <c r="BV79" s="848"/>
      <c r="BW79" s="848"/>
      <c r="BX79" s="848"/>
      <c r="BY79" s="848"/>
      <c r="BZ79" s="848"/>
      <c r="CA79" s="848"/>
      <c r="CB79" s="848"/>
      <c r="CC79" s="848"/>
      <c r="CD79" s="848"/>
      <c r="CE79" s="848"/>
      <c r="CF79" s="848"/>
      <c r="CG79" s="848"/>
      <c r="CH79" s="848"/>
      <c r="CI79" s="848"/>
      <c r="CJ79" s="848"/>
      <c r="CK79" s="848"/>
      <c r="CL79" s="848"/>
      <c r="CM79" s="848"/>
      <c r="CN79" s="848"/>
      <c r="CO79" s="848"/>
      <c r="CP79" s="848"/>
      <c r="CQ79" s="848"/>
      <c r="CR79" s="848"/>
      <c r="CS79" s="848"/>
      <c r="CT79" s="848"/>
      <c r="CU79" s="848"/>
      <c r="CV79" s="848"/>
      <c r="CW79" s="848"/>
      <c r="CX79" s="848"/>
      <c r="CY79" s="848"/>
      <c r="CZ79" s="848"/>
      <c r="DA79" s="848"/>
      <c r="DB79" s="848"/>
      <c r="DC79" s="848"/>
      <c r="DD79" s="848"/>
      <c r="DE79" s="848"/>
      <c r="DF79" s="848"/>
    </row>
    <row r="80" spans="1:110" ht="12.75">
      <c r="A80" s="860"/>
      <c r="B80" s="858"/>
      <c r="C80" s="858"/>
      <c r="D80" s="858"/>
      <c r="E80" s="858"/>
      <c r="F80" s="858"/>
      <c r="G80" s="858"/>
      <c r="H80" s="858"/>
      <c r="I80" s="858"/>
      <c r="J80" s="858"/>
      <c r="K80" s="858"/>
      <c r="L80" s="858"/>
      <c r="M80" s="858"/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58"/>
      <c r="Y80" s="858"/>
      <c r="Z80" s="858"/>
      <c r="AA80" s="858"/>
      <c r="AB80" s="858"/>
      <c r="AC80" s="858"/>
      <c r="AD80" s="858"/>
      <c r="AE80" s="859"/>
      <c r="AF80" s="83"/>
      <c r="AG80" s="848"/>
      <c r="AH80" s="848"/>
      <c r="AI80" s="848"/>
      <c r="AJ80" s="848"/>
      <c r="AK80" s="848"/>
      <c r="AL80" s="848"/>
      <c r="AM80" s="848"/>
      <c r="AN80" s="848"/>
      <c r="AO80" s="848"/>
      <c r="AP80" s="848"/>
      <c r="AQ80" s="848"/>
      <c r="AR80" s="848"/>
      <c r="AS80" s="848"/>
      <c r="AT80" s="848"/>
      <c r="AU80" s="848"/>
      <c r="AV80" s="848"/>
      <c r="AW80" s="848"/>
      <c r="AX80" s="848"/>
      <c r="AY80" s="848"/>
      <c r="AZ80" s="848"/>
      <c r="BA80" s="848"/>
      <c r="BB80" s="848"/>
      <c r="BC80" s="848"/>
      <c r="BD80" s="848"/>
      <c r="BE80" s="848"/>
      <c r="BF80" s="848"/>
      <c r="BG80" s="848"/>
      <c r="BH80" s="848"/>
      <c r="BI80" s="848"/>
      <c r="BJ80" s="848"/>
      <c r="BK80" s="848"/>
      <c r="BL80" s="848"/>
      <c r="BM80" s="848"/>
      <c r="BN80" s="848"/>
      <c r="BO80" s="848"/>
      <c r="BP80" s="848"/>
      <c r="BQ80" s="848"/>
      <c r="BR80" s="848"/>
      <c r="BS80" s="848"/>
      <c r="BT80" s="848"/>
      <c r="BU80" s="848"/>
      <c r="BV80" s="848"/>
      <c r="BW80" s="848"/>
      <c r="BX80" s="848"/>
      <c r="BY80" s="848"/>
      <c r="BZ80" s="848"/>
      <c r="CA80" s="848"/>
      <c r="CB80" s="848"/>
      <c r="CC80" s="848"/>
      <c r="CD80" s="848"/>
      <c r="CE80" s="848"/>
      <c r="CF80" s="848"/>
      <c r="CG80" s="848"/>
      <c r="CH80" s="848"/>
      <c r="CI80" s="848"/>
      <c r="CJ80" s="848"/>
      <c r="CK80" s="848"/>
      <c r="CL80" s="848"/>
      <c r="CM80" s="848"/>
      <c r="CN80" s="848"/>
      <c r="CO80" s="848"/>
      <c r="CP80" s="848"/>
      <c r="CQ80" s="848"/>
      <c r="CR80" s="848"/>
      <c r="CS80" s="848"/>
      <c r="CT80" s="848"/>
      <c r="CU80" s="848"/>
      <c r="CV80" s="848"/>
      <c r="CW80" s="848"/>
      <c r="CX80" s="848"/>
      <c r="CY80" s="848"/>
      <c r="CZ80" s="848"/>
      <c r="DA80" s="848"/>
      <c r="DB80" s="848"/>
      <c r="DC80" s="848"/>
      <c r="DD80" s="848"/>
      <c r="DE80" s="848"/>
      <c r="DF80" s="848"/>
    </row>
    <row r="81" spans="1:110" ht="12.75">
      <c r="A81" s="860"/>
      <c r="B81" s="858"/>
      <c r="C81" s="858"/>
      <c r="D81" s="858"/>
      <c r="E81" s="858"/>
      <c r="F81" s="858"/>
      <c r="G81" s="858"/>
      <c r="H81" s="858"/>
      <c r="I81" s="858"/>
      <c r="J81" s="858"/>
      <c r="K81" s="858"/>
      <c r="L81" s="858"/>
      <c r="M81" s="858"/>
      <c r="N81" s="858"/>
      <c r="O81" s="858"/>
      <c r="P81" s="858"/>
      <c r="Q81" s="858"/>
      <c r="R81" s="858"/>
      <c r="S81" s="858"/>
      <c r="T81" s="858"/>
      <c r="U81" s="858"/>
      <c r="V81" s="858"/>
      <c r="W81" s="858"/>
      <c r="X81" s="858"/>
      <c r="Y81" s="858"/>
      <c r="Z81" s="858"/>
      <c r="AA81" s="858"/>
      <c r="AB81" s="858"/>
      <c r="AC81" s="858"/>
      <c r="AD81" s="858"/>
      <c r="AE81" s="859"/>
      <c r="AF81" s="83"/>
      <c r="AG81" s="848"/>
      <c r="AH81" s="848"/>
      <c r="AI81" s="848"/>
      <c r="AJ81" s="848"/>
      <c r="AK81" s="848"/>
      <c r="AL81" s="848"/>
      <c r="AM81" s="848"/>
      <c r="AN81" s="848"/>
      <c r="AO81" s="848"/>
      <c r="AP81" s="848"/>
      <c r="AQ81" s="848"/>
      <c r="AR81" s="848"/>
      <c r="AS81" s="848"/>
      <c r="AT81" s="848"/>
      <c r="AU81" s="848"/>
      <c r="AV81" s="848"/>
      <c r="AW81" s="848"/>
      <c r="AX81" s="848"/>
      <c r="AY81" s="848"/>
      <c r="AZ81" s="848"/>
      <c r="BA81" s="848"/>
      <c r="BB81" s="848"/>
      <c r="BC81" s="848"/>
      <c r="BD81" s="848"/>
      <c r="BE81" s="848"/>
      <c r="BF81" s="848"/>
      <c r="BG81" s="848"/>
      <c r="BH81" s="848"/>
      <c r="BI81" s="848"/>
      <c r="BJ81" s="848"/>
      <c r="BK81" s="848"/>
      <c r="BL81" s="848"/>
      <c r="BM81" s="848"/>
      <c r="BN81" s="848"/>
      <c r="BO81" s="848"/>
      <c r="BP81" s="848"/>
      <c r="BQ81" s="848"/>
      <c r="BR81" s="848"/>
      <c r="BS81" s="848"/>
      <c r="BT81" s="848"/>
      <c r="BU81" s="848"/>
      <c r="BV81" s="848"/>
      <c r="BW81" s="848"/>
      <c r="BX81" s="848"/>
      <c r="BY81" s="848"/>
      <c r="BZ81" s="848"/>
      <c r="CA81" s="848"/>
      <c r="CB81" s="848"/>
      <c r="CC81" s="848"/>
      <c r="CD81" s="848"/>
      <c r="CE81" s="848"/>
      <c r="CF81" s="848"/>
      <c r="CG81" s="848"/>
      <c r="CH81" s="848"/>
      <c r="CI81" s="848"/>
      <c r="CJ81" s="848"/>
      <c r="CK81" s="848"/>
      <c r="CL81" s="848"/>
      <c r="CM81" s="848"/>
      <c r="CN81" s="848"/>
      <c r="CO81" s="848"/>
      <c r="CP81" s="848"/>
      <c r="CQ81" s="848"/>
      <c r="CR81" s="848"/>
      <c r="CS81" s="848"/>
      <c r="CT81" s="848"/>
      <c r="CU81" s="848"/>
      <c r="CV81" s="848"/>
      <c r="CW81" s="848"/>
      <c r="CX81" s="848"/>
      <c r="CY81" s="848"/>
      <c r="CZ81" s="848"/>
      <c r="DA81" s="848"/>
      <c r="DB81" s="848"/>
      <c r="DC81" s="848"/>
      <c r="DD81" s="848"/>
      <c r="DE81" s="848"/>
      <c r="DF81" s="848"/>
    </row>
    <row r="82" spans="1:110" ht="12.75">
      <c r="A82" s="860"/>
      <c r="B82" s="858"/>
      <c r="C82" s="858"/>
      <c r="D82" s="858"/>
      <c r="E82" s="858"/>
      <c r="F82" s="858"/>
      <c r="G82" s="858"/>
      <c r="H82" s="858"/>
      <c r="I82" s="858"/>
      <c r="J82" s="858"/>
      <c r="K82" s="858"/>
      <c r="L82" s="858"/>
      <c r="M82" s="858"/>
      <c r="N82" s="858"/>
      <c r="O82" s="858"/>
      <c r="P82" s="858"/>
      <c r="Q82" s="858"/>
      <c r="R82" s="858"/>
      <c r="S82" s="858"/>
      <c r="T82" s="858"/>
      <c r="U82" s="858"/>
      <c r="V82" s="858"/>
      <c r="W82" s="858"/>
      <c r="X82" s="858"/>
      <c r="Y82" s="858"/>
      <c r="Z82" s="858"/>
      <c r="AA82" s="858"/>
      <c r="AB82" s="858"/>
      <c r="AC82" s="858"/>
      <c r="AD82" s="858"/>
      <c r="AE82" s="859"/>
      <c r="AF82" s="83"/>
      <c r="AG82" s="848"/>
      <c r="AH82" s="848"/>
      <c r="AI82" s="848"/>
      <c r="AJ82" s="848"/>
      <c r="AK82" s="848"/>
      <c r="AL82" s="848"/>
      <c r="AM82" s="848"/>
      <c r="AN82" s="848"/>
      <c r="AO82" s="848"/>
      <c r="AP82" s="848"/>
      <c r="AQ82" s="848"/>
      <c r="AR82" s="848"/>
      <c r="AS82" s="848"/>
      <c r="AT82" s="848"/>
      <c r="AU82" s="848"/>
      <c r="AV82" s="848"/>
      <c r="AW82" s="848"/>
      <c r="AX82" s="848"/>
      <c r="AY82" s="848"/>
      <c r="AZ82" s="848"/>
      <c r="BA82" s="848"/>
      <c r="BB82" s="848"/>
      <c r="BC82" s="848"/>
      <c r="BD82" s="848"/>
      <c r="BE82" s="848"/>
      <c r="BF82" s="848"/>
      <c r="BG82" s="848"/>
      <c r="BH82" s="848"/>
      <c r="BI82" s="848"/>
      <c r="BJ82" s="848"/>
      <c r="BK82" s="848"/>
      <c r="BL82" s="848"/>
      <c r="BM82" s="848"/>
      <c r="BN82" s="848"/>
      <c r="BO82" s="848"/>
      <c r="BP82" s="848"/>
      <c r="BQ82" s="848"/>
      <c r="BR82" s="848"/>
      <c r="BS82" s="848"/>
      <c r="BT82" s="848"/>
      <c r="BU82" s="848"/>
      <c r="BV82" s="848"/>
      <c r="BW82" s="848"/>
      <c r="BX82" s="848"/>
      <c r="BY82" s="848"/>
      <c r="BZ82" s="848"/>
      <c r="CA82" s="848"/>
      <c r="CB82" s="848"/>
      <c r="CC82" s="848"/>
      <c r="CD82" s="848"/>
      <c r="CE82" s="848"/>
      <c r="CF82" s="848"/>
      <c r="CG82" s="848"/>
      <c r="CH82" s="848"/>
      <c r="CI82" s="848"/>
      <c r="CJ82" s="848"/>
      <c r="CK82" s="848"/>
      <c r="CL82" s="848"/>
      <c r="CM82" s="848"/>
      <c r="CN82" s="848"/>
      <c r="CO82" s="848"/>
      <c r="CP82" s="848"/>
      <c r="CQ82" s="848"/>
      <c r="CR82" s="848"/>
      <c r="CS82" s="848"/>
      <c r="CT82" s="848"/>
      <c r="CU82" s="848"/>
      <c r="CV82" s="848"/>
      <c r="CW82" s="848"/>
      <c r="CX82" s="848"/>
      <c r="CY82" s="848"/>
      <c r="CZ82" s="848"/>
      <c r="DA82" s="848"/>
      <c r="DB82" s="848"/>
      <c r="DC82" s="848"/>
      <c r="DD82" s="848"/>
      <c r="DE82" s="848"/>
      <c r="DF82" s="848"/>
    </row>
    <row r="83" spans="1:110" s="3" customFormat="1" ht="12.75">
      <c r="A83" s="860"/>
      <c r="B83" s="858"/>
      <c r="C83" s="858"/>
      <c r="D83" s="858"/>
      <c r="E83" s="858"/>
      <c r="F83" s="858"/>
      <c r="G83" s="858"/>
      <c r="H83" s="858"/>
      <c r="I83" s="858"/>
      <c r="J83" s="858"/>
      <c r="K83" s="858"/>
      <c r="L83" s="858"/>
      <c r="M83" s="858"/>
      <c r="N83" s="858"/>
      <c r="O83" s="858"/>
      <c r="P83" s="858"/>
      <c r="Q83" s="858"/>
      <c r="R83" s="858"/>
      <c r="S83" s="858"/>
      <c r="T83" s="858"/>
      <c r="U83" s="858"/>
      <c r="V83" s="858"/>
      <c r="W83" s="858"/>
      <c r="X83" s="858"/>
      <c r="Y83" s="858"/>
      <c r="Z83" s="858"/>
      <c r="AA83" s="858"/>
      <c r="AB83" s="858"/>
      <c r="AC83" s="858"/>
      <c r="AD83" s="858"/>
      <c r="AE83" s="859"/>
      <c r="AF83" s="83"/>
      <c r="AG83" s="848"/>
      <c r="AH83" s="848"/>
      <c r="AI83" s="848"/>
      <c r="AJ83" s="848"/>
      <c r="AK83" s="848"/>
      <c r="AL83" s="848"/>
      <c r="AM83" s="848"/>
      <c r="AN83" s="848"/>
      <c r="AO83" s="848"/>
      <c r="AP83" s="848"/>
      <c r="AQ83" s="848"/>
      <c r="AR83" s="848"/>
      <c r="AS83" s="848"/>
      <c r="AT83" s="848"/>
      <c r="AU83" s="848"/>
      <c r="AV83" s="848"/>
      <c r="AW83" s="848"/>
      <c r="AX83" s="848"/>
      <c r="AY83" s="848"/>
      <c r="AZ83" s="848"/>
      <c r="BA83" s="848"/>
      <c r="BB83" s="848"/>
      <c r="BC83" s="848"/>
      <c r="BD83" s="848"/>
      <c r="BE83" s="848"/>
      <c r="BF83" s="848"/>
      <c r="BG83" s="848"/>
      <c r="BH83" s="848"/>
      <c r="BI83" s="848"/>
      <c r="BJ83" s="848"/>
      <c r="BK83" s="848"/>
      <c r="BL83" s="848"/>
      <c r="BM83" s="848"/>
      <c r="BN83" s="848"/>
      <c r="BO83" s="848"/>
      <c r="BP83" s="848"/>
      <c r="BQ83" s="848"/>
      <c r="BR83" s="848"/>
      <c r="BS83" s="848"/>
      <c r="BT83" s="848"/>
      <c r="BU83" s="848"/>
      <c r="BV83" s="848"/>
      <c r="BW83" s="848"/>
      <c r="BX83" s="848"/>
      <c r="BY83" s="848"/>
      <c r="BZ83" s="848"/>
      <c r="CA83" s="848"/>
      <c r="CB83" s="848"/>
      <c r="CC83" s="848"/>
      <c r="CD83" s="848"/>
      <c r="CE83" s="848"/>
      <c r="CF83" s="848"/>
      <c r="CG83" s="848"/>
      <c r="CH83" s="848"/>
      <c r="CI83" s="848"/>
      <c r="CJ83" s="848"/>
      <c r="CK83" s="848"/>
      <c r="CL83" s="848"/>
      <c r="CM83" s="848"/>
      <c r="CN83" s="848"/>
      <c r="CO83" s="848"/>
      <c r="CP83" s="848"/>
      <c r="CQ83" s="848"/>
      <c r="CR83" s="848"/>
      <c r="CS83" s="848"/>
      <c r="CT83" s="848"/>
      <c r="CU83" s="848"/>
      <c r="CV83" s="848"/>
      <c r="CW83" s="848"/>
      <c r="CX83" s="848"/>
      <c r="CY83" s="848"/>
      <c r="CZ83" s="848"/>
      <c r="DA83" s="848"/>
      <c r="DB83" s="848"/>
      <c r="DC83" s="848"/>
      <c r="DD83" s="848"/>
      <c r="DE83" s="848"/>
      <c r="DF83" s="848"/>
    </row>
    <row r="84" spans="1:110" ht="12.75">
      <c r="A84" s="860"/>
      <c r="B84" s="858"/>
      <c r="C84" s="858"/>
      <c r="D84" s="858"/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8"/>
      <c r="R84" s="858"/>
      <c r="S84" s="858"/>
      <c r="T84" s="858"/>
      <c r="U84" s="858"/>
      <c r="V84" s="858"/>
      <c r="W84" s="858"/>
      <c r="X84" s="858"/>
      <c r="Y84" s="858"/>
      <c r="Z84" s="858"/>
      <c r="AA84" s="858"/>
      <c r="AB84" s="858"/>
      <c r="AC84" s="858"/>
      <c r="AD84" s="858"/>
      <c r="AE84" s="859"/>
      <c r="AF84" s="83"/>
      <c r="AG84" s="848"/>
      <c r="AH84" s="848"/>
      <c r="AI84" s="848"/>
      <c r="AJ84" s="848"/>
      <c r="AK84" s="848"/>
      <c r="AL84" s="848"/>
      <c r="AM84" s="848"/>
      <c r="AN84" s="848"/>
      <c r="AO84" s="848"/>
      <c r="AP84" s="848"/>
      <c r="AQ84" s="848"/>
      <c r="AR84" s="848"/>
      <c r="AS84" s="848"/>
      <c r="AT84" s="848"/>
      <c r="AU84" s="848"/>
      <c r="AV84" s="848"/>
      <c r="AW84" s="848"/>
      <c r="AX84" s="848"/>
      <c r="AY84" s="848"/>
      <c r="AZ84" s="848"/>
      <c r="BA84" s="848"/>
      <c r="BB84" s="848"/>
      <c r="BC84" s="848"/>
      <c r="BD84" s="848"/>
      <c r="BE84" s="848"/>
      <c r="BF84" s="848"/>
      <c r="BG84" s="848"/>
      <c r="BH84" s="848"/>
      <c r="BI84" s="848"/>
      <c r="BJ84" s="848"/>
      <c r="BK84" s="848"/>
      <c r="BL84" s="848"/>
      <c r="BM84" s="848"/>
      <c r="BN84" s="848"/>
      <c r="BO84" s="848"/>
      <c r="BP84" s="848"/>
      <c r="BQ84" s="848"/>
      <c r="BR84" s="848"/>
      <c r="BS84" s="848"/>
      <c r="BT84" s="848"/>
      <c r="BU84" s="848"/>
      <c r="BV84" s="848"/>
      <c r="BW84" s="848"/>
      <c r="BX84" s="848"/>
      <c r="BY84" s="848"/>
      <c r="BZ84" s="848"/>
      <c r="CA84" s="848"/>
      <c r="CB84" s="848"/>
      <c r="CC84" s="848"/>
      <c r="CD84" s="848"/>
      <c r="CE84" s="848"/>
      <c r="CF84" s="848"/>
      <c r="CG84" s="848"/>
      <c r="CH84" s="848"/>
      <c r="CI84" s="848"/>
      <c r="CJ84" s="848"/>
      <c r="CK84" s="848"/>
      <c r="CL84" s="848"/>
      <c r="CM84" s="848"/>
      <c r="CN84" s="848"/>
      <c r="CO84" s="848"/>
      <c r="CP84" s="848"/>
      <c r="CQ84" s="848"/>
      <c r="CR84" s="848"/>
      <c r="CS84" s="848"/>
      <c r="CT84" s="848"/>
      <c r="CU84" s="848"/>
      <c r="CV84" s="848"/>
      <c r="CW84" s="848"/>
      <c r="CX84" s="848"/>
      <c r="CY84" s="848"/>
      <c r="CZ84" s="848"/>
      <c r="DA84" s="848"/>
      <c r="DB84" s="848"/>
      <c r="DC84" s="848"/>
      <c r="DD84" s="848"/>
      <c r="DE84" s="848"/>
      <c r="DF84" s="848"/>
    </row>
    <row r="85" spans="1:110" ht="12.75">
      <c r="A85" s="860"/>
      <c r="B85" s="858"/>
      <c r="C85" s="858"/>
      <c r="D85" s="858"/>
      <c r="E85" s="858"/>
      <c r="F85" s="858"/>
      <c r="G85" s="858"/>
      <c r="H85" s="858"/>
      <c r="I85" s="858"/>
      <c r="J85" s="858"/>
      <c r="K85" s="858"/>
      <c r="L85" s="858"/>
      <c r="M85" s="858"/>
      <c r="N85" s="858"/>
      <c r="O85" s="858"/>
      <c r="P85" s="858"/>
      <c r="Q85" s="858"/>
      <c r="R85" s="858"/>
      <c r="S85" s="858"/>
      <c r="T85" s="858"/>
      <c r="U85" s="858"/>
      <c r="V85" s="858"/>
      <c r="W85" s="858"/>
      <c r="X85" s="858"/>
      <c r="Y85" s="858"/>
      <c r="Z85" s="858"/>
      <c r="AA85" s="858"/>
      <c r="AB85" s="858"/>
      <c r="AC85" s="858"/>
      <c r="AD85" s="858"/>
      <c r="AE85" s="859"/>
      <c r="AF85" s="83"/>
      <c r="AG85" s="848"/>
      <c r="AH85" s="848"/>
      <c r="AI85" s="848"/>
      <c r="AJ85" s="848"/>
      <c r="AK85" s="848"/>
      <c r="AL85" s="848"/>
      <c r="AM85" s="848"/>
      <c r="AN85" s="848"/>
      <c r="AO85" s="848"/>
      <c r="AP85" s="848"/>
      <c r="AQ85" s="848"/>
      <c r="AR85" s="848"/>
      <c r="AS85" s="848"/>
      <c r="AT85" s="848"/>
      <c r="AU85" s="848"/>
      <c r="AV85" s="848"/>
      <c r="AW85" s="848"/>
      <c r="AX85" s="848"/>
      <c r="AY85" s="848"/>
      <c r="AZ85" s="848"/>
      <c r="BA85" s="848"/>
      <c r="BB85" s="848"/>
      <c r="BC85" s="848"/>
      <c r="BD85" s="848"/>
      <c r="BE85" s="848"/>
      <c r="BF85" s="848"/>
      <c r="BG85" s="848"/>
      <c r="BH85" s="848"/>
      <c r="BI85" s="848"/>
      <c r="BJ85" s="848"/>
      <c r="BK85" s="848"/>
      <c r="BL85" s="848"/>
      <c r="BM85" s="848"/>
      <c r="BN85" s="848"/>
      <c r="BO85" s="848"/>
      <c r="BP85" s="848"/>
      <c r="BQ85" s="848"/>
      <c r="BR85" s="848"/>
      <c r="BS85" s="848"/>
      <c r="BT85" s="848"/>
      <c r="BU85" s="848"/>
      <c r="BV85" s="848"/>
      <c r="BW85" s="848"/>
      <c r="BX85" s="848"/>
      <c r="BY85" s="848"/>
      <c r="BZ85" s="848"/>
      <c r="CA85" s="848"/>
      <c r="CB85" s="848"/>
      <c r="CC85" s="848"/>
      <c r="CD85" s="848"/>
      <c r="CE85" s="848"/>
      <c r="CF85" s="848"/>
      <c r="CG85" s="848"/>
      <c r="CH85" s="848"/>
      <c r="CI85" s="848"/>
      <c r="CJ85" s="848"/>
      <c r="CK85" s="848"/>
      <c r="CL85" s="848"/>
      <c r="CM85" s="848"/>
      <c r="CN85" s="848"/>
      <c r="CO85" s="848"/>
      <c r="CP85" s="848"/>
      <c r="CQ85" s="848"/>
      <c r="CR85" s="848"/>
      <c r="CS85" s="848"/>
      <c r="CT85" s="848"/>
      <c r="CU85" s="848"/>
      <c r="CV85" s="848"/>
      <c r="CW85" s="848"/>
      <c r="CX85" s="848"/>
      <c r="CY85" s="848"/>
      <c r="CZ85" s="848"/>
      <c r="DA85" s="848"/>
      <c r="DB85" s="848"/>
      <c r="DC85" s="848"/>
      <c r="DD85" s="848"/>
      <c r="DE85" s="848"/>
      <c r="DF85" s="848"/>
    </row>
    <row r="86" spans="1:110" ht="12.75">
      <c r="A86" s="860"/>
      <c r="B86" s="858"/>
      <c r="C86" s="858"/>
      <c r="D86" s="858"/>
      <c r="E86" s="858"/>
      <c r="F86" s="858"/>
      <c r="G86" s="858"/>
      <c r="H86" s="858"/>
      <c r="I86" s="858"/>
      <c r="J86" s="858"/>
      <c r="K86" s="858"/>
      <c r="L86" s="858"/>
      <c r="M86" s="858"/>
      <c r="N86" s="858"/>
      <c r="O86" s="858"/>
      <c r="P86" s="858"/>
      <c r="Q86" s="858"/>
      <c r="R86" s="858"/>
      <c r="S86" s="858"/>
      <c r="T86" s="858"/>
      <c r="U86" s="858"/>
      <c r="V86" s="858"/>
      <c r="W86" s="858"/>
      <c r="X86" s="858"/>
      <c r="Y86" s="858"/>
      <c r="Z86" s="858"/>
      <c r="AA86" s="858"/>
      <c r="AB86" s="858"/>
      <c r="AC86" s="858"/>
      <c r="AD86" s="858"/>
      <c r="AE86" s="859"/>
      <c r="AF86" s="83"/>
      <c r="AG86" s="848"/>
      <c r="AH86" s="848"/>
      <c r="AI86" s="848"/>
      <c r="AJ86" s="848"/>
      <c r="AK86" s="848"/>
      <c r="AL86" s="848"/>
      <c r="AM86" s="848"/>
      <c r="AN86" s="848"/>
      <c r="AO86" s="848"/>
      <c r="AP86" s="848"/>
      <c r="AQ86" s="848"/>
      <c r="AR86" s="848"/>
      <c r="AS86" s="848"/>
      <c r="AT86" s="848"/>
      <c r="AU86" s="848"/>
      <c r="AV86" s="848"/>
      <c r="AW86" s="848"/>
      <c r="AX86" s="848"/>
      <c r="AY86" s="848"/>
      <c r="AZ86" s="848"/>
      <c r="BA86" s="848"/>
      <c r="BB86" s="848"/>
      <c r="BC86" s="848"/>
      <c r="BD86" s="848"/>
      <c r="BE86" s="848"/>
      <c r="BF86" s="848"/>
      <c r="BG86" s="848"/>
      <c r="BH86" s="848"/>
      <c r="BI86" s="848"/>
      <c r="BJ86" s="848"/>
      <c r="BK86" s="848"/>
      <c r="BL86" s="848"/>
      <c r="BM86" s="848"/>
      <c r="BN86" s="848"/>
      <c r="BO86" s="848"/>
      <c r="BP86" s="848"/>
      <c r="BQ86" s="848"/>
      <c r="BR86" s="848"/>
      <c r="BS86" s="848"/>
      <c r="BT86" s="848"/>
      <c r="BU86" s="848"/>
      <c r="BV86" s="848"/>
      <c r="BW86" s="848"/>
      <c r="BX86" s="848"/>
      <c r="BY86" s="848"/>
      <c r="BZ86" s="848"/>
      <c r="CA86" s="848"/>
      <c r="CB86" s="848"/>
      <c r="CC86" s="848"/>
      <c r="CD86" s="848"/>
      <c r="CE86" s="848"/>
      <c r="CF86" s="848"/>
      <c r="CG86" s="848"/>
      <c r="CH86" s="848"/>
      <c r="CI86" s="848"/>
      <c r="CJ86" s="848"/>
      <c r="CK86" s="848"/>
      <c r="CL86" s="848"/>
      <c r="CM86" s="848"/>
      <c r="CN86" s="848"/>
      <c r="CO86" s="848"/>
      <c r="CP86" s="848"/>
      <c r="CQ86" s="848"/>
      <c r="CR86" s="848"/>
      <c r="CS86" s="848"/>
      <c r="CT86" s="848"/>
      <c r="CU86" s="848"/>
      <c r="CV86" s="848"/>
      <c r="CW86" s="848"/>
      <c r="CX86" s="848"/>
      <c r="CY86" s="848"/>
      <c r="CZ86" s="848"/>
      <c r="DA86" s="848"/>
      <c r="DB86" s="848"/>
      <c r="DC86" s="848"/>
      <c r="DD86" s="848"/>
      <c r="DE86" s="848"/>
      <c r="DF86" s="848"/>
    </row>
    <row r="87" spans="1:110" s="3" customFormat="1" ht="12.75">
      <c r="A87" s="860"/>
      <c r="B87" s="858"/>
      <c r="C87" s="858"/>
      <c r="D87" s="858"/>
      <c r="E87" s="858"/>
      <c r="F87" s="858"/>
      <c r="G87" s="858"/>
      <c r="H87" s="858"/>
      <c r="I87" s="858"/>
      <c r="J87" s="858"/>
      <c r="K87" s="858"/>
      <c r="L87" s="858"/>
      <c r="M87" s="858"/>
      <c r="N87" s="858"/>
      <c r="O87" s="858"/>
      <c r="P87" s="858"/>
      <c r="Q87" s="858"/>
      <c r="R87" s="858"/>
      <c r="S87" s="858"/>
      <c r="T87" s="858"/>
      <c r="U87" s="858"/>
      <c r="V87" s="858"/>
      <c r="W87" s="858"/>
      <c r="X87" s="858"/>
      <c r="Y87" s="858"/>
      <c r="Z87" s="858"/>
      <c r="AA87" s="858"/>
      <c r="AB87" s="858"/>
      <c r="AC87" s="858"/>
      <c r="AD87" s="858"/>
      <c r="AE87" s="859"/>
      <c r="AF87" s="83"/>
      <c r="AG87" s="848"/>
      <c r="AH87" s="848"/>
      <c r="AI87" s="848"/>
      <c r="AJ87" s="848"/>
      <c r="AK87" s="848"/>
      <c r="AL87" s="848"/>
      <c r="AM87" s="848"/>
      <c r="AN87" s="848"/>
      <c r="AO87" s="848"/>
      <c r="AP87" s="848"/>
      <c r="AQ87" s="848"/>
      <c r="AR87" s="848"/>
      <c r="AS87" s="848"/>
      <c r="AT87" s="848"/>
      <c r="AU87" s="848"/>
      <c r="AV87" s="848"/>
      <c r="AW87" s="848"/>
      <c r="AX87" s="848"/>
      <c r="AY87" s="848"/>
      <c r="AZ87" s="848"/>
      <c r="BA87" s="848"/>
      <c r="BB87" s="848"/>
      <c r="BC87" s="848"/>
      <c r="BD87" s="848"/>
      <c r="BE87" s="848"/>
      <c r="BF87" s="848"/>
      <c r="BG87" s="848"/>
      <c r="BH87" s="848"/>
      <c r="BI87" s="848"/>
      <c r="BJ87" s="848"/>
      <c r="BK87" s="848"/>
      <c r="BL87" s="848"/>
      <c r="BM87" s="848"/>
      <c r="BN87" s="848"/>
      <c r="BO87" s="848"/>
      <c r="BP87" s="848"/>
      <c r="BQ87" s="848"/>
      <c r="BR87" s="848"/>
      <c r="BS87" s="848"/>
      <c r="BT87" s="848"/>
      <c r="BU87" s="848"/>
      <c r="BV87" s="848"/>
      <c r="BW87" s="848"/>
      <c r="BX87" s="848"/>
      <c r="BY87" s="848"/>
      <c r="BZ87" s="848"/>
      <c r="CA87" s="848"/>
      <c r="CB87" s="848"/>
      <c r="CC87" s="848"/>
      <c r="CD87" s="848"/>
      <c r="CE87" s="848"/>
      <c r="CF87" s="848"/>
      <c r="CG87" s="848"/>
      <c r="CH87" s="848"/>
      <c r="CI87" s="848"/>
      <c r="CJ87" s="848"/>
      <c r="CK87" s="848"/>
      <c r="CL87" s="848"/>
      <c r="CM87" s="848"/>
      <c r="CN87" s="848"/>
      <c r="CO87" s="848"/>
      <c r="CP87" s="848"/>
      <c r="CQ87" s="848"/>
      <c r="CR87" s="848"/>
      <c r="CS87" s="848"/>
      <c r="CT87" s="848"/>
      <c r="CU87" s="848"/>
      <c r="CV87" s="848"/>
      <c r="CW87" s="848"/>
      <c r="CX87" s="848"/>
      <c r="CY87" s="848"/>
      <c r="CZ87" s="848"/>
      <c r="DA87" s="848"/>
      <c r="DB87" s="848"/>
      <c r="DC87" s="848"/>
      <c r="DD87" s="848"/>
      <c r="DE87" s="848"/>
      <c r="DF87" s="848"/>
    </row>
    <row r="88" spans="1:110" s="4" customFormat="1" ht="12.75">
      <c r="A88" s="860"/>
      <c r="B88" s="858"/>
      <c r="C88" s="858"/>
      <c r="D88" s="858"/>
      <c r="E88" s="858"/>
      <c r="F88" s="858"/>
      <c r="G88" s="858"/>
      <c r="H88" s="858"/>
      <c r="I88" s="858"/>
      <c r="J88" s="858"/>
      <c r="K88" s="858"/>
      <c r="L88" s="858"/>
      <c r="M88" s="858"/>
      <c r="N88" s="858"/>
      <c r="O88" s="858"/>
      <c r="P88" s="858"/>
      <c r="Q88" s="858"/>
      <c r="R88" s="858"/>
      <c r="S88" s="858"/>
      <c r="T88" s="858"/>
      <c r="U88" s="858"/>
      <c r="V88" s="858"/>
      <c r="W88" s="858"/>
      <c r="X88" s="858"/>
      <c r="Y88" s="858"/>
      <c r="Z88" s="858"/>
      <c r="AA88" s="858"/>
      <c r="AB88" s="858"/>
      <c r="AC88" s="858"/>
      <c r="AD88" s="858"/>
      <c r="AE88" s="859"/>
      <c r="AF88" s="83"/>
      <c r="AG88" s="848"/>
      <c r="AH88" s="848"/>
      <c r="AI88" s="848"/>
      <c r="AJ88" s="848"/>
      <c r="AK88" s="848"/>
      <c r="AL88" s="848"/>
      <c r="AM88" s="848"/>
      <c r="AN88" s="848"/>
      <c r="AO88" s="848"/>
      <c r="AP88" s="848"/>
      <c r="AQ88" s="848"/>
      <c r="AR88" s="848"/>
      <c r="AS88" s="848"/>
      <c r="AT88" s="848"/>
      <c r="AU88" s="848"/>
      <c r="AV88" s="848"/>
      <c r="AW88" s="848"/>
      <c r="AX88" s="848"/>
      <c r="AY88" s="848"/>
      <c r="AZ88" s="848"/>
      <c r="BA88" s="848"/>
      <c r="BB88" s="848"/>
      <c r="BC88" s="848"/>
      <c r="BD88" s="848"/>
      <c r="BE88" s="848"/>
      <c r="BF88" s="848"/>
      <c r="BG88" s="848"/>
      <c r="BH88" s="848"/>
      <c r="BI88" s="848"/>
      <c r="BJ88" s="848"/>
      <c r="BK88" s="848"/>
      <c r="BL88" s="848"/>
      <c r="BM88" s="848"/>
      <c r="BN88" s="848"/>
      <c r="BO88" s="848"/>
      <c r="BP88" s="848"/>
      <c r="BQ88" s="848"/>
      <c r="BR88" s="848"/>
      <c r="BS88" s="848"/>
      <c r="BT88" s="848"/>
      <c r="BU88" s="848"/>
      <c r="BV88" s="848"/>
      <c r="BW88" s="848"/>
      <c r="BX88" s="848"/>
      <c r="BY88" s="848"/>
      <c r="BZ88" s="848"/>
      <c r="CA88" s="848"/>
      <c r="CB88" s="848"/>
      <c r="CC88" s="848"/>
      <c r="CD88" s="848"/>
      <c r="CE88" s="848"/>
      <c r="CF88" s="848"/>
      <c r="CG88" s="848"/>
      <c r="CH88" s="848"/>
      <c r="CI88" s="848"/>
      <c r="CJ88" s="848"/>
      <c r="CK88" s="848"/>
      <c r="CL88" s="848"/>
      <c r="CM88" s="848"/>
      <c r="CN88" s="848"/>
      <c r="CO88" s="848"/>
      <c r="CP88" s="848"/>
      <c r="CQ88" s="848"/>
      <c r="CR88" s="848"/>
      <c r="CS88" s="848"/>
      <c r="CT88" s="848"/>
      <c r="CU88" s="848"/>
      <c r="CV88" s="848"/>
      <c r="CW88" s="848"/>
      <c r="CX88" s="848"/>
      <c r="CY88" s="848"/>
      <c r="CZ88" s="848"/>
      <c r="DA88" s="848"/>
      <c r="DB88" s="848"/>
      <c r="DC88" s="848"/>
      <c r="DD88" s="848"/>
      <c r="DE88" s="848"/>
      <c r="DF88" s="848"/>
    </row>
    <row r="89" spans="1:110" ht="12.75">
      <c r="A89" s="860"/>
      <c r="B89" s="858"/>
      <c r="C89" s="858"/>
      <c r="D89" s="858"/>
      <c r="E89" s="858"/>
      <c r="F89" s="858"/>
      <c r="G89" s="858"/>
      <c r="H89" s="858"/>
      <c r="I89" s="858"/>
      <c r="J89" s="858"/>
      <c r="K89" s="858"/>
      <c r="L89" s="858"/>
      <c r="M89" s="858"/>
      <c r="N89" s="858"/>
      <c r="O89" s="858"/>
      <c r="P89" s="858"/>
      <c r="Q89" s="858"/>
      <c r="R89" s="858"/>
      <c r="S89" s="858"/>
      <c r="T89" s="858"/>
      <c r="U89" s="858"/>
      <c r="V89" s="858"/>
      <c r="W89" s="858"/>
      <c r="X89" s="858"/>
      <c r="Y89" s="858"/>
      <c r="Z89" s="858"/>
      <c r="AA89" s="858"/>
      <c r="AB89" s="858"/>
      <c r="AC89" s="858"/>
      <c r="AD89" s="858"/>
      <c r="AE89" s="859"/>
      <c r="AF89" s="83"/>
      <c r="AG89" s="848"/>
      <c r="AH89" s="848"/>
      <c r="AI89" s="848"/>
      <c r="AJ89" s="848"/>
      <c r="AK89" s="848"/>
      <c r="AL89" s="848"/>
      <c r="AM89" s="848"/>
      <c r="AN89" s="848"/>
      <c r="AO89" s="848"/>
      <c r="AP89" s="848"/>
      <c r="AQ89" s="848"/>
      <c r="AR89" s="848"/>
      <c r="AS89" s="848"/>
      <c r="AT89" s="848"/>
      <c r="AU89" s="848"/>
      <c r="AV89" s="848"/>
      <c r="AW89" s="848"/>
      <c r="AX89" s="848"/>
      <c r="AY89" s="848"/>
      <c r="AZ89" s="848"/>
      <c r="BA89" s="848"/>
      <c r="BB89" s="848"/>
      <c r="BC89" s="848"/>
      <c r="BD89" s="848"/>
      <c r="BE89" s="848"/>
      <c r="BF89" s="848"/>
      <c r="BG89" s="848"/>
      <c r="BH89" s="848"/>
      <c r="BI89" s="848"/>
      <c r="BJ89" s="848"/>
      <c r="BK89" s="848"/>
      <c r="BL89" s="848"/>
      <c r="BM89" s="848"/>
      <c r="BN89" s="848"/>
      <c r="BO89" s="848"/>
      <c r="BP89" s="848"/>
      <c r="BQ89" s="848"/>
      <c r="BR89" s="848"/>
      <c r="BS89" s="848"/>
      <c r="BT89" s="848"/>
      <c r="BU89" s="848"/>
      <c r="BV89" s="848"/>
      <c r="BW89" s="848"/>
      <c r="BX89" s="848"/>
      <c r="BY89" s="848"/>
      <c r="BZ89" s="848"/>
      <c r="CA89" s="848"/>
      <c r="CB89" s="848"/>
      <c r="CC89" s="848"/>
      <c r="CD89" s="848"/>
      <c r="CE89" s="848"/>
      <c r="CF89" s="848"/>
      <c r="CG89" s="848"/>
      <c r="CH89" s="848"/>
      <c r="CI89" s="848"/>
      <c r="CJ89" s="848"/>
      <c r="CK89" s="848"/>
      <c r="CL89" s="848"/>
      <c r="CM89" s="848"/>
      <c r="CN89" s="848"/>
      <c r="CO89" s="848"/>
      <c r="CP89" s="848"/>
      <c r="CQ89" s="848"/>
      <c r="CR89" s="848"/>
      <c r="CS89" s="848"/>
      <c r="CT89" s="848"/>
      <c r="CU89" s="848"/>
      <c r="CV89" s="848"/>
      <c r="CW89" s="848"/>
      <c r="CX89" s="848"/>
      <c r="CY89" s="848"/>
      <c r="CZ89" s="848"/>
      <c r="DA89" s="848"/>
      <c r="DB89" s="848"/>
      <c r="DC89" s="848"/>
      <c r="DD89" s="848"/>
      <c r="DE89" s="848"/>
      <c r="DF89" s="848"/>
    </row>
    <row r="90" spans="1:110" ht="12.75">
      <c r="A90" s="860"/>
      <c r="B90" s="858"/>
      <c r="C90" s="858"/>
      <c r="D90" s="858"/>
      <c r="E90" s="858"/>
      <c r="F90" s="858"/>
      <c r="G90" s="858"/>
      <c r="H90" s="858"/>
      <c r="I90" s="858"/>
      <c r="J90" s="858"/>
      <c r="K90" s="858"/>
      <c r="L90" s="858"/>
      <c r="M90" s="858"/>
      <c r="N90" s="858"/>
      <c r="O90" s="858"/>
      <c r="P90" s="858"/>
      <c r="Q90" s="858"/>
      <c r="R90" s="858"/>
      <c r="S90" s="858"/>
      <c r="T90" s="858"/>
      <c r="U90" s="858"/>
      <c r="V90" s="858"/>
      <c r="W90" s="858"/>
      <c r="X90" s="858"/>
      <c r="Y90" s="858"/>
      <c r="Z90" s="858"/>
      <c r="AA90" s="858"/>
      <c r="AB90" s="858"/>
      <c r="AC90" s="858"/>
      <c r="AD90" s="858"/>
      <c r="AE90" s="859"/>
      <c r="AF90" s="83"/>
      <c r="AG90" s="848"/>
      <c r="AH90" s="848"/>
      <c r="AI90" s="848"/>
      <c r="AJ90" s="848"/>
      <c r="AK90" s="848"/>
      <c r="AL90" s="848"/>
      <c r="AM90" s="848"/>
      <c r="AN90" s="848"/>
      <c r="AO90" s="848"/>
      <c r="AP90" s="848"/>
      <c r="AQ90" s="848"/>
      <c r="AR90" s="848"/>
      <c r="AS90" s="848"/>
      <c r="AT90" s="848"/>
      <c r="AU90" s="848"/>
      <c r="AV90" s="848"/>
      <c r="AW90" s="848"/>
      <c r="AX90" s="848"/>
      <c r="AY90" s="848"/>
      <c r="AZ90" s="848"/>
      <c r="BA90" s="848"/>
      <c r="BB90" s="848"/>
      <c r="BC90" s="848"/>
      <c r="BD90" s="848"/>
      <c r="BE90" s="848"/>
      <c r="BF90" s="848"/>
      <c r="BG90" s="848"/>
      <c r="BH90" s="848"/>
      <c r="BI90" s="848"/>
      <c r="BJ90" s="848"/>
      <c r="BK90" s="848"/>
      <c r="BL90" s="848"/>
      <c r="BM90" s="848"/>
      <c r="BN90" s="848"/>
      <c r="BO90" s="848"/>
      <c r="BP90" s="848"/>
      <c r="BQ90" s="848"/>
      <c r="BR90" s="848"/>
      <c r="BS90" s="848"/>
      <c r="BT90" s="848"/>
      <c r="BU90" s="848"/>
      <c r="BV90" s="848"/>
      <c r="BW90" s="848"/>
      <c r="BX90" s="848"/>
      <c r="BY90" s="848"/>
      <c r="BZ90" s="848"/>
      <c r="CA90" s="848"/>
      <c r="CB90" s="848"/>
      <c r="CC90" s="848"/>
      <c r="CD90" s="848"/>
      <c r="CE90" s="848"/>
      <c r="CF90" s="848"/>
      <c r="CG90" s="848"/>
      <c r="CH90" s="848"/>
      <c r="CI90" s="848"/>
      <c r="CJ90" s="848"/>
      <c r="CK90" s="848"/>
      <c r="CL90" s="848"/>
      <c r="CM90" s="848"/>
      <c r="CN90" s="848"/>
      <c r="CO90" s="848"/>
      <c r="CP90" s="848"/>
      <c r="CQ90" s="848"/>
      <c r="CR90" s="848"/>
      <c r="CS90" s="848"/>
      <c r="CT90" s="848"/>
      <c r="CU90" s="848"/>
      <c r="CV90" s="848"/>
      <c r="CW90" s="848"/>
      <c r="CX90" s="848"/>
      <c r="CY90" s="848"/>
      <c r="CZ90" s="848"/>
      <c r="DA90" s="848"/>
      <c r="DB90" s="848"/>
      <c r="DC90" s="848"/>
      <c r="DD90" s="848"/>
      <c r="DE90" s="848"/>
      <c r="DF90" s="848"/>
    </row>
    <row r="91" spans="1:110" s="3" customFormat="1" ht="12.75">
      <c r="A91" s="860"/>
      <c r="B91" s="858"/>
      <c r="C91" s="858"/>
      <c r="D91" s="858"/>
      <c r="E91" s="858"/>
      <c r="F91" s="858"/>
      <c r="G91" s="858"/>
      <c r="H91" s="858"/>
      <c r="I91" s="858"/>
      <c r="J91" s="858"/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858"/>
      <c r="X91" s="858"/>
      <c r="Y91" s="858"/>
      <c r="Z91" s="858"/>
      <c r="AA91" s="858"/>
      <c r="AB91" s="858"/>
      <c r="AC91" s="858"/>
      <c r="AD91" s="858"/>
      <c r="AE91" s="859"/>
      <c r="AF91" s="83"/>
      <c r="AG91" s="848"/>
      <c r="AH91" s="848"/>
      <c r="AI91" s="848"/>
      <c r="AJ91" s="848"/>
      <c r="AK91" s="848"/>
      <c r="AL91" s="848"/>
      <c r="AM91" s="848"/>
      <c r="AN91" s="848"/>
      <c r="AO91" s="848"/>
      <c r="AP91" s="848"/>
      <c r="AQ91" s="848"/>
      <c r="AR91" s="848"/>
      <c r="AS91" s="848"/>
      <c r="AT91" s="848"/>
      <c r="AU91" s="848"/>
      <c r="AV91" s="848"/>
      <c r="AW91" s="848"/>
      <c r="AX91" s="848"/>
      <c r="AY91" s="848"/>
      <c r="AZ91" s="848"/>
      <c r="BA91" s="848"/>
      <c r="BB91" s="848"/>
      <c r="BC91" s="848"/>
      <c r="BD91" s="848"/>
      <c r="BE91" s="848"/>
      <c r="BF91" s="848"/>
      <c r="BG91" s="848"/>
      <c r="BH91" s="848"/>
      <c r="BI91" s="848"/>
      <c r="BJ91" s="848"/>
      <c r="BK91" s="848"/>
      <c r="BL91" s="848"/>
      <c r="BM91" s="848"/>
      <c r="BN91" s="848"/>
      <c r="BO91" s="848"/>
      <c r="BP91" s="848"/>
      <c r="BQ91" s="848"/>
      <c r="BR91" s="848"/>
      <c r="BS91" s="848"/>
      <c r="BT91" s="848"/>
      <c r="BU91" s="848"/>
      <c r="BV91" s="848"/>
      <c r="BW91" s="848"/>
      <c r="BX91" s="848"/>
      <c r="BY91" s="848"/>
      <c r="BZ91" s="848"/>
      <c r="CA91" s="848"/>
      <c r="CB91" s="848"/>
      <c r="CC91" s="848"/>
      <c r="CD91" s="848"/>
      <c r="CE91" s="848"/>
      <c r="CF91" s="848"/>
      <c r="CG91" s="848"/>
      <c r="CH91" s="848"/>
      <c r="CI91" s="848"/>
      <c r="CJ91" s="848"/>
      <c r="CK91" s="848"/>
      <c r="CL91" s="848"/>
      <c r="CM91" s="848"/>
      <c r="CN91" s="848"/>
      <c r="CO91" s="848"/>
      <c r="CP91" s="848"/>
      <c r="CQ91" s="848"/>
      <c r="CR91" s="848"/>
      <c r="CS91" s="848"/>
      <c r="CT91" s="848"/>
      <c r="CU91" s="848"/>
      <c r="CV91" s="848"/>
      <c r="CW91" s="848"/>
      <c r="CX91" s="848"/>
      <c r="CY91" s="848"/>
      <c r="CZ91" s="848"/>
      <c r="DA91" s="848"/>
      <c r="DB91" s="848"/>
      <c r="DC91" s="848"/>
      <c r="DD91" s="848"/>
      <c r="DE91" s="848"/>
      <c r="DF91" s="848"/>
    </row>
    <row r="92" spans="1:110" s="4" customFormat="1" ht="12.75">
      <c r="A92" s="860"/>
      <c r="B92" s="858"/>
      <c r="C92" s="858"/>
      <c r="D92" s="858"/>
      <c r="E92" s="858"/>
      <c r="F92" s="858"/>
      <c r="G92" s="858"/>
      <c r="H92" s="858"/>
      <c r="I92" s="858"/>
      <c r="J92" s="858"/>
      <c r="K92" s="858"/>
      <c r="L92" s="858"/>
      <c r="M92" s="858"/>
      <c r="N92" s="858"/>
      <c r="O92" s="858"/>
      <c r="P92" s="858"/>
      <c r="Q92" s="858"/>
      <c r="R92" s="858"/>
      <c r="S92" s="858"/>
      <c r="T92" s="858"/>
      <c r="U92" s="858"/>
      <c r="V92" s="858"/>
      <c r="W92" s="858"/>
      <c r="X92" s="858"/>
      <c r="Y92" s="858"/>
      <c r="Z92" s="858"/>
      <c r="AA92" s="858"/>
      <c r="AB92" s="858"/>
      <c r="AC92" s="858"/>
      <c r="AD92" s="858"/>
      <c r="AE92" s="859"/>
      <c r="AF92" s="83"/>
      <c r="AG92" s="848"/>
      <c r="AH92" s="848"/>
      <c r="AI92" s="848"/>
      <c r="AJ92" s="848"/>
      <c r="AK92" s="848"/>
      <c r="AL92" s="848"/>
      <c r="AM92" s="848"/>
      <c r="AN92" s="848"/>
      <c r="AO92" s="848"/>
      <c r="AP92" s="848"/>
      <c r="AQ92" s="848"/>
      <c r="AR92" s="848"/>
      <c r="AS92" s="848"/>
      <c r="AT92" s="848"/>
      <c r="AU92" s="848"/>
      <c r="AV92" s="848"/>
      <c r="AW92" s="848"/>
      <c r="AX92" s="848"/>
      <c r="AY92" s="848"/>
      <c r="AZ92" s="848"/>
      <c r="BA92" s="848"/>
      <c r="BB92" s="848"/>
      <c r="BC92" s="848"/>
      <c r="BD92" s="848"/>
      <c r="BE92" s="848"/>
      <c r="BF92" s="848"/>
      <c r="BG92" s="848"/>
      <c r="BH92" s="848"/>
      <c r="BI92" s="848"/>
      <c r="BJ92" s="848"/>
      <c r="BK92" s="848"/>
      <c r="BL92" s="848"/>
      <c r="BM92" s="848"/>
      <c r="BN92" s="848"/>
      <c r="BO92" s="848"/>
      <c r="BP92" s="848"/>
      <c r="BQ92" s="848"/>
      <c r="BR92" s="848"/>
      <c r="BS92" s="848"/>
      <c r="BT92" s="848"/>
      <c r="BU92" s="848"/>
      <c r="BV92" s="848"/>
      <c r="BW92" s="848"/>
      <c r="BX92" s="848"/>
      <c r="BY92" s="848"/>
      <c r="BZ92" s="848"/>
      <c r="CA92" s="848"/>
      <c r="CB92" s="848"/>
      <c r="CC92" s="848"/>
      <c r="CD92" s="848"/>
      <c r="CE92" s="848"/>
      <c r="CF92" s="848"/>
      <c r="CG92" s="848"/>
      <c r="CH92" s="848"/>
      <c r="CI92" s="848"/>
      <c r="CJ92" s="848"/>
      <c r="CK92" s="848"/>
      <c r="CL92" s="848"/>
      <c r="CM92" s="848"/>
      <c r="CN92" s="848"/>
      <c r="CO92" s="848"/>
      <c r="CP92" s="848"/>
      <c r="CQ92" s="848"/>
      <c r="CR92" s="848"/>
      <c r="CS92" s="848"/>
      <c r="CT92" s="848"/>
      <c r="CU92" s="848"/>
      <c r="CV92" s="848"/>
      <c r="CW92" s="848"/>
      <c r="CX92" s="848"/>
      <c r="CY92" s="848"/>
      <c r="CZ92" s="848"/>
      <c r="DA92" s="848"/>
      <c r="DB92" s="848"/>
      <c r="DC92" s="848"/>
      <c r="DD92" s="848"/>
      <c r="DE92" s="848"/>
      <c r="DF92" s="848"/>
    </row>
    <row r="93" spans="1:110" ht="12.75">
      <c r="A93" s="860"/>
      <c r="B93" s="858"/>
      <c r="C93" s="858"/>
      <c r="D93" s="858"/>
      <c r="E93" s="858"/>
      <c r="F93" s="858"/>
      <c r="G93" s="858"/>
      <c r="H93" s="858"/>
      <c r="I93" s="858"/>
      <c r="J93" s="858"/>
      <c r="K93" s="858"/>
      <c r="L93" s="858"/>
      <c r="M93" s="858"/>
      <c r="N93" s="858"/>
      <c r="O93" s="858"/>
      <c r="P93" s="858"/>
      <c r="Q93" s="858"/>
      <c r="R93" s="858"/>
      <c r="S93" s="858"/>
      <c r="T93" s="858"/>
      <c r="U93" s="858"/>
      <c r="V93" s="858"/>
      <c r="W93" s="858"/>
      <c r="X93" s="858"/>
      <c r="Y93" s="858"/>
      <c r="Z93" s="858"/>
      <c r="AA93" s="858"/>
      <c r="AB93" s="858"/>
      <c r="AC93" s="858"/>
      <c r="AD93" s="858"/>
      <c r="AE93" s="859"/>
      <c r="AF93" s="83"/>
      <c r="AG93" s="848"/>
      <c r="AH93" s="848"/>
      <c r="AI93" s="848"/>
      <c r="AJ93" s="848"/>
      <c r="AK93" s="848"/>
      <c r="AL93" s="848"/>
      <c r="AM93" s="848"/>
      <c r="AN93" s="848"/>
      <c r="AO93" s="848"/>
      <c r="AP93" s="848"/>
      <c r="AQ93" s="848"/>
      <c r="AR93" s="848"/>
      <c r="AS93" s="848"/>
      <c r="AT93" s="848"/>
      <c r="AU93" s="848"/>
      <c r="AV93" s="848"/>
      <c r="AW93" s="848"/>
      <c r="AX93" s="848"/>
      <c r="AY93" s="848"/>
      <c r="AZ93" s="848"/>
      <c r="BA93" s="848"/>
      <c r="BB93" s="848"/>
      <c r="BC93" s="848"/>
      <c r="BD93" s="848"/>
      <c r="BE93" s="848"/>
      <c r="BF93" s="848"/>
      <c r="BG93" s="848"/>
      <c r="BH93" s="848"/>
      <c r="BI93" s="848"/>
      <c r="BJ93" s="848"/>
      <c r="BK93" s="848"/>
      <c r="BL93" s="848"/>
      <c r="BM93" s="848"/>
      <c r="BN93" s="848"/>
      <c r="BO93" s="848"/>
      <c r="BP93" s="848"/>
      <c r="BQ93" s="848"/>
      <c r="BR93" s="848"/>
      <c r="BS93" s="848"/>
      <c r="BT93" s="848"/>
      <c r="BU93" s="848"/>
      <c r="BV93" s="848"/>
      <c r="BW93" s="848"/>
      <c r="BX93" s="848"/>
      <c r="BY93" s="848"/>
      <c r="BZ93" s="848"/>
      <c r="CA93" s="848"/>
      <c r="CB93" s="848"/>
      <c r="CC93" s="848"/>
      <c r="CD93" s="848"/>
      <c r="CE93" s="848"/>
      <c r="CF93" s="848"/>
      <c r="CG93" s="848"/>
      <c r="CH93" s="848"/>
      <c r="CI93" s="848"/>
      <c r="CJ93" s="848"/>
      <c r="CK93" s="848"/>
      <c r="CL93" s="848"/>
      <c r="CM93" s="848"/>
      <c r="CN93" s="848"/>
      <c r="CO93" s="848"/>
      <c r="CP93" s="848"/>
      <c r="CQ93" s="848"/>
      <c r="CR93" s="848"/>
      <c r="CS93" s="848"/>
      <c r="CT93" s="848"/>
      <c r="CU93" s="848"/>
      <c r="CV93" s="848"/>
      <c r="CW93" s="848"/>
      <c r="CX93" s="848"/>
      <c r="CY93" s="848"/>
      <c r="CZ93" s="848"/>
      <c r="DA93" s="848"/>
      <c r="DB93" s="848"/>
      <c r="DC93" s="848"/>
      <c r="DD93" s="848"/>
      <c r="DE93" s="848"/>
      <c r="DF93" s="848"/>
    </row>
    <row r="94" spans="1:110" ht="12.75">
      <c r="A94" s="860"/>
      <c r="B94" s="858"/>
      <c r="C94" s="858"/>
      <c r="D94" s="858"/>
      <c r="E94" s="858"/>
      <c r="F94" s="858"/>
      <c r="G94" s="858"/>
      <c r="H94" s="858"/>
      <c r="I94" s="858"/>
      <c r="J94" s="858"/>
      <c r="K94" s="858"/>
      <c r="L94" s="858"/>
      <c r="M94" s="858"/>
      <c r="N94" s="858"/>
      <c r="O94" s="858"/>
      <c r="P94" s="858"/>
      <c r="Q94" s="858"/>
      <c r="R94" s="858"/>
      <c r="S94" s="858"/>
      <c r="T94" s="858"/>
      <c r="U94" s="858"/>
      <c r="V94" s="858"/>
      <c r="W94" s="858"/>
      <c r="X94" s="858"/>
      <c r="Y94" s="858"/>
      <c r="Z94" s="858"/>
      <c r="AA94" s="858"/>
      <c r="AB94" s="858"/>
      <c r="AC94" s="858"/>
      <c r="AD94" s="858"/>
      <c r="AE94" s="859"/>
      <c r="AF94" s="83"/>
      <c r="AG94" s="848"/>
      <c r="AH94" s="848"/>
      <c r="AI94" s="848"/>
      <c r="AJ94" s="848"/>
      <c r="AK94" s="848"/>
      <c r="AL94" s="848"/>
      <c r="AM94" s="848"/>
      <c r="AN94" s="848"/>
      <c r="AO94" s="848"/>
      <c r="AP94" s="848"/>
      <c r="AQ94" s="848"/>
      <c r="AR94" s="848"/>
      <c r="AS94" s="848"/>
      <c r="AT94" s="848"/>
      <c r="AU94" s="848"/>
      <c r="AV94" s="848"/>
      <c r="AW94" s="848"/>
      <c r="AX94" s="848"/>
      <c r="AY94" s="848"/>
      <c r="AZ94" s="848"/>
      <c r="BA94" s="848"/>
      <c r="BB94" s="848"/>
      <c r="BC94" s="848"/>
      <c r="BD94" s="848"/>
      <c r="BE94" s="848"/>
      <c r="BF94" s="848"/>
      <c r="BG94" s="848"/>
      <c r="BH94" s="848"/>
      <c r="BI94" s="848"/>
      <c r="BJ94" s="848"/>
      <c r="BK94" s="848"/>
      <c r="BL94" s="848"/>
      <c r="BM94" s="848"/>
      <c r="BN94" s="848"/>
      <c r="BO94" s="848"/>
      <c r="BP94" s="848"/>
      <c r="BQ94" s="848"/>
      <c r="BR94" s="848"/>
      <c r="BS94" s="848"/>
      <c r="BT94" s="848"/>
      <c r="BU94" s="848"/>
      <c r="BV94" s="848"/>
      <c r="BW94" s="848"/>
      <c r="BX94" s="848"/>
      <c r="BY94" s="848"/>
      <c r="BZ94" s="848"/>
      <c r="CA94" s="848"/>
      <c r="CB94" s="848"/>
      <c r="CC94" s="848"/>
      <c r="CD94" s="848"/>
      <c r="CE94" s="848"/>
      <c r="CF94" s="848"/>
      <c r="CG94" s="848"/>
      <c r="CH94" s="848"/>
      <c r="CI94" s="848"/>
      <c r="CJ94" s="848"/>
      <c r="CK94" s="848"/>
      <c r="CL94" s="848"/>
      <c r="CM94" s="848"/>
      <c r="CN94" s="848"/>
      <c r="CO94" s="848"/>
      <c r="CP94" s="848"/>
      <c r="CQ94" s="848"/>
      <c r="CR94" s="848"/>
      <c r="CS94" s="848"/>
      <c r="CT94" s="848"/>
      <c r="CU94" s="848"/>
      <c r="CV94" s="848"/>
      <c r="CW94" s="848"/>
      <c r="CX94" s="848"/>
      <c r="CY94" s="848"/>
      <c r="CZ94" s="848"/>
      <c r="DA94" s="848"/>
      <c r="DB94" s="848"/>
      <c r="DC94" s="848"/>
      <c r="DD94" s="848"/>
      <c r="DE94" s="848"/>
      <c r="DF94" s="848"/>
    </row>
    <row r="95" spans="1:110" s="3" customFormat="1" ht="12.75">
      <c r="A95" s="860"/>
      <c r="B95" s="858"/>
      <c r="C95" s="858"/>
      <c r="D95" s="858"/>
      <c r="E95" s="858"/>
      <c r="F95" s="858"/>
      <c r="G95" s="858"/>
      <c r="H95" s="858"/>
      <c r="I95" s="858"/>
      <c r="J95" s="858"/>
      <c r="K95" s="858"/>
      <c r="L95" s="858"/>
      <c r="M95" s="858"/>
      <c r="N95" s="858"/>
      <c r="O95" s="858"/>
      <c r="P95" s="858"/>
      <c r="Q95" s="858"/>
      <c r="R95" s="858"/>
      <c r="S95" s="858"/>
      <c r="T95" s="858"/>
      <c r="U95" s="858"/>
      <c r="V95" s="858"/>
      <c r="W95" s="858"/>
      <c r="X95" s="858"/>
      <c r="Y95" s="858"/>
      <c r="Z95" s="858"/>
      <c r="AA95" s="858"/>
      <c r="AB95" s="858"/>
      <c r="AC95" s="858"/>
      <c r="AD95" s="858"/>
      <c r="AE95" s="859"/>
      <c r="AF95" s="83"/>
      <c r="AG95" s="848"/>
      <c r="AH95" s="848"/>
      <c r="AI95" s="848"/>
      <c r="AJ95" s="848"/>
      <c r="AK95" s="848"/>
      <c r="AL95" s="848"/>
      <c r="AM95" s="848"/>
      <c r="AN95" s="848"/>
      <c r="AO95" s="848"/>
      <c r="AP95" s="848"/>
      <c r="AQ95" s="848"/>
      <c r="AR95" s="848"/>
      <c r="AS95" s="848"/>
      <c r="AT95" s="848"/>
      <c r="AU95" s="848"/>
      <c r="AV95" s="848"/>
      <c r="AW95" s="848"/>
      <c r="AX95" s="848"/>
      <c r="AY95" s="848"/>
      <c r="AZ95" s="848"/>
      <c r="BA95" s="848"/>
      <c r="BB95" s="848"/>
      <c r="BC95" s="848"/>
      <c r="BD95" s="848"/>
      <c r="BE95" s="848"/>
      <c r="BF95" s="848"/>
      <c r="BG95" s="848"/>
      <c r="BH95" s="848"/>
      <c r="BI95" s="848"/>
      <c r="BJ95" s="848"/>
      <c r="BK95" s="848"/>
      <c r="BL95" s="848"/>
      <c r="BM95" s="848"/>
      <c r="BN95" s="848"/>
      <c r="BO95" s="848"/>
      <c r="BP95" s="848"/>
      <c r="BQ95" s="848"/>
      <c r="BR95" s="848"/>
      <c r="BS95" s="848"/>
      <c r="BT95" s="848"/>
      <c r="BU95" s="848"/>
      <c r="BV95" s="848"/>
      <c r="BW95" s="848"/>
      <c r="BX95" s="848"/>
      <c r="BY95" s="848"/>
      <c r="BZ95" s="848"/>
      <c r="CA95" s="848"/>
      <c r="CB95" s="848"/>
      <c r="CC95" s="848"/>
      <c r="CD95" s="848"/>
      <c r="CE95" s="848"/>
      <c r="CF95" s="848"/>
      <c r="CG95" s="848"/>
      <c r="CH95" s="848"/>
      <c r="CI95" s="848"/>
      <c r="CJ95" s="848"/>
      <c r="CK95" s="848"/>
      <c r="CL95" s="848"/>
      <c r="CM95" s="848"/>
      <c r="CN95" s="848"/>
      <c r="CO95" s="848"/>
      <c r="CP95" s="848"/>
      <c r="CQ95" s="848"/>
      <c r="CR95" s="848"/>
      <c r="CS95" s="848"/>
      <c r="CT95" s="848"/>
      <c r="CU95" s="848"/>
      <c r="CV95" s="848"/>
      <c r="CW95" s="848"/>
      <c r="CX95" s="848"/>
      <c r="CY95" s="848"/>
      <c r="CZ95" s="848"/>
      <c r="DA95" s="848"/>
      <c r="DB95" s="848"/>
      <c r="DC95" s="848"/>
      <c r="DD95" s="848"/>
      <c r="DE95" s="848"/>
      <c r="DF95" s="848"/>
    </row>
    <row r="96" spans="1:110" s="4" customFormat="1" ht="12.75">
      <c r="A96" s="860"/>
      <c r="B96" s="858"/>
      <c r="C96" s="858"/>
      <c r="D96" s="858"/>
      <c r="E96" s="858"/>
      <c r="F96" s="858"/>
      <c r="G96" s="858"/>
      <c r="H96" s="858"/>
      <c r="I96" s="858"/>
      <c r="J96" s="858"/>
      <c r="K96" s="858"/>
      <c r="L96" s="858"/>
      <c r="M96" s="858"/>
      <c r="N96" s="858"/>
      <c r="O96" s="858"/>
      <c r="P96" s="858"/>
      <c r="Q96" s="858"/>
      <c r="R96" s="858"/>
      <c r="S96" s="858"/>
      <c r="T96" s="858"/>
      <c r="U96" s="858"/>
      <c r="V96" s="858"/>
      <c r="W96" s="858"/>
      <c r="X96" s="858"/>
      <c r="Y96" s="858"/>
      <c r="Z96" s="858"/>
      <c r="AA96" s="858"/>
      <c r="AB96" s="858"/>
      <c r="AC96" s="858"/>
      <c r="AD96" s="858"/>
      <c r="AE96" s="859"/>
      <c r="AF96" s="83"/>
      <c r="AG96" s="848"/>
      <c r="AH96" s="848"/>
      <c r="AI96" s="848"/>
      <c r="AJ96" s="848"/>
      <c r="AK96" s="848"/>
      <c r="AL96" s="848"/>
      <c r="AM96" s="848"/>
      <c r="AN96" s="848"/>
      <c r="AO96" s="848"/>
      <c r="AP96" s="848"/>
      <c r="AQ96" s="848"/>
      <c r="AR96" s="848"/>
      <c r="AS96" s="848"/>
      <c r="AT96" s="848"/>
      <c r="AU96" s="848"/>
      <c r="AV96" s="848"/>
      <c r="AW96" s="848"/>
      <c r="AX96" s="848"/>
      <c r="AY96" s="848"/>
      <c r="AZ96" s="848"/>
      <c r="BA96" s="848"/>
      <c r="BB96" s="848"/>
      <c r="BC96" s="848"/>
      <c r="BD96" s="848"/>
      <c r="BE96" s="848"/>
      <c r="BF96" s="848"/>
      <c r="BG96" s="848"/>
      <c r="BH96" s="848"/>
      <c r="BI96" s="848"/>
      <c r="BJ96" s="848"/>
      <c r="BK96" s="848"/>
      <c r="BL96" s="848"/>
      <c r="BM96" s="848"/>
      <c r="BN96" s="848"/>
      <c r="BO96" s="848"/>
      <c r="BP96" s="848"/>
      <c r="BQ96" s="848"/>
      <c r="BR96" s="848"/>
      <c r="BS96" s="848"/>
      <c r="BT96" s="848"/>
      <c r="BU96" s="848"/>
      <c r="BV96" s="848"/>
      <c r="BW96" s="848"/>
      <c r="BX96" s="848"/>
      <c r="BY96" s="848"/>
      <c r="BZ96" s="848"/>
      <c r="CA96" s="848"/>
      <c r="CB96" s="848"/>
      <c r="CC96" s="848"/>
      <c r="CD96" s="848"/>
      <c r="CE96" s="848"/>
      <c r="CF96" s="848"/>
      <c r="CG96" s="848"/>
      <c r="CH96" s="848"/>
      <c r="CI96" s="848"/>
      <c r="CJ96" s="848"/>
      <c r="CK96" s="848"/>
      <c r="CL96" s="848"/>
      <c r="CM96" s="848"/>
      <c r="CN96" s="848"/>
      <c r="CO96" s="848"/>
      <c r="CP96" s="848"/>
      <c r="CQ96" s="848"/>
      <c r="CR96" s="848"/>
      <c r="CS96" s="848"/>
      <c r="CT96" s="848"/>
      <c r="CU96" s="848"/>
      <c r="CV96" s="848"/>
      <c r="CW96" s="848"/>
      <c r="CX96" s="848"/>
      <c r="CY96" s="848"/>
      <c r="CZ96" s="848"/>
      <c r="DA96" s="848"/>
      <c r="DB96" s="848"/>
      <c r="DC96" s="848"/>
      <c r="DD96" s="848"/>
      <c r="DE96" s="848"/>
      <c r="DF96" s="848"/>
    </row>
    <row r="97" spans="1:110" ht="12.75">
      <c r="A97" s="860"/>
      <c r="B97" s="858"/>
      <c r="C97" s="858"/>
      <c r="D97" s="858"/>
      <c r="E97" s="858"/>
      <c r="F97" s="858"/>
      <c r="G97" s="858"/>
      <c r="H97" s="858"/>
      <c r="I97" s="858"/>
      <c r="J97" s="858"/>
      <c r="K97" s="858"/>
      <c r="L97" s="858"/>
      <c r="M97" s="858"/>
      <c r="N97" s="858"/>
      <c r="O97" s="858"/>
      <c r="P97" s="858"/>
      <c r="Q97" s="858"/>
      <c r="R97" s="858"/>
      <c r="S97" s="858"/>
      <c r="T97" s="858"/>
      <c r="U97" s="858"/>
      <c r="V97" s="858"/>
      <c r="W97" s="858"/>
      <c r="X97" s="858"/>
      <c r="Y97" s="858"/>
      <c r="Z97" s="858"/>
      <c r="AA97" s="858"/>
      <c r="AB97" s="858"/>
      <c r="AC97" s="858"/>
      <c r="AD97" s="858"/>
      <c r="AE97" s="859"/>
      <c r="AF97" s="83"/>
      <c r="AG97" s="848"/>
      <c r="AH97" s="848"/>
      <c r="AI97" s="848"/>
      <c r="AJ97" s="848"/>
      <c r="AK97" s="848"/>
      <c r="AL97" s="848"/>
      <c r="AM97" s="848"/>
      <c r="AN97" s="848"/>
      <c r="AO97" s="848"/>
      <c r="AP97" s="848"/>
      <c r="AQ97" s="848"/>
      <c r="AR97" s="848"/>
      <c r="AS97" s="848"/>
      <c r="AT97" s="848"/>
      <c r="AU97" s="848"/>
      <c r="AV97" s="848"/>
      <c r="AW97" s="848"/>
      <c r="AX97" s="848"/>
      <c r="AY97" s="848"/>
      <c r="AZ97" s="848"/>
      <c r="BA97" s="848"/>
      <c r="BB97" s="848"/>
      <c r="BC97" s="848"/>
      <c r="BD97" s="848"/>
      <c r="BE97" s="848"/>
      <c r="BF97" s="848"/>
      <c r="BG97" s="848"/>
      <c r="BH97" s="848"/>
      <c r="BI97" s="848"/>
      <c r="BJ97" s="848"/>
      <c r="BK97" s="848"/>
      <c r="BL97" s="848"/>
      <c r="BM97" s="848"/>
      <c r="BN97" s="848"/>
      <c r="BO97" s="848"/>
      <c r="BP97" s="848"/>
      <c r="BQ97" s="848"/>
      <c r="BR97" s="848"/>
      <c r="BS97" s="848"/>
      <c r="BT97" s="848"/>
      <c r="BU97" s="848"/>
      <c r="BV97" s="848"/>
      <c r="BW97" s="848"/>
      <c r="BX97" s="848"/>
      <c r="BY97" s="848"/>
      <c r="BZ97" s="848"/>
      <c r="CA97" s="848"/>
      <c r="CB97" s="848"/>
      <c r="CC97" s="848"/>
      <c r="CD97" s="848"/>
      <c r="CE97" s="848"/>
      <c r="CF97" s="848"/>
      <c r="CG97" s="848"/>
      <c r="CH97" s="848"/>
      <c r="CI97" s="848"/>
      <c r="CJ97" s="848"/>
      <c r="CK97" s="848"/>
      <c r="CL97" s="848"/>
      <c r="CM97" s="848"/>
      <c r="CN97" s="848"/>
      <c r="CO97" s="848"/>
      <c r="CP97" s="848"/>
      <c r="CQ97" s="848"/>
      <c r="CR97" s="848"/>
      <c r="CS97" s="848"/>
      <c r="CT97" s="848"/>
      <c r="CU97" s="848"/>
      <c r="CV97" s="848"/>
      <c r="CW97" s="848"/>
      <c r="CX97" s="848"/>
      <c r="CY97" s="848"/>
      <c r="CZ97" s="848"/>
      <c r="DA97" s="848"/>
      <c r="DB97" s="848"/>
      <c r="DC97" s="848"/>
      <c r="DD97" s="848"/>
      <c r="DE97" s="848"/>
      <c r="DF97" s="848"/>
    </row>
    <row r="98" spans="1:110" ht="12.75">
      <c r="A98" s="860"/>
      <c r="B98" s="858"/>
      <c r="C98" s="858"/>
      <c r="D98" s="858"/>
      <c r="E98" s="858"/>
      <c r="F98" s="858"/>
      <c r="G98" s="858"/>
      <c r="H98" s="858"/>
      <c r="I98" s="858"/>
      <c r="J98" s="858"/>
      <c r="K98" s="858"/>
      <c r="L98" s="858"/>
      <c r="M98" s="858"/>
      <c r="N98" s="858"/>
      <c r="O98" s="858"/>
      <c r="P98" s="858"/>
      <c r="Q98" s="858"/>
      <c r="R98" s="858"/>
      <c r="S98" s="858"/>
      <c r="T98" s="858"/>
      <c r="U98" s="858"/>
      <c r="V98" s="858"/>
      <c r="W98" s="858"/>
      <c r="X98" s="858"/>
      <c r="Y98" s="858"/>
      <c r="Z98" s="858"/>
      <c r="AA98" s="858"/>
      <c r="AB98" s="858"/>
      <c r="AC98" s="858"/>
      <c r="AD98" s="858"/>
      <c r="AE98" s="859"/>
      <c r="AF98" s="83"/>
      <c r="AG98" s="848"/>
      <c r="AH98" s="848"/>
      <c r="AI98" s="848"/>
      <c r="AJ98" s="848"/>
      <c r="AK98" s="848"/>
      <c r="AL98" s="848"/>
      <c r="AM98" s="848"/>
      <c r="AN98" s="848"/>
      <c r="AO98" s="848"/>
      <c r="AP98" s="848"/>
      <c r="AQ98" s="848"/>
      <c r="AR98" s="848"/>
      <c r="AS98" s="848"/>
      <c r="AT98" s="848"/>
      <c r="AU98" s="848"/>
      <c r="AV98" s="848"/>
      <c r="AW98" s="848"/>
      <c r="AX98" s="848"/>
      <c r="AY98" s="848"/>
      <c r="AZ98" s="848"/>
      <c r="BA98" s="848"/>
      <c r="BB98" s="848"/>
      <c r="BC98" s="848"/>
      <c r="BD98" s="848"/>
      <c r="BE98" s="848"/>
      <c r="BF98" s="848"/>
      <c r="BG98" s="848"/>
      <c r="BH98" s="848"/>
      <c r="BI98" s="848"/>
      <c r="BJ98" s="848"/>
      <c r="BK98" s="848"/>
      <c r="BL98" s="848"/>
      <c r="BM98" s="848"/>
      <c r="BN98" s="848"/>
      <c r="BO98" s="848"/>
      <c r="BP98" s="848"/>
      <c r="BQ98" s="848"/>
      <c r="BR98" s="848"/>
      <c r="BS98" s="848"/>
      <c r="BT98" s="848"/>
      <c r="BU98" s="848"/>
      <c r="BV98" s="848"/>
      <c r="BW98" s="848"/>
      <c r="BX98" s="848"/>
      <c r="BY98" s="848"/>
      <c r="BZ98" s="848"/>
      <c r="CA98" s="848"/>
      <c r="CB98" s="848"/>
      <c r="CC98" s="848"/>
      <c r="CD98" s="848"/>
      <c r="CE98" s="848"/>
      <c r="CF98" s="848"/>
      <c r="CG98" s="848"/>
      <c r="CH98" s="848"/>
      <c r="CI98" s="848"/>
      <c r="CJ98" s="848"/>
      <c r="CK98" s="848"/>
      <c r="CL98" s="848"/>
      <c r="CM98" s="848"/>
      <c r="CN98" s="848"/>
      <c r="CO98" s="848"/>
      <c r="CP98" s="848"/>
      <c r="CQ98" s="848"/>
      <c r="CR98" s="848"/>
      <c r="CS98" s="848"/>
      <c r="CT98" s="848"/>
      <c r="CU98" s="848"/>
      <c r="CV98" s="848"/>
      <c r="CW98" s="848"/>
      <c r="CX98" s="848"/>
      <c r="CY98" s="848"/>
      <c r="CZ98" s="848"/>
      <c r="DA98" s="848"/>
      <c r="DB98" s="848"/>
      <c r="DC98" s="848"/>
      <c r="DD98" s="848"/>
      <c r="DE98" s="848"/>
      <c r="DF98" s="848"/>
    </row>
    <row r="99" spans="1:110" s="3" customFormat="1" ht="12.75">
      <c r="A99" s="860"/>
      <c r="B99" s="858"/>
      <c r="C99" s="858"/>
      <c r="D99" s="858"/>
      <c r="E99" s="858"/>
      <c r="F99" s="858"/>
      <c r="G99" s="858"/>
      <c r="H99" s="858"/>
      <c r="I99" s="858"/>
      <c r="J99" s="858"/>
      <c r="K99" s="858"/>
      <c r="L99" s="858"/>
      <c r="M99" s="858"/>
      <c r="N99" s="858"/>
      <c r="O99" s="858"/>
      <c r="P99" s="858"/>
      <c r="Q99" s="858"/>
      <c r="R99" s="858"/>
      <c r="S99" s="858"/>
      <c r="T99" s="858"/>
      <c r="U99" s="858"/>
      <c r="V99" s="858"/>
      <c r="W99" s="858"/>
      <c r="X99" s="858"/>
      <c r="Y99" s="858"/>
      <c r="Z99" s="858"/>
      <c r="AA99" s="858"/>
      <c r="AB99" s="858"/>
      <c r="AC99" s="858"/>
      <c r="AD99" s="858"/>
      <c r="AE99" s="859"/>
      <c r="AF99" s="83"/>
      <c r="AG99" s="848"/>
      <c r="AH99" s="848"/>
      <c r="AI99" s="848"/>
      <c r="AJ99" s="848"/>
      <c r="AK99" s="848"/>
      <c r="AL99" s="848"/>
      <c r="AM99" s="848"/>
      <c r="AN99" s="848"/>
      <c r="AO99" s="848"/>
      <c r="AP99" s="848"/>
      <c r="AQ99" s="848"/>
      <c r="AR99" s="848"/>
      <c r="AS99" s="848"/>
      <c r="AT99" s="848"/>
      <c r="AU99" s="848"/>
      <c r="AV99" s="848"/>
      <c r="AW99" s="848"/>
      <c r="AX99" s="848"/>
      <c r="AY99" s="848"/>
      <c r="AZ99" s="848"/>
      <c r="BA99" s="848"/>
      <c r="BB99" s="848"/>
      <c r="BC99" s="848"/>
      <c r="BD99" s="848"/>
      <c r="BE99" s="848"/>
      <c r="BF99" s="848"/>
      <c r="BG99" s="848"/>
      <c r="BH99" s="848"/>
      <c r="BI99" s="848"/>
      <c r="BJ99" s="848"/>
      <c r="BK99" s="848"/>
      <c r="BL99" s="848"/>
      <c r="BM99" s="848"/>
      <c r="BN99" s="848"/>
      <c r="BO99" s="848"/>
      <c r="BP99" s="848"/>
      <c r="BQ99" s="848"/>
      <c r="BR99" s="848"/>
      <c r="BS99" s="848"/>
      <c r="BT99" s="848"/>
      <c r="BU99" s="848"/>
      <c r="BV99" s="848"/>
      <c r="BW99" s="848"/>
      <c r="BX99" s="848"/>
      <c r="BY99" s="848"/>
      <c r="BZ99" s="848"/>
      <c r="CA99" s="848"/>
      <c r="CB99" s="848"/>
      <c r="CC99" s="848"/>
      <c r="CD99" s="848"/>
      <c r="CE99" s="848"/>
      <c r="CF99" s="848"/>
      <c r="CG99" s="848"/>
      <c r="CH99" s="848"/>
      <c r="CI99" s="848"/>
      <c r="CJ99" s="848"/>
      <c r="CK99" s="848"/>
      <c r="CL99" s="848"/>
      <c r="CM99" s="848"/>
      <c r="CN99" s="848"/>
      <c r="CO99" s="848"/>
      <c r="CP99" s="848"/>
      <c r="CQ99" s="848"/>
      <c r="CR99" s="848"/>
      <c r="CS99" s="848"/>
      <c r="CT99" s="848"/>
      <c r="CU99" s="848"/>
      <c r="CV99" s="848"/>
      <c r="CW99" s="848"/>
      <c r="CX99" s="848"/>
      <c r="CY99" s="848"/>
      <c r="CZ99" s="848"/>
      <c r="DA99" s="848"/>
      <c r="DB99" s="848"/>
      <c r="DC99" s="848"/>
      <c r="DD99" s="848"/>
      <c r="DE99" s="848"/>
      <c r="DF99" s="848"/>
    </row>
    <row r="100" spans="1:110" s="2" customFormat="1">
      <c r="A100" s="14"/>
      <c r="B100" s="15"/>
      <c r="C100" s="16"/>
      <c r="D100" s="16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3" spans="1:110" s="3" customFormat="1">
      <c r="A103" s="17"/>
      <c r="B103" s="10"/>
      <c r="C103" s="18"/>
      <c r="D103" s="18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</row>
    <row r="104" spans="1:110" s="2" customFormat="1">
      <c r="A104" s="14"/>
      <c r="B104" s="15"/>
      <c r="C104" s="16"/>
      <c r="D104" s="16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7" spans="1:110" s="3" customFormat="1">
      <c r="A107" s="17"/>
      <c r="B107" s="10"/>
      <c r="C107" s="18"/>
      <c r="D107" s="18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</row>
    <row r="108" spans="1:110" s="2" customFormat="1">
      <c r="A108" s="14"/>
      <c r="B108" s="15"/>
      <c r="C108" s="16"/>
      <c r="D108" s="16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11" spans="1:110" s="3" customFormat="1">
      <c r="A111" s="17"/>
      <c r="B111" s="10"/>
      <c r="C111" s="18"/>
      <c r="D111" s="18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110" s="2" customFormat="1">
      <c r="A112" s="14"/>
      <c r="B112" s="15"/>
      <c r="C112" s="16"/>
      <c r="D112" s="16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5" spans="1:32" s="3" customFormat="1">
      <c r="A115" s="17"/>
      <c r="B115" s="10"/>
      <c r="C115" s="18"/>
      <c r="D115" s="18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1:32" s="2" customFormat="1">
      <c r="A116" s="14"/>
      <c r="B116" s="15"/>
      <c r="C116" s="16"/>
      <c r="D116" s="16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9" spans="1:32" s="3" customFormat="1">
      <c r="A119" s="17"/>
      <c r="B119" s="10"/>
      <c r="C119" s="18"/>
      <c r="D119" s="18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1:32" s="2" customFormat="1">
      <c r="A120" s="14"/>
      <c r="B120" s="15"/>
      <c r="C120" s="16"/>
      <c r="D120" s="16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3" spans="1:32" s="3" customFormat="1">
      <c r="A123" s="17"/>
      <c r="B123" s="10"/>
      <c r="C123" s="18"/>
      <c r="D123" s="18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1:32" s="2" customFormat="1">
      <c r="A124" s="14"/>
      <c r="B124" s="15"/>
      <c r="C124" s="16"/>
      <c r="D124" s="16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</row>
    <row r="127" spans="1:32" s="3" customFormat="1">
      <c r="A127" s="17"/>
      <c r="B127" s="10"/>
      <c r="C127" s="18"/>
      <c r="D127" s="18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1:32" s="2" customFormat="1">
      <c r="A128" s="14"/>
      <c r="B128" s="15"/>
      <c r="C128" s="16"/>
      <c r="D128" s="16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31" spans="1:32" s="3" customFormat="1">
      <c r="A131" s="17"/>
      <c r="B131" s="10"/>
      <c r="C131" s="18"/>
      <c r="D131" s="18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1:32" s="2" customFormat="1">
      <c r="A132" s="14"/>
      <c r="B132" s="15"/>
      <c r="C132" s="16"/>
      <c r="D132" s="16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</row>
    <row r="135" spans="1:32" s="3" customFormat="1">
      <c r="A135" s="17"/>
      <c r="B135" s="10"/>
      <c r="C135" s="18"/>
      <c r="D135" s="18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</row>
    <row r="136" spans="1:32" s="2" customFormat="1">
      <c r="A136" s="14"/>
      <c r="B136" s="15"/>
      <c r="C136" s="16"/>
      <c r="D136" s="16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9" spans="1:32" s="3" customFormat="1">
      <c r="A139" s="17"/>
      <c r="B139" s="10"/>
      <c r="C139" s="18"/>
      <c r="D139" s="18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</row>
    <row r="140" spans="1:32" s="2" customFormat="1">
      <c r="A140" s="14"/>
      <c r="B140" s="15"/>
      <c r="C140" s="16"/>
      <c r="D140" s="16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3" spans="1:32" s="3" customFormat="1">
      <c r="A143" s="17"/>
      <c r="B143" s="10"/>
      <c r="C143" s="18"/>
      <c r="D143" s="18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</row>
    <row r="144" spans="1:32" s="2" customFormat="1">
      <c r="A144" s="14"/>
      <c r="B144" s="15"/>
      <c r="C144" s="16"/>
      <c r="D144" s="16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7" spans="1:32" s="3" customFormat="1">
      <c r="A147" s="17"/>
      <c r="B147" s="10"/>
      <c r="C147" s="18"/>
      <c r="D147" s="18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</row>
    <row r="148" spans="1:32" s="2" customFormat="1">
      <c r="A148" s="14"/>
      <c r="B148" s="15"/>
      <c r="C148" s="16"/>
      <c r="D148" s="16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51" spans="1:32" s="3" customFormat="1">
      <c r="A151" s="17"/>
      <c r="B151" s="10"/>
      <c r="C151" s="18"/>
      <c r="D151" s="18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</row>
    <row r="152" spans="1:32" s="2" customFormat="1">
      <c r="A152" s="14"/>
      <c r="B152" s="15"/>
      <c r="C152" s="16"/>
      <c r="D152" s="16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</row>
    <row r="155" spans="1:32" s="3" customFormat="1">
      <c r="A155" s="17"/>
      <c r="B155" s="10"/>
      <c r="C155" s="18"/>
      <c r="D155" s="18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</row>
    <row r="156" spans="1:32" s="2" customFormat="1">
      <c r="A156" s="14"/>
      <c r="B156" s="15"/>
      <c r="C156" s="16"/>
      <c r="D156" s="16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</row>
    <row r="159" spans="1:32" s="3" customFormat="1">
      <c r="A159" s="17"/>
      <c r="B159" s="10"/>
      <c r="C159" s="18"/>
      <c r="D159" s="18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</row>
    <row r="160" spans="1:32" s="2" customFormat="1">
      <c r="A160" s="14"/>
      <c r="B160" s="15"/>
      <c r="C160" s="16"/>
      <c r="D160" s="16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</row>
    <row r="163" spans="1:32" s="3" customFormat="1">
      <c r="A163" s="17"/>
      <c r="B163" s="10"/>
      <c r="C163" s="18"/>
      <c r="D163" s="18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</row>
    <row r="164" spans="1:32" s="2" customFormat="1">
      <c r="A164" s="14"/>
      <c r="B164" s="15"/>
      <c r="C164" s="16"/>
      <c r="D164" s="16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</row>
    <row r="167" spans="1:32" s="3" customFormat="1">
      <c r="A167" s="17"/>
      <c r="B167" s="10"/>
      <c r="C167" s="18"/>
      <c r="D167" s="18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</row>
    <row r="168" spans="1:32" s="2" customFormat="1">
      <c r="A168" s="14"/>
      <c r="B168" s="15"/>
      <c r="C168" s="16"/>
      <c r="D168" s="16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</row>
    <row r="171" spans="1:32" s="3" customFormat="1">
      <c r="A171" s="17"/>
      <c r="B171" s="10"/>
      <c r="C171" s="18"/>
      <c r="D171" s="18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</row>
    <row r="172" spans="1:32" s="2" customFormat="1">
      <c r="A172" s="14"/>
      <c r="B172" s="15"/>
      <c r="C172" s="16"/>
      <c r="D172" s="16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</row>
    <row r="175" spans="1:32" s="3" customFormat="1">
      <c r="A175" s="17"/>
      <c r="B175" s="10"/>
      <c r="C175" s="18"/>
      <c r="D175" s="18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</row>
    <row r="176" spans="1:32" s="2" customFormat="1">
      <c r="A176" s="14"/>
      <c r="B176" s="15"/>
      <c r="C176" s="16"/>
      <c r="D176" s="16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</row>
    <row r="179" spans="1:32" s="3" customFormat="1">
      <c r="A179" s="17"/>
      <c r="B179" s="10"/>
      <c r="C179" s="18"/>
      <c r="D179" s="18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</row>
    <row r="180" spans="1:32" s="2" customFormat="1">
      <c r="A180" s="14"/>
      <c r="B180" s="15"/>
      <c r="C180" s="16"/>
      <c r="D180" s="16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</row>
    <row r="183" spans="1:32" s="3" customFormat="1">
      <c r="A183" s="17"/>
      <c r="B183" s="10"/>
      <c r="C183" s="18"/>
      <c r="D183" s="18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</row>
    <row r="184" spans="1:32" s="2" customFormat="1">
      <c r="A184" s="14"/>
      <c r="B184" s="15"/>
      <c r="C184" s="16"/>
      <c r="D184" s="16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</row>
    <row r="187" spans="1:32" s="3" customFormat="1">
      <c r="A187" s="17"/>
      <c r="B187" s="10"/>
      <c r="C187" s="18"/>
      <c r="D187" s="18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</row>
    <row r="188" spans="1:32" s="2" customFormat="1">
      <c r="A188" s="14"/>
      <c r="B188" s="15"/>
      <c r="C188" s="16"/>
      <c r="D188" s="16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</row>
    <row r="191" spans="1:32" s="3" customFormat="1">
      <c r="A191" s="17"/>
      <c r="B191" s="10"/>
      <c r="C191" s="18"/>
      <c r="D191" s="18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  <row r="195" spans="1:32" s="6" customFormat="1">
      <c r="A195" s="17"/>
      <c r="B195" s="10"/>
      <c r="C195" s="18"/>
      <c r="D195" s="18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</row>
    <row r="197" spans="1:32" s="7" customFormat="1">
      <c r="A197" s="9"/>
      <c r="B197" s="10"/>
      <c r="C197" s="198"/>
      <c r="D197" s="19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s="7" customFormat="1">
      <c r="A198" s="9"/>
      <c r="B198" s="10"/>
      <c r="C198" s="198"/>
      <c r="D198" s="19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s="6" customFormat="1">
      <c r="A199" s="17"/>
      <c r="B199" s="10"/>
      <c r="C199" s="18"/>
      <c r="D199" s="18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</row>
    <row r="201" spans="1:32" s="7" customFormat="1">
      <c r="A201" s="9"/>
      <c r="B201" s="10"/>
      <c r="C201" s="198"/>
      <c r="D201" s="19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s="7" customFormat="1">
      <c r="A202" s="9"/>
      <c r="B202" s="10"/>
      <c r="C202" s="198"/>
      <c r="D202" s="19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s="6" customFormat="1">
      <c r="A203" s="17"/>
      <c r="B203" s="10"/>
      <c r="C203" s="18"/>
      <c r="D203" s="18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</row>
    <row r="204" spans="1:32" s="2" customFormat="1">
      <c r="A204" s="14"/>
      <c r="B204" s="15"/>
      <c r="C204" s="16"/>
      <c r="D204" s="16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</row>
    <row r="205" spans="1:32" s="7" customFormat="1">
      <c r="A205" s="9"/>
      <c r="B205" s="10"/>
      <c r="C205" s="198"/>
      <c r="D205" s="19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s="7" customFormat="1">
      <c r="A206" s="9"/>
      <c r="B206" s="10"/>
      <c r="C206" s="198"/>
      <c r="D206" s="19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s="6" customFormat="1">
      <c r="A207" s="17"/>
      <c r="B207" s="10"/>
      <c r="C207" s="18"/>
      <c r="D207" s="18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</row>
    <row r="208" spans="1:32" s="2" customFormat="1">
      <c r="A208" s="14"/>
      <c r="B208" s="15"/>
      <c r="C208" s="16"/>
      <c r="D208" s="16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</row>
    <row r="211" spans="1:32" s="6" customFormat="1">
      <c r="A211" s="17"/>
      <c r="B211" s="10"/>
      <c r="C211" s="18"/>
      <c r="D211" s="18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</row>
    <row r="212" spans="1:32" s="2" customFormat="1">
      <c r="A212" s="14"/>
      <c r="B212" s="15"/>
      <c r="C212" s="16"/>
      <c r="D212" s="16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</row>
    <row r="213" spans="1:32" s="7" customFormat="1">
      <c r="A213" s="9"/>
      <c r="B213" s="10"/>
      <c r="C213" s="198"/>
      <c r="D213" s="19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s="7" customFormat="1">
      <c r="A214" s="9"/>
      <c r="B214" s="10"/>
      <c r="C214" s="198"/>
      <c r="D214" s="19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s="6" customFormat="1">
      <c r="A215" s="17"/>
      <c r="B215" s="10"/>
      <c r="C215" s="18"/>
      <c r="D215" s="18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</row>
    <row r="216" spans="1:32" s="2" customFormat="1">
      <c r="A216" s="14"/>
      <c r="B216" s="15"/>
      <c r="C216" s="16"/>
      <c r="D216" s="16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</row>
    <row r="217" spans="1:32" s="7" customFormat="1">
      <c r="A217" s="9"/>
      <c r="B217" s="10"/>
      <c r="C217" s="198"/>
      <c r="D217" s="19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s="7" customFormat="1">
      <c r="A218" s="9"/>
      <c r="B218" s="10"/>
      <c r="C218" s="198"/>
      <c r="D218" s="19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s="6" customFormat="1">
      <c r="A219" s="17"/>
      <c r="B219" s="10"/>
      <c r="C219" s="18"/>
      <c r="D219" s="18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</row>
    <row r="220" spans="1:32" s="2" customFormat="1">
      <c r="A220" s="14"/>
      <c r="B220" s="15"/>
      <c r="C220" s="16"/>
      <c r="D220" s="16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</row>
    <row r="221" spans="1:32" s="7" customFormat="1">
      <c r="A221" s="9"/>
      <c r="B221" s="10"/>
      <c r="C221" s="198"/>
      <c r="D221" s="19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s="7" customFormat="1">
      <c r="A222" s="9"/>
      <c r="B222" s="10"/>
      <c r="C222" s="198"/>
      <c r="D222" s="19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s="6" customFormat="1">
      <c r="A223" s="17"/>
      <c r="B223" s="10"/>
      <c r="C223" s="18"/>
      <c r="D223" s="18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</row>
    <row r="224" spans="1:32" s="2" customFormat="1">
      <c r="A224" s="14"/>
      <c r="B224" s="15"/>
      <c r="C224" s="16"/>
      <c r="D224" s="16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</row>
    <row r="225" spans="1:32" s="7" customFormat="1">
      <c r="A225" s="9"/>
      <c r="B225" s="10"/>
      <c r="C225" s="198"/>
      <c r="D225" s="19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s="7" customFormat="1">
      <c r="A226" s="9"/>
      <c r="B226" s="10"/>
      <c r="C226" s="198"/>
      <c r="D226" s="19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s="6" customFormat="1">
      <c r="A227" s="17"/>
      <c r="B227" s="10"/>
      <c r="C227" s="18"/>
      <c r="D227" s="18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</row>
    <row r="228" spans="1:32" s="2" customFormat="1">
      <c r="A228" s="14"/>
      <c r="B228" s="15"/>
      <c r="C228" s="16"/>
      <c r="D228" s="16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</row>
    <row r="229" spans="1:32" s="8" customFormat="1">
      <c r="A229" s="9"/>
      <c r="B229" s="10"/>
      <c r="C229" s="198"/>
      <c r="D229" s="19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s="8" customFormat="1">
      <c r="A230" s="9"/>
      <c r="B230" s="10"/>
      <c r="C230" s="198"/>
      <c r="D230" s="19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s="3" customFormat="1">
      <c r="A231" s="17"/>
      <c r="B231" s="10"/>
      <c r="C231" s="18"/>
      <c r="D231" s="18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</row>
    <row r="232" spans="1:32" s="2" customFormat="1">
      <c r="A232" s="14"/>
      <c r="B232" s="15"/>
      <c r="C232" s="16"/>
      <c r="D232" s="16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</row>
    <row r="233" spans="1:32" s="7" customFormat="1">
      <c r="A233" s="9"/>
      <c r="B233" s="10"/>
      <c r="C233" s="198"/>
      <c r="D233" s="19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s="7" customFormat="1">
      <c r="A234" s="9"/>
      <c r="B234" s="10"/>
      <c r="C234" s="198"/>
      <c r="D234" s="19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s="6" customFormat="1">
      <c r="A235" s="17"/>
      <c r="B235" s="10"/>
      <c r="C235" s="18"/>
      <c r="D235" s="18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</row>
    <row r="236" spans="1:32" s="2" customFormat="1">
      <c r="A236" s="14"/>
      <c r="B236" s="15"/>
      <c r="C236" s="16"/>
      <c r="D236" s="16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</row>
    <row r="237" spans="1:32" s="2" customFormat="1" ht="15" customHeight="1">
      <c r="A237" s="14"/>
      <c r="B237" s="15"/>
      <c r="C237" s="16"/>
      <c r="D237" s="16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</row>
    <row r="238" spans="1:32" s="2" customFormat="1">
      <c r="A238" s="14"/>
      <c r="B238" s="15"/>
      <c r="C238" s="16"/>
      <c r="D238" s="16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</row>
    <row r="239" spans="1:32" s="2" customFormat="1" ht="18" customHeight="1">
      <c r="A239" s="14"/>
      <c r="B239" s="15"/>
      <c r="C239" s="16"/>
      <c r="D239" s="16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</row>
    <row r="240" spans="1:32" ht="20.25" customHeight="1"/>
    <row r="241" spans="1:32" s="6" customFormat="1">
      <c r="A241" s="17"/>
      <c r="B241" s="10"/>
      <c r="C241" s="18"/>
      <c r="D241" s="18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</row>
  </sheetData>
  <mergeCells count="41">
    <mergeCell ref="T1:U1"/>
    <mergeCell ref="AG1:DF99"/>
    <mergeCell ref="D2:T2"/>
    <mergeCell ref="A3:Y3"/>
    <mergeCell ref="A4:A7"/>
    <mergeCell ref="B4:B7"/>
    <mergeCell ref="C4:C7"/>
    <mergeCell ref="D4:D7"/>
    <mergeCell ref="E4:H5"/>
    <mergeCell ref="I4:S4"/>
    <mergeCell ref="T4:U5"/>
    <mergeCell ref="V4:Y5"/>
    <mergeCell ref="Z4:AE5"/>
    <mergeCell ref="AF4:AF7"/>
    <mergeCell ref="I5:K5"/>
    <mergeCell ref="L5:L7"/>
    <mergeCell ref="M5:M7"/>
    <mergeCell ref="N5:N7"/>
    <mergeCell ref="O5:O7"/>
    <mergeCell ref="P5:P7"/>
    <mergeCell ref="G6:G7"/>
    <mergeCell ref="H6:H7"/>
    <mergeCell ref="I6:I7"/>
    <mergeCell ref="J6:J7"/>
    <mergeCell ref="K6:K7"/>
    <mergeCell ref="Z6:Z7"/>
    <mergeCell ref="AA6:AC6"/>
    <mergeCell ref="AD6:AD7"/>
    <mergeCell ref="AE6:AE7"/>
    <mergeCell ref="A67:AE99"/>
    <mergeCell ref="T6:T7"/>
    <mergeCell ref="U6:U7"/>
    <mergeCell ref="V6:V7"/>
    <mergeCell ref="W6:W7"/>
    <mergeCell ref="X6:X7"/>
    <mergeCell ref="Y6:Y7"/>
    <mergeCell ref="Q5:Q7"/>
    <mergeCell ref="R5:R7"/>
    <mergeCell ref="S5:S7"/>
    <mergeCell ref="E6:E7"/>
    <mergeCell ref="F6:F7"/>
  </mergeCells>
  <pageMargins left="0.27" right="0.16" top="0.22" bottom="0.2" header="0.17" footer="0.17"/>
  <pageSetup paperSize="9" scale="65" orientation="landscape" r:id="rId1"/>
  <headerFooter alignWithMargins="0"/>
  <rowBreaks count="2" manualBreakCount="2">
    <brk id="34" max="109" man="1"/>
    <brk id="66" max="106" man="1"/>
  </rowBreaks>
  <colBreaks count="3" manualBreakCount="3">
    <brk id="17" max="65" man="1"/>
    <brk id="32" max="65" man="1"/>
    <brk id="84" max="6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J241"/>
  <sheetViews>
    <sheetView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4" sqref="B4:B7"/>
    </sheetView>
  </sheetViews>
  <sheetFormatPr defaultRowHeight="14.25"/>
  <cols>
    <col min="1" max="1" width="3.42578125" style="9" customWidth="1"/>
    <col min="2" max="2" width="50.85546875" style="10" customWidth="1"/>
    <col min="3" max="3" width="9" style="240" customWidth="1"/>
    <col min="4" max="4" width="15.140625" style="240" customWidth="1"/>
    <col min="5" max="5" width="10.28515625" style="9" customWidth="1"/>
    <col min="6" max="6" width="10.28515625" style="529" customWidth="1"/>
    <col min="7" max="7" width="9.7109375" style="9" customWidth="1"/>
    <col min="8" max="8" width="9.7109375" style="519" customWidth="1"/>
    <col min="9" max="9" width="9.7109375" style="9" customWidth="1"/>
    <col min="10" max="10" width="9.7109375" style="519" customWidth="1"/>
    <col min="11" max="11" width="10.85546875" style="9" customWidth="1"/>
    <col min="12" max="15" width="10.42578125" style="9" customWidth="1"/>
    <col min="16" max="16" width="16.28515625" style="9" customWidth="1"/>
    <col min="17" max="17" width="15.140625" style="9" customWidth="1"/>
    <col min="18" max="18" width="13.5703125" style="9" customWidth="1"/>
    <col min="19" max="19" width="10.5703125" style="9" customWidth="1"/>
    <col min="20" max="20" width="10.85546875" style="9" customWidth="1"/>
    <col min="21" max="21" width="18" style="9" customWidth="1"/>
    <col min="22" max="22" width="15.42578125" style="9" customWidth="1"/>
    <col min="23" max="23" width="12.140625" style="9" customWidth="1"/>
    <col min="24" max="24" width="13.42578125" style="9" customWidth="1"/>
    <col min="25" max="27" width="8.85546875" style="9" customWidth="1"/>
    <col min="28" max="28" width="9.28515625" style="9" customWidth="1"/>
    <col min="29" max="29" width="14" style="9" customWidth="1"/>
    <col min="30" max="31" width="8.85546875" style="9" customWidth="1"/>
    <col min="32" max="32" width="10.140625" style="9" customWidth="1"/>
    <col min="33" max="33" width="9.5703125" style="9" customWidth="1"/>
    <col min="34" max="34" width="16.140625" style="9" customWidth="1"/>
    <col min="35" max="35" width="12" style="9" customWidth="1"/>
    <col min="36" max="36" width="10.85546875" style="9" customWidth="1"/>
    <col min="37" max="37" width="9.85546875" style="1" customWidth="1"/>
    <col min="38" max="39" width="10.140625" style="1" customWidth="1"/>
    <col min="40" max="42" width="9.28515625" style="1" customWidth="1"/>
    <col min="43" max="43" width="9.85546875" style="1" customWidth="1"/>
    <col min="44" max="45" width="8.5703125" style="1" customWidth="1"/>
    <col min="46" max="48" width="8.85546875" style="1" customWidth="1"/>
    <col min="49" max="49" width="9.28515625" style="1" customWidth="1"/>
    <col min="50" max="51" width="8.85546875" style="1" customWidth="1"/>
    <col min="52" max="52" width="10" style="1" customWidth="1"/>
    <col min="53" max="54" width="8.85546875" style="1" customWidth="1"/>
    <col min="55" max="55" width="11" style="1" customWidth="1"/>
    <col min="56" max="57" width="9.5703125" style="1" customWidth="1"/>
    <col min="58" max="60" width="8.85546875" style="1" customWidth="1"/>
    <col min="61" max="61" width="10.42578125" style="1" customWidth="1"/>
    <col min="62" max="63" width="8.85546875" style="1" customWidth="1"/>
    <col min="64" max="64" width="9.7109375" style="1" customWidth="1"/>
    <col min="65" max="66" width="8.85546875" style="1" customWidth="1"/>
    <col min="67" max="67" width="9.28515625" style="1" customWidth="1"/>
    <col min="68" max="88" width="8.85546875" style="1" customWidth="1"/>
    <col min="89" max="89" width="9.85546875" style="1" customWidth="1"/>
    <col min="90" max="90" width="8.85546875" style="1" customWidth="1"/>
    <col min="91" max="91" width="10" style="1" customWidth="1"/>
    <col min="92" max="108" width="8.85546875" style="1" customWidth="1"/>
    <col min="109" max="109" width="9.42578125" style="1" customWidth="1"/>
    <col min="110" max="110" width="8.85546875" style="1" customWidth="1"/>
    <col min="111" max="111" width="12" style="1" customWidth="1"/>
    <col min="112" max="112" width="11.140625" style="1" customWidth="1"/>
    <col min="113" max="113" width="28.7109375" style="1" customWidth="1"/>
    <col min="114" max="114" width="5.85546875" style="1" customWidth="1"/>
    <col min="115" max="264" width="9.140625" style="1"/>
    <col min="265" max="265" width="3.42578125" style="1" customWidth="1"/>
    <col min="266" max="266" width="27.85546875" style="1" customWidth="1"/>
    <col min="267" max="267" width="11.85546875" style="1" customWidth="1"/>
    <col min="268" max="268" width="15.140625" style="1" customWidth="1"/>
    <col min="269" max="269" width="10.28515625" style="1" customWidth="1"/>
    <col min="270" max="271" width="9.7109375" style="1" customWidth="1"/>
    <col min="272" max="272" width="10.42578125" style="1" customWidth="1"/>
    <col min="273" max="273" width="10.42578125" style="1" bestFit="1" customWidth="1"/>
    <col min="274" max="274" width="16.28515625" style="1" customWidth="1"/>
    <col min="275" max="275" width="15.140625" style="1" customWidth="1"/>
    <col min="276" max="276" width="13.5703125" style="1" customWidth="1"/>
    <col min="277" max="277" width="10.5703125" style="1" customWidth="1"/>
    <col min="278" max="278" width="10.85546875" style="1" customWidth="1"/>
    <col min="279" max="279" width="18" style="1" customWidth="1"/>
    <col min="280" max="280" width="20.85546875" style="1" customWidth="1"/>
    <col min="281" max="281" width="13.5703125" style="1" customWidth="1"/>
    <col min="282" max="282" width="14.140625" style="1" customWidth="1"/>
    <col min="283" max="285" width="8.85546875" style="1" customWidth="1"/>
    <col min="286" max="286" width="9.28515625" style="1" customWidth="1"/>
    <col min="287" max="287" width="14" style="1" customWidth="1"/>
    <col min="288" max="289" width="8.85546875" style="1" customWidth="1"/>
    <col min="290" max="290" width="10.140625" style="1" customWidth="1"/>
    <col min="291" max="292" width="9.5703125" style="1" customWidth="1"/>
    <col min="293" max="293" width="9.85546875" style="1" customWidth="1"/>
    <col min="294" max="295" width="10.140625" style="1" customWidth="1"/>
    <col min="296" max="298" width="9.28515625" style="1" customWidth="1"/>
    <col min="299" max="299" width="9.85546875" style="1" customWidth="1"/>
    <col min="300" max="301" width="8.5703125" style="1" customWidth="1"/>
    <col min="302" max="304" width="8.85546875" style="1" customWidth="1"/>
    <col min="305" max="305" width="9.28515625" style="1" customWidth="1"/>
    <col min="306" max="307" width="8.85546875" style="1" customWidth="1"/>
    <col min="308" max="308" width="10" style="1" customWidth="1"/>
    <col min="309" max="310" width="8.85546875" style="1" customWidth="1"/>
    <col min="311" max="311" width="11" style="1" customWidth="1"/>
    <col min="312" max="313" width="9.5703125" style="1" customWidth="1"/>
    <col min="314" max="316" width="8.85546875" style="1" customWidth="1"/>
    <col min="317" max="317" width="10.42578125" style="1" customWidth="1"/>
    <col min="318" max="319" width="8.85546875" style="1" customWidth="1"/>
    <col min="320" max="320" width="9.7109375" style="1" customWidth="1"/>
    <col min="321" max="322" width="8.85546875" style="1" customWidth="1"/>
    <col min="323" max="323" width="9.28515625" style="1" customWidth="1"/>
    <col min="324" max="344" width="8.85546875" style="1" customWidth="1"/>
    <col min="345" max="345" width="9.85546875" style="1" customWidth="1"/>
    <col min="346" max="346" width="8.85546875" style="1" customWidth="1"/>
    <col min="347" max="347" width="10" style="1" customWidth="1"/>
    <col min="348" max="364" width="8.85546875" style="1" customWidth="1"/>
    <col min="365" max="365" width="9.42578125" style="1" customWidth="1"/>
    <col min="366" max="366" width="8.85546875" style="1" customWidth="1"/>
    <col min="367" max="367" width="12" style="1" customWidth="1"/>
    <col min="368" max="368" width="11.140625" style="1" customWidth="1"/>
    <col min="369" max="369" width="28.7109375" style="1" customWidth="1"/>
    <col min="370" max="370" width="5.85546875" style="1" customWidth="1"/>
    <col min="371" max="520" width="9.140625" style="1"/>
    <col min="521" max="521" width="3.42578125" style="1" customWidth="1"/>
    <col min="522" max="522" width="27.85546875" style="1" customWidth="1"/>
    <col min="523" max="523" width="11.85546875" style="1" customWidth="1"/>
    <col min="524" max="524" width="15.140625" style="1" customWidth="1"/>
    <col min="525" max="525" width="10.28515625" style="1" customWidth="1"/>
    <col min="526" max="527" width="9.7109375" style="1" customWidth="1"/>
    <col min="528" max="528" width="10.42578125" style="1" customWidth="1"/>
    <col min="529" max="529" width="10.42578125" style="1" bestFit="1" customWidth="1"/>
    <col min="530" max="530" width="16.28515625" style="1" customWidth="1"/>
    <col min="531" max="531" width="15.140625" style="1" customWidth="1"/>
    <col min="532" max="532" width="13.5703125" style="1" customWidth="1"/>
    <col min="533" max="533" width="10.5703125" style="1" customWidth="1"/>
    <col min="534" max="534" width="10.85546875" style="1" customWidth="1"/>
    <col min="535" max="535" width="18" style="1" customWidth="1"/>
    <col min="536" max="536" width="20.85546875" style="1" customWidth="1"/>
    <col min="537" max="537" width="13.5703125" style="1" customWidth="1"/>
    <col min="538" max="538" width="14.140625" style="1" customWidth="1"/>
    <col min="539" max="541" width="8.85546875" style="1" customWidth="1"/>
    <col min="542" max="542" width="9.28515625" style="1" customWidth="1"/>
    <col min="543" max="543" width="14" style="1" customWidth="1"/>
    <col min="544" max="545" width="8.85546875" style="1" customWidth="1"/>
    <col min="546" max="546" width="10.140625" style="1" customWidth="1"/>
    <col min="547" max="548" width="9.5703125" style="1" customWidth="1"/>
    <col min="549" max="549" width="9.85546875" style="1" customWidth="1"/>
    <col min="550" max="551" width="10.140625" style="1" customWidth="1"/>
    <col min="552" max="554" width="9.28515625" style="1" customWidth="1"/>
    <col min="555" max="555" width="9.85546875" style="1" customWidth="1"/>
    <col min="556" max="557" width="8.5703125" style="1" customWidth="1"/>
    <col min="558" max="560" width="8.85546875" style="1" customWidth="1"/>
    <col min="561" max="561" width="9.28515625" style="1" customWidth="1"/>
    <col min="562" max="563" width="8.85546875" style="1" customWidth="1"/>
    <col min="564" max="564" width="10" style="1" customWidth="1"/>
    <col min="565" max="566" width="8.85546875" style="1" customWidth="1"/>
    <col min="567" max="567" width="11" style="1" customWidth="1"/>
    <col min="568" max="569" width="9.5703125" style="1" customWidth="1"/>
    <col min="570" max="572" width="8.85546875" style="1" customWidth="1"/>
    <col min="573" max="573" width="10.42578125" style="1" customWidth="1"/>
    <col min="574" max="575" width="8.85546875" style="1" customWidth="1"/>
    <col min="576" max="576" width="9.7109375" style="1" customWidth="1"/>
    <col min="577" max="578" width="8.85546875" style="1" customWidth="1"/>
    <col min="579" max="579" width="9.28515625" style="1" customWidth="1"/>
    <col min="580" max="600" width="8.85546875" style="1" customWidth="1"/>
    <col min="601" max="601" width="9.85546875" style="1" customWidth="1"/>
    <col min="602" max="602" width="8.85546875" style="1" customWidth="1"/>
    <col min="603" max="603" width="10" style="1" customWidth="1"/>
    <col min="604" max="620" width="8.85546875" style="1" customWidth="1"/>
    <col min="621" max="621" width="9.42578125" style="1" customWidth="1"/>
    <col min="622" max="622" width="8.85546875" style="1" customWidth="1"/>
    <col min="623" max="623" width="12" style="1" customWidth="1"/>
    <col min="624" max="624" width="11.140625" style="1" customWidth="1"/>
    <col min="625" max="625" width="28.7109375" style="1" customWidth="1"/>
    <col min="626" max="626" width="5.85546875" style="1" customWidth="1"/>
    <col min="627" max="776" width="9.140625" style="1"/>
    <col min="777" max="777" width="3.42578125" style="1" customWidth="1"/>
    <col min="778" max="778" width="27.85546875" style="1" customWidth="1"/>
    <col min="779" max="779" width="11.85546875" style="1" customWidth="1"/>
    <col min="780" max="780" width="15.140625" style="1" customWidth="1"/>
    <col min="781" max="781" width="10.28515625" style="1" customWidth="1"/>
    <col min="782" max="783" width="9.7109375" style="1" customWidth="1"/>
    <col min="784" max="784" width="10.42578125" style="1" customWidth="1"/>
    <col min="785" max="785" width="10.42578125" style="1" bestFit="1" customWidth="1"/>
    <col min="786" max="786" width="16.28515625" style="1" customWidth="1"/>
    <col min="787" max="787" width="15.140625" style="1" customWidth="1"/>
    <col min="788" max="788" width="13.5703125" style="1" customWidth="1"/>
    <col min="789" max="789" width="10.5703125" style="1" customWidth="1"/>
    <col min="790" max="790" width="10.85546875" style="1" customWidth="1"/>
    <col min="791" max="791" width="18" style="1" customWidth="1"/>
    <col min="792" max="792" width="20.85546875" style="1" customWidth="1"/>
    <col min="793" max="793" width="13.5703125" style="1" customWidth="1"/>
    <col min="794" max="794" width="14.140625" style="1" customWidth="1"/>
    <col min="795" max="797" width="8.85546875" style="1" customWidth="1"/>
    <col min="798" max="798" width="9.28515625" style="1" customWidth="1"/>
    <col min="799" max="799" width="14" style="1" customWidth="1"/>
    <col min="800" max="801" width="8.85546875" style="1" customWidth="1"/>
    <col min="802" max="802" width="10.140625" style="1" customWidth="1"/>
    <col min="803" max="804" width="9.5703125" style="1" customWidth="1"/>
    <col min="805" max="805" width="9.85546875" style="1" customWidth="1"/>
    <col min="806" max="807" width="10.140625" style="1" customWidth="1"/>
    <col min="808" max="810" width="9.28515625" style="1" customWidth="1"/>
    <col min="811" max="811" width="9.85546875" style="1" customWidth="1"/>
    <col min="812" max="813" width="8.5703125" style="1" customWidth="1"/>
    <col min="814" max="816" width="8.85546875" style="1" customWidth="1"/>
    <col min="817" max="817" width="9.28515625" style="1" customWidth="1"/>
    <col min="818" max="819" width="8.85546875" style="1" customWidth="1"/>
    <col min="820" max="820" width="10" style="1" customWidth="1"/>
    <col min="821" max="822" width="8.85546875" style="1" customWidth="1"/>
    <col min="823" max="823" width="11" style="1" customWidth="1"/>
    <col min="824" max="825" width="9.5703125" style="1" customWidth="1"/>
    <col min="826" max="828" width="8.85546875" style="1" customWidth="1"/>
    <col min="829" max="829" width="10.42578125" style="1" customWidth="1"/>
    <col min="830" max="831" width="8.85546875" style="1" customWidth="1"/>
    <col min="832" max="832" width="9.7109375" style="1" customWidth="1"/>
    <col min="833" max="834" width="8.85546875" style="1" customWidth="1"/>
    <col min="835" max="835" width="9.28515625" style="1" customWidth="1"/>
    <col min="836" max="856" width="8.85546875" style="1" customWidth="1"/>
    <col min="857" max="857" width="9.85546875" style="1" customWidth="1"/>
    <col min="858" max="858" width="8.85546875" style="1" customWidth="1"/>
    <col min="859" max="859" width="10" style="1" customWidth="1"/>
    <col min="860" max="876" width="8.85546875" style="1" customWidth="1"/>
    <col min="877" max="877" width="9.42578125" style="1" customWidth="1"/>
    <col min="878" max="878" width="8.85546875" style="1" customWidth="1"/>
    <col min="879" max="879" width="12" style="1" customWidth="1"/>
    <col min="880" max="880" width="11.140625" style="1" customWidth="1"/>
    <col min="881" max="881" width="28.7109375" style="1" customWidth="1"/>
    <col min="882" max="882" width="5.85546875" style="1" customWidth="1"/>
    <col min="883" max="1032" width="9.140625" style="1"/>
    <col min="1033" max="1033" width="3.42578125" style="1" customWidth="1"/>
    <col min="1034" max="1034" width="27.85546875" style="1" customWidth="1"/>
    <col min="1035" max="1035" width="11.85546875" style="1" customWidth="1"/>
    <col min="1036" max="1036" width="15.140625" style="1" customWidth="1"/>
    <col min="1037" max="1037" width="10.28515625" style="1" customWidth="1"/>
    <col min="1038" max="1039" width="9.7109375" style="1" customWidth="1"/>
    <col min="1040" max="1040" width="10.42578125" style="1" customWidth="1"/>
    <col min="1041" max="1041" width="10.42578125" style="1" bestFit="1" customWidth="1"/>
    <col min="1042" max="1042" width="16.28515625" style="1" customWidth="1"/>
    <col min="1043" max="1043" width="15.140625" style="1" customWidth="1"/>
    <col min="1044" max="1044" width="13.5703125" style="1" customWidth="1"/>
    <col min="1045" max="1045" width="10.5703125" style="1" customWidth="1"/>
    <col min="1046" max="1046" width="10.85546875" style="1" customWidth="1"/>
    <col min="1047" max="1047" width="18" style="1" customWidth="1"/>
    <col min="1048" max="1048" width="20.85546875" style="1" customWidth="1"/>
    <col min="1049" max="1049" width="13.5703125" style="1" customWidth="1"/>
    <col min="1050" max="1050" width="14.140625" style="1" customWidth="1"/>
    <col min="1051" max="1053" width="8.85546875" style="1" customWidth="1"/>
    <col min="1054" max="1054" width="9.28515625" style="1" customWidth="1"/>
    <col min="1055" max="1055" width="14" style="1" customWidth="1"/>
    <col min="1056" max="1057" width="8.85546875" style="1" customWidth="1"/>
    <col min="1058" max="1058" width="10.140625" style="1" customWidth="1"/>
    <col min="1059" max="1060" width="9.5703125" style="1" customWidth="1"/>
    <col min="1061" max="1061" width="9.85546875" style="1" customWidth="1"/>
    <col min="1062" max="1063" width="10.140625" style="1" customWidth="1"/>
    <col min="1064" max="1066" width="9.28515625" style="1" customWidth="1"/>
    <col min="1067" max="1067" width="9.85546875" style="1" customWidth="1"/>
    <col min="1068" max="1069" width="8.5703125" style="1" customWidth="1"/>
    <col min="1070" max="1072" width="8.85546875" style="1" customWidth="1"/>
    <col min="1073" max="1073" width="9.28515625" style="1" customWidth="1"/>
    <col min="1074" max="1075" width="8.85546875" style="1" customWidth="1"/>
    <col min="1076" max="1076" width="10" style="1" customWidth="1"/>
    <col min="1077" max="1078" width="8.85546875" style="1" customWidth="1"/>
    <col min="1079" max="1079" width="11" style="1" customWidth="1"/>
    <col min="1080" max="1081" width="9.5703125" style="1" customWidth="1"/>
    <col min="1082" max="1084" width="8.85546875" style="1" customWidth="1"/>
    <col min="1085" max="1085" width="10.42578125" style="1" customWidth="1"/>
    <col min="1086" max="1087" width="8.85546875" style="1" customWidth="1"/>
    <col min="1088" max="1088" width="9.7109375" style="1" customWidth="1"/>
    <col min="1089" max="1090" width="8.85546875" style="1" customWidth="1"/>
    <col min="1091" max="1091" width="9.28515625" style="1" customWidth="1"/>
    <col min="1092" max="1112" width="8.85546875" style="1" customWidth="1"/>
    <col min="1113" max="1113" width="9.85546875" style="1" customWidth="1"/>
    <col min="1114" max="1114" width="8.85546875" style="1" customWidth="1"/>
    <col min="1115" max="1115" width="10" style="1" customWidth="1"/>
    <col min="1116" max="1132" width="8.85546875" style="1" customWidth="1"/>
    <col min="1133" max="1133" width="9.42578125" style="1" customWidth="1"/>
    <col min="1134" max="1134" width="8.85546875" style="1" customWidth="1"/>
    <col min="1135" max="1135" width="12" style="1" customWidth="1"/>
    <col min="1136" max="1136" width="11.140625" style="1" customWidth="1"/>
    <col min="1137" max="1137" width="28.7109375" style="1" customWidth="1"/>
    <col min="1138" max="1138" width="5.85546875" style="1" customWidth="1"/>
    <col min="1139" max="1288" width="9.140625" style="1"/>
    <col min="1289" max="1289" width="3.42578125" style="1" customWidth="1"/>
    <col min="1290" max="1290" width="27.85546875" style="1" customWidth="1"/>
    <col min="1291" max="1291" width="11.85546875" style="1" customWidth="1"/>
    <col min="1292" max="1292" width="15.140625" style="1" customWidth="1"/>
    <col min="1293" max="1293" width="10.28515625" style="1" customWidth="1"/>
    <col min="1294" max="1295" width="9.7109375" style="1" customWidth="1"/>
    <col min="1296" max="1296" width="10.42578125" style="1" customWidth="1"/>
    <col min="1297" max="1297" width="10.42578125" style="1" bestFit="1" customWidth="1"/>
    <col min="1298" max="1298" width="16.28515625" style="1" customWidth="1"/>
    <col min="1299" max="1299" width="15.140625" style="1" customWidth="1"/>
    <col min="1300" max="1300" width="13.5703125" style="1" customWidth="1"/>
    <col min="1301" max="1301" width="10.5703125" style="1" customWidth="1"/>
    <col min="1302" max="1302" width="10.85546875" style="1" customWidth="1"/>
    <col min="1303" max="1303" width="18" style="1" customWidth="1"/>
    <col min="1304" max="1304" width="20.85546875" style="1" customWidth="1"/>
    <col min="1305" max="1305" width="13.5703125" style="1" customWidth="1"/>
    <col min="1306" max="1306" width="14.140625" style="1" customWidth="1"/>
    <col min="1307" max="1309" width="8.85546875" style="1" customWidth="1"/>
    <col min="1310" max="1310" width="9.28515625" style="1" customWidth="1"/>
    <col min="1311" max="1311" width="14" style="1" customWidth="1"/>
    <col min="1312" max="1313" width="8.85546875" style="1" customWidth="1"/>
    <col min="1314" max="1314" width="10.140625" style="1" customWidth="1"/>
    <col min="1315" max="1316" width="9.5703125" style="1" customWidth="1"/>
    <col min="1317" max="1317" width="9.85546875" style="1" customWidth="1"/>
    <col min="1318" max="1319" width="10.140625" style="1" customWidth="1"/>
    <col min="1320" max="1322" width="9.28515625" style="1" customWidth="1"/>
    <col min="1323" max="1323" width="9.85546875" style="1" customWidth="1"/>
    <col min="1324" max="1325" width="8.5703125" style="1" customWidth="1"/>
    <col min="1326" max="1328" width="8.85546875" style="1" customWidth="1"/>
    <col min="1329" max="1329" width="9.28515625" style="1" customWidth="1"/>
    <col min="1330" max="1331" width="8.85546875" style="1" customWidth="1"/>
    <col min="1332" max="1332" width="10" style="1" customWidth="1"/>
    <col min="1333" max="1334" width="8.85546875" style="1" customWidth="1"/>
    <col min="1335" max="1335" width="11" style="1" customWidth="1"/>
    <col min="1336" max="1337" width="9.5703125" style="1" customWidth="1"/>
    <col min="1338" max="1340" width="8.85546875" style="1" customWidth="1"/>
    <col min="1341" max="1341" width="10.42578125" style="1" customWidth="1"/>
    <col min="1342" max="1343" width="8.85546875" style="1" customWidth="1"/>
    <col min="1344" max="1344" width="9.7109375" style="1" customWidth="1"/>
    <col min="1345" max="1346" width="8.85546875" style="1" customWidth="1"/>
    <col min="1347" max="1347" width="9.28515625" style="1" customWidth="1"/>
    <col min="1348" max="1368" width="8.85546875" style="1" customWidth="1"/>
    <col min="1369" max="1369" width="9.85546875" style="1" customWidth="1"/>
    <col min="1370" max="1370" width="8.85546875" style="1" customWidth="1"/>
    <col min="1371" max="1371" width="10" style="1" customWidth="1"/>
    <col min="1372" max="1388" width="8.85546875" style="1" customWidth="1"/>
    <col min="1389" max="1389" width="9.42578125" style="1" customWidth="1"/>
    <col min="1390" max="1390" width="8.85546875" style="1" customWidth="1"/>
    <col min="1391" max="1391" width="12" style="1" customWidth="1"/>
    <col min="1392" max="1392" width="11.140625" style="1" customWidth="1"/>
    <col min="1393" max="1393" width="28.7109375" style="1" customWidth="1"/>
    <col min="1394" max="1394" width="5.85546875" style="1" customWidth="1"/>
    <col min="1395" max="1544" width="9.140625" style="1"/>
    <col min="1545" max="1545" width="3.42578125" style="1" customWidth="1"/>
    <col min="1546" max="1546" width="27.85546875" style="1" customWidth="1"/>
    <col min="1547" max="1547" width="11.85546875" style="1" customWidth="1"/>
    <col min="1548" max="1548" width="15.140625" style="1" customWidth="1"/>
    <col min="1549" max="1549" width="10.28515625" style="1" customWidth="1"/>
    <col min="1550" max="1551" width="9.7109375" style="1" customWidth="1"/>
    <col min="1552" max="1552" width="10.42578125" style="1" customWidth="1"/>
    <col min="1553" max="1553" width="10.42578125" style="1" bestFit="1" customWidth="1"/>
    <col min="1554" max="1554" width="16.28515625" style="1" customWidth="1"/>
    <col min="1555" max="1555" width="15.140625" style="1" customWidth="1"/>
    <col min="1556" max="1556" width="13.5703125" style="1" customWidth="1"/>
    <col min="1557" max="1557" width="10.5703125" style="1" customWidth="1"/>
    <col min="1558" max="1558" width="10.85546875" style="1" customWidth="1"/>
    <col min="1559" max="1559" width="18" style="1" customWidth="1"/>
    <col min="1560" max="1560" width="20.85546875" style="1" customWidth="1"/>
    <col min="1561" max="1561" width="13.5703125" style="1" customWidth="1"/>
    <col min="1562" max="1562" width="14.140625" style="1" customWidth="1"/>
    <col min="1563" max="1565" width="8.85546875" style="1" customWidth="1"/>
    <col min="1566" max="1566" width="9.28515625" style="1" customWidth="1"/>
    <col min="1567" max="1567" width="14" style="1" customWidth="1"/>
    <col min="1568" max="1569" width="8.85546875" style="1" customWidth="1"/>
    <col min="1570" max="1570" width="10.140625" style="1" customWidth="1"/>
    <col min="1571" max="1572" width="9.5703125" style="1" customWidth="1"/>
    <col min="1573" max="1573" width="9.85546875" style="1" customWidth="1"/>
    <col min="1574" max="1575" width="10.140625" style="1" customWidth="1"/>
    <col min="1576" max="1578" width="9.28515625" style="1" customWidth="1"/>
    <col min="1579" max="1579" width="9.85546875" style="1" customWidth="1"/>
    <col min="1580" max="1581" width="8.5703125" style="1" customWidth="1"/>
    <col min="1582" max="1584" width="8.85546875" style="1" customWidth="1"/>
    <col min="1585" max="1585" width="9.28515625" style="1" customWidth="1"/>
    <col min="1586" max="1587" width="8.85546875" style="1" customWidth="1"/>
    <col min="1588" max="1588" width="10" style="1" customWidth="1"/>
    <col min="1589" max="1590" width="8.85546875" style="1" customWidth="1"/>
    <col min="1591" max="1591" width="11" style="1" customWidth="1"/>
    <col min="1592" max="1593" width="9.5703125" style="1" customWidth="1"/>
    <col min="1594" max="1596" width="8.85546875" style="1" customWidth="1"/>
    <col min="1597" max="1597" width="10.42578125" style="1" customWidth="1"/>
    <col min="1598" max="1599" width="8.85546875" style="1" customWidth="1"/>
    <col min="1600" max="1600" width="9.7109375" style="1" customWidth="1"/>
    <col min="1601" max="1602" width="8.85546875" style="1" customWidth="1"/>
    <col min="1603" max="1603" width="9.28515625" style="1" customWidth="1"/>
    <col min="1604" max="1624" width="8.85546875" style="1" customWidth="1"/>
    <col min="1625" max="1625" width="9.85546875" style="1" customWidth="1"/>
    <col min="1626" max="1626" width="8.85546875" style="1" customWidth="1"/>
    <col min="1627" max="1627" width="10" style="1" customWidth="1"/>
    <col min="1628" max="1644" width="8.85546875" style="1" customWidth="1"/>
    <col min="1645" max="1645" width="9.42578125" style="1" customWidth="1"/>
    <col min="1646" max="1646" width="8.85546875" style="1" customWidth="1"/>
    <col min="1647" max="1647" width="12" style="1" customWidth="1"/>
    <col min="1648" max="1648" width="11.140625" style="1" customWidth="1"/>
    <col min="1649" max="1649" width="28.7109375" style="1" customWidth="1"/>
    <col min="1650" max="1650" width="5.85546875" style="1" customWidth="1"/>
    <col min="1651" max="1800" width="9.140625" style="1"/>
    <col min="1801" max="1801" width="3.42578125" style="1" customWidth="1"/>
    <col min="1802" max="1802" width="27.85546875" style="1" customWidth="1"/>
    <col min="1803" max="1803" width="11.85546875" style="1" customWidth="1"/>
    <col min="1804" max="1804" width="15.140625" style="1" customWidth="1"/>
    <col min="1805" max="1805" width="10.28515625" style="1" customWidth="1"/>
    <col min="1806" max="1807" width="9.7109375" style="1" customWidth="1"/>
    <col min="1808" max="1808" width="10.42578125" style="1" customWidth="1"/>
    <col min="1809" max="1809" width="10.42578125" style="1" bestFit="1" customWidth="1"/>
    <col min="1810" max="1810" width="16.28515625" style="1" customWidth="1"/>
    <col min="1811" max="1811" width="15.140625" style="1" customWidth="1"/>
    <col min="1812" max="1812" width="13.5703125" style="1" customWidth="1"/>
    <col min="1813" max="1813" width="10.5703125" style="1" customWidth="1"/>
    <col min="1814" max="1814" width="10.85546875" style="1" customWidth="1"/>
    <col min="1815" max="1815" width="18" style="1" customWidth="1"/>
    <col min="1816" max="1816" width="20.85546875" style="1" customWidth="1"/>
    <col min="1817" max="1817" width="13.5703125" style="1" customWidth="1"/>
    <col min="1818" max="1818" width="14.140625" style="1" customWidth="1"/>
    <col min="1819" max="1821" width="8.85546875" style="1" customWidth="1"/>
    <col min="1822" max="1822" width="9.28515625" style="1" customWidth="1"/>
    <col min="1823" max="1823" width="14" style="1" customWidth="1"/>
    <col min="1824" max="1825" width="8.85546875" style="1" customWidth="1"/>
    <col min="1826" max="1826" width="10.140625" style="1" customWidth="1"/>
    <col min="1827" max="1828" width="9.5703125" style="1" customWidth="1"/>
    <col min="1829" max="1829" width="9.85546875" style="1" customWidth="1"/>
    <col min="1830" max="1831" width="10.140625" style="1" customWidth="1"/>
    <col min="1832" max="1834" width="9.28515625" style="1" customWidth="1"/>
    <col min="1835" max="1835" width="9.85546875" style="1" customWidth="1"/>
    <col min="1836" max="1837" width="8.5703125" style="1" customWidth="1"/>
    <col min="1838" max="1840" width="8.85546875" style="1" customWidth="1"/>
    <col min="1841" max="1841" width="9.28515625" style="1" customWidth="1"/>
    <col min="1842" max="1843" width="8.85546875" style="1" customWidth="1"/>
    <col min="1844" max="1844" width="10" style="1" customWidth="1"/>
    <col min="1845" max="1846" width="8.85546875" style="1" customWidth="1"/>
    <col min="1847" max="1847" width="11" style="1" customWidth="1"/>
    <col min="1848" max="1849" width="9.5703125" style="1" customWidth="1"/>
    <col min="1850" max="1852" width="8.85546875" style="1" customWidth="1"/>
    <col min="1853" max="1853" width="10.42578125" style="1" customWidth="1"/>
    <col min="1854" max="1855" width="8.85546875" style="1" customWidth="1"/>
    <col min="1856" max="1856" width="9.7109375" style="1" customWidth="1"/>
    <col min="1857" max="1858" width="8.85546875" style="1" customWidth="1"/>
    <col min="1859" max="1859" width="9.28515625" style="1" customWidth="1"/>
    <col min="1860" max="1880" width="8.85546875" style="1" customWidth="1"/>
    <col min="1881" max="1881" width="9.85546875" style="1" customWidth="1"/>
    <col min="1882" max="1882" width="8.85546875" style="1" customWidth="1"/>
    <col min="1883" max="1883" width="10" style="1" customWidth="1"/>
    <col min="1884" max="1900" width="8.85546875" style="1" customWidth="1"/>
    <col min="1901" max="1901" width="9.42578125" style="1" customWidth="1"/>
    <col min="1902" max="1902" width="8.85546875" style="1" customWidth="1"/>
    <col min="1903" max="1903" width="12" style="1" customWidth="1"/>
    <col min="1904" max="1904" width="11.140625" style="1" customWidth="1"/>
    <col min="1905" max="1905" width="28.7109375" style="1" customWidth="1"/>
    <col min="1906" max="1906" width="5.85546875" style="1" customWidth="1"/>
    <col min="1907" max="2056" width="9.140625" style="1"/>
    <col min="2057" max="2057" width="3.42578125" style="1" customWidth="1"/>
    <col min="2058" max="2058" width="27.85546875" style="1" customWidth="1"/>
    <col min="2059" max="2059" width="11.85546875" style="1" customWidth="1"/>
    <col min="2060" max="2060" width="15.140625" style="1" customWidth="1"/>
    <col min="2061" max="2061" width="10.28515625" style="1" customWidth="1"/>
    <col min="2062" max="2063" width="9.7109375" style="1" customWidth="1"/>
    <col min="2064" max="2064" width="10.42578125" style="1" customWidth="1"/>
    <col min="2065" max="2065" width="10.42578125" style="1" bestFit="1" customWidth="1"/>
    <col min="2066" max="2066" width="16.28515625" style="1" customWidth="1"/>
    <col min="2067" max="2067" width="15.140625" style="1" customWidth="1"/>
    <col min="2068" max="2068" width="13.5703125" style="1" customWidth="1"/>
    <col min="2069" max="2069" width="10.5703125" style="1" customWidth="1"/>
    <col min="2070" max="2070" width="10.85546875" style="1" customWidth="1"/>
    <col min="2071" max="2071" width="18" style="1" customWidth="1"/>
    <col min="2072" max="2072" width="20.85546875" style="1" customWidth="1"/>
    <col min="2073" max="2073" width="13.5703125" style="1" customWidth="1"/>
    <col min="2074" max="2074" width="14.140625" style="1" customWidth="1"/>
    <col min="2075" max="2077" width="8.85546875" style="1" customWidth="1"/>
    <col min="2078" max="2078" width="9.28515625" style="1" customWidth="1"/>
    <col min="2079" max="2079" width="14" style="1" customWidth="1"/>
    <col min="2080" max="2081" width="8.85546875" style="1" customWidth="1"/>
    <col min="2082" max="2082" width="10.140625" style="1" customWidth="1"/>
    <col min="2083" max="2084" width="9.5703125" style="1" customWidth="1"/>
    <col min="2085" max="2085" width="9.85546875" style="1" customWidth="1"/>
    <col min="2086" max="2087" width="10.140625" style="1" customWidth="1"/>
    <col min="2088" max="2090" width="9.28515625" style="1" customWidth="1"/>
    <col min="2091" max="2091" width="9.85546875" style="1" customWidth="1"/>
    <col min="2092" max="2093" width="8.5703125" style="1" customWidth="1"/>
    <col min="2094" max="2096" width="8.85546875" style="1" customWidth="1"/>
    <col min="2097" max="2097" width="9.28515625" style="1" customWidth="1"/>
    <col min="2098" max="2099" width="8.85546875" style="1" customWidth="1"/>
    <col min="2100" max="2100" width="10" style="1" customWidth="1"/>
    <col min="2101" max="2102" width="8.85546875" style="1" customWidth="1"/>
    <col min="2103" max="2103" width="11" style="1" customWidth="1"/>
    <col min="2104" max="2105" width="9.5703125" style="1" customWidth="1"/>
    <col min="2106" max="2108" width="8.85546875" style="1" customWidth="1"/>
    <col min="2109" max="2109" width="10.42578125" style="1" customWidth="1"/>
    <col min="2110" max="2111" width="8.85546875" style="1" customWidth="1"/>
    <col min="2112" max="2112" width="9.7109375" style="1" customWidth="1"/>
    <col min="2113" max="2114" width="8.85546875" style="1" customWidth="1"/>
    <col min="2115" max="2115" width="9.28515625" style="1" customWidth="1"/>
    <col min="2116" max="2136" width="8.85546875" style="1" customWidth="1"/>
    <col min="2137" max="2137" width="9.85546875" style="1" customWidth="1"/>
    <col min="2138" max="2138" width="8.85546875" style="1" customWidth="1"/>
    <col min="2139" max="2139" width="10" style="1" customWidth="1"/>
    <col min="2140" max="2156" width="8.85546875" style="1" customWidth="1"/>
    <col min="2157" max="2157" width="9.42578125" style="1" customWidth="1"/>
    <col min="2158" max="2158" width="8.85546875" style="1" customWidth="1"/>
    <col min="2159" max="2159" width="12" style="1" customWidth="1"/>
    <col min="2160" max="2160" width="11.140625" style="1" customWidth="1"/>
    <col min="2161" max="2161" width="28.7109375" style="1" customWidth="1"/>
    <col min="2162" max="2162" width="5.85546875" style="1" customWidth="1"/>
    <col min="2163" max="2312" width="9.140625" style="1"/>
    <col min="2313" max="2313" width="3.42578125" style="1" customWidth="1"/>
    <col min="2314" max="2314" width="27.85546875" style="1" customWidth="1"/>
    <col min="2315" max="2315" width="11.85546875" style="1" customWidth="1"/>
    <col min="2316" max="2316" width="15.140625" style="1" customWidth="1"/>
    <col min="2317" max="2317" width="10.28515625" style="1" customWidth="1"/>
    <col min="2318" max="2319" width="9.7109375" style="1" customWidth="1"/>
    <col min="2320" max="2320" width="10.42578125" style="1" customWidth="1"/>
    <col min="2321" max="2321" width="10.42578125" style="1" bestFit="1" customWidth="1"/>
    <col min="2322" max="2322" width="16.28515625" style="1" customWidth="1"/>
    <col min="2323" max="2323" width="15.140625" style="1" customWidth="1"/>
    <col min="2324" max="2324" width="13.5703125" style="1" customWidth="1"/>
    <col min="2325" max="2325" width="10.5703125" style="1" customWidth="1"/>
    <col min="2326" max="2326" width="10.85546875" style="1" customWidth="1"/>
    <col min="2327" max="2327" width="18" style="1" customWidth="1"/>
    <col min="2328" max="2328" width="20.85546875" style="1" customWidth="1"/>
    <col min="2329" max="2329" width="13.5703125" style="1" customWidth="1"/>
    <col min="2330" max="2330" width="14.140625" style="1" customWidth="1"/>
    <col min="2331" max="2333" width="8.85546875" style="1" customWidth="1"/>
    <col min="2334" max="2334" width="9.28515625" style="1" customWidth="1"/>
    <col min="2335" max="2335" width="14" style="1" customWidth="1"/>
    <col min="2336" max="2337" width="8.85546875" style="1" customWidth="1"/>
    <col min="2338" max="2338" width="10.140625" style="1" customWidth="1"/>
    <col min="2339" max="2340" width="9.5703125" style="1" customWidth="1"/>
    <col min="2341" max="2341" width="9.85546875" style="1" customWidth="1"/>
    <col min="2342" max="2343" width="10.140625" style="1" customWidth="1"/>
    <col min="2344" max="2346" width="9.28515625" style="1" customWidth="1"/>
    <col min="2347" max="2347" width="9.85546875" style="1" customWidth="1"/>
    <col min="2348" max="2349" width="8.5703125" style="1" customWidth="1"/>
    <col min="2350" max="2352" width="8.85546875" style="1" customWidth="1"/>
    <col min="2353" max="2353" width="9.28515625" style="1" customWidth="1"/>
    <col min="2354" max="2355" width="8.85546875" style="1" customWidth="1"/>
    <col min="2356" max="2356" width="10" style="1" customWidth="1"/>
    <col min="2357" max="2358" width="8.85546875" style="1" customWidth="1"/>
    <col min="2359" max="2359" width="11" style="1" customWidth="1"/>
    <col min="2360" max="2361" width="9.5703125" style="1" customWidth="1"/>
    <col min="2362" max="2364" width="8.85546875" style="1" customWidth="1"/>
    <col min="2365" max="2365" width="10.42578125" style="1" customWidth="1"/>
    <col min="2366" max="2367" width="8.85546875" style="1" customWidth="1"/>
    <col min="2368" max="2368" width="9.7109375" style="1" customWidth="1"/>
    <col min="2369" max="2370" width="8.85546875" style="1" customWidth="1"/>
    <col min="2371" max="2371" width="9.28515625" style="1" customWidth="1"/>
    <col min="2372" max="2392" width="8.85546875" style="1" customWidth="1"/>
    <col min="2393" max="2393" width="9.85546875" style="1" customWidth="1"/>
    <col min="2394" max="2394" width="8.85546875" style="1" customWidth="1"/>
    <col min="2395" max="2395" width="10" style="1" customWidth="1"/>
    <col min="2396" max="2412" width="8.85546875" style="1" customWidth="1"/>
    <col min="2413" max="2413" width="9.42578125" style="1" customWidth="1"/>
    <col min="2414" max="2414" width="8.85546875" style="1" customWidth="1"/>
    <col min="2415" max="2415" width="12" style="1" customWidth="1"/>
    <col min="2416" max="2416" width="11.140625" style="1" customWidth="1"/>
    <col min="2417" max="2417" width="28.7109375" style="1" customWidth="1"/>
    <col min="2418" max="2418" width="5.85546875" style="1" customWidth="1"/>
    <col min="2419" max="2568" width="9.140625" style="1"/>
    <col min="2569" max="2569" width="3.42578125" style="1" customWidth="1"/>
    <col min="2570" max="2570" width="27.85546875" style="1" customWidth="1"/>
    <col min="2571" max="2571" width="11.85546875" style="1" customWidth="1"/>
    <col min="2572" max="2572" width="15.140625" style="1" customWidth="1"/>
    <col min="2573" max="2573" width="10.28515625" style="1" customWidth="1"/>
    <col min="2574" max="2575" width="9.7109375" style="1" customWidth="1"/>
    <col min="2576" max="2576" width="10.42578125" style="1" customWidth="1"/>
    <col min="2577" max="2577" width="10.42578125" style="1" bestFit="1" customWidth="1"/>
    <col min="2578" max="2578" width="16.28515625" style="1" customWidth="1"/>
    <col min="2579" max="2579" width="15.140625" style="1" customWidth="1"/>
    <col min="2580" max="2580" width="13.5703125" style="1" customWidth="1"/>
    <col min="2581" max="2581" width="10.5703125" style="1" customWidth="1"/>
    <col min="2582" max="2582" width="10.85546875" style="1" customWidth="1"/>
    <col min="2583" max="2583" width="18" style="1" customWidth="1"/>
    <col min="2584" max="2584" width="20.85546875" style="1" customWidth="1"/>
    <col min="2585" max="2585" width="13.5703125" style="1" customWidth="1"/>
    <col min="2586" max="2586" width="14.140625" style="1" customWidth="1"/>
    <col min="2587" max="2589" width="8.85546875" style="1" customWidth="1"/>
    <col min="2590" max="2590" width="9.28515625" style="1" customWidth="1"/>
    <col min="2591" max="2591" width="14" style="1" customWidth="1"/>
    <col min="2592" max="2593" width="8.85546875" style="1" customWidth="1"/>
    <col min="2594" max="2594" width="10.140625" style="1" customWidth="1"/>
    <col min="2595" max="2596" width="9.5703125" style="1" customWidth="1"/>
    <col min="2597" max="2597" width="9.85546875" style="1" customWidth="1"/>
    <col min="2598" max="2599" width="10.140625" style="1" customWidth="1"/>
    <col min="2600" max="2602" width="9.28515625" style="1" customWidth="1"/>
    <col min="2603" max="2603" width="9.85546875" style="1" customWidth="1"/>
    <col min="2604" max="2605" width="8.5703125" style="1" customWidth="1"/>
    <col min="2606" max="2608" width="8.85546875" style="1" customWidth="1"/>
    <col min="2609" max="2609" width="9.28515625" style="1" customWidth="1"/>
    <col min="2610" max="2611" width="8.85546875" style="1" customWidth="1"/>
    <col min="2612" max="2612" width="10" style="1" customWidth="1"/>
    <col min="2613" max="2614" width="8.85546875" style="1" customWidth="1"/>
    <col min="2615" max="2615" width="11" style="1" customWidth="1"/>
    <col min="2616" max="2617" width="9.5703125" style="1" customWidth="1"/>
    <col min="2618" max="2620" width="8.85546875" style="1" customWidth="1"/>
    <col min="2621" max="2621" width="10.42578125" style="1" customWidth="1"/>
    <col min="2622" max="2623" width="8.85546875" style="1" customWidth="1"/>
    <col min="2624" max="2624" width="9.7109375" style="1" customWidth="1"/>
    <col min="2625" max="2626" width="8.85546875" style="1" customWidth="1"/>
    <col min="2627" max="2627" width="9.28515625" style="1" customWidth="1"/>
    <col min="2628" max="2648" width="8.85546875" style="1" customWidth="1"/>
    <col min="2649" max="2649" width="9.85546875" style="1" customWidth="1"/>
    <col min="2650" max="2650" width="8.85546875" style="1" customWidth="1"/>
    <col min="2651" max="2651" width="10" style="1" customWidth="1"/>
    <col min="2652" max="2668" width="8.85546875" style="1" customWidth="1"/>
    <col min="2669" max="2669" width="9.42578125" style="1" customWidth="1"/>
    <col min="2670" max="2670" width="8.85546875" style="1" customWidth="1"/>
    <col min="2671" max="2671" width="12" style="1" customWidth="1"/>
    <col min="2672" max="2672" width="11.140625" style="1" customWidth="1"/>
    <col min="2673" max="2673" width="28.7109375" style="1" customWidth="1"/>
    <col min="2674" max="2674" width="5.85546875" style="1" customWidth="1"/>
    <col min="2675" max="2824" width="9.140625" style="1"/>
    <col min="2825" max="2825" width="3.42578125" style="1" customWidth="1"/>
    <col min="2826" max="2826" width="27.85546875" style="1" customWidth="1"/>
    <col min="2827" max="2827" width="11.85546875" style="1" customWidth="1"/>
    <col min="2828" max="2828" width="15.140625" style="1" customWidth="1"/>
    <col min="2829" max="2829" width="10.28515625" style="1" customWidth="1"/>
    <col min="2830" max="2831" width="9.7109375" style="1" customWidth="1"/>
    <col min="2832" max="2832" width="10.42578125" style="1" customWidth="1"/>
    <col min="2833" max="2833" width="10.42578125" style="1" bestFit="1" customWidth="1"/>
    <col min="2834" max="2834" width="16.28515625" style="1" customWidth="1"/>
    <col min="2835" max="2835" width="15.140625" style="1" customWidth="1"/>
    <col min="2836" max="2836" width="13.5703125" style="1" customWidth="1"/>
    <col min="2837" max="2837" width="10.5703125" style="1" customWidth="1"/>
    <col min="2838" max="2838" width="10.85546875" style="1" customWidth="1"/>
    <col min="2839" max="2839" width="18" style="1" customWidth="1"/>
    <col min="2840" max="2840" width="20.85546875" style="1" customWidth="1"/>
    <col min="2841" max="2841" width="13.5703125" style="1" customWidth="1"/>
    <col min="2842" max="2842" width="14.140625" style="1" customWidth="1"/>
    <col min="2843" max="2845" width="8.85546875" style="1" customWidth="1"/>
    <col min="2846" max="2846" width="9.28515625" style="1" customWidth="1"/>
    <col min="2847" max="2847" width="14" style="1" customWidth="1"/>
    <col min="2848" max="2849" width="8.85546875" style="1" customWidth="1"/>
    <col min="2850" max="2850" width="10.140625" style="1" customWidth="1"/>
    <col min="2851" max="2852" width="9.5703125" style="1" customWidth="1"/>
    <col min="2853" max="2853" width="9.85546875" style="1" customWidth="1"/>
    <col min="2854" max="2855" width="10.140625" style="1" customWidth="1"/>
    <col min="2856" max="2858" width="9.28515625" style="1" customWidth="1"/>
    <col min="2859" max="2859" width="9.85546875" style="1" customWidth="1"/>
    <col min="2860" max="2861" width="8.5703125" style="1" customWidth="1"/>
    <col min="2862" max="2864" width="8.85546875" style="1" customWidth="1"/>
    <col min="2865" max="2865" width="9.28515625" style="1" customWidth="1"/>
    <col min="2866" max="2867" width="8.85546875" style="1" customWidth="1"/>
    <col min="2868" max="2868" width="10" style="1" customWidth="1"/>
    <col min="2869" max="2870" width="8.85546875" style="1" customWidth="1"/>
    <col min="2871" max="2871" width="11" style="1" customWidth="1"/>
    <col min="2872" max="2873" width="9.5703125" style="1" customWidth="1"/>
    <col min="2874" max="2876" width="8.85546875" style="1" customWidth="1"/>
    <col min="2877" max="2877" width="10.42578125" style="1" customWidth="1"/>
    <col min="2878" max="2879" width="8.85546875" style="1" customWidth="1"/>
    <col min="2880" max="2880" width="9.7109375" style="1" customWidth="1"/>
    <col min="2881" max="2882" width="8.85546875" style="1" customWidth="1"/>
    <col min="2883" max="2883" width="9.28515625" style="1" customWidth="1"/>
    <col min="2884" max="2904" width="8.85546875" style="1" customWidth="1"/>
    <col min="2905" max="2905" width="9.85546875" style="1" customWidth="1"/>
    <col min="2906" max="2906" width="8.85546875" style="1" customWidth="1"/>
    <col min="2907" max="2907" width="10" style="1" customWidth="1"/>
    <col min="2908" max="2924" width="8.85546875" style="1" customWidth="1"/>
    <col min="2925" max="2925" width="9.42578125" style="1" customWidth="1"/>
    <col min="2926" max="2926" width="8.85546875" style="1" customWidth="1"/>
    <col min="2927" max="2927" width="12" style="1" customWidth="1"/>
    <col min="2928" max="2928" width="11.140625" style="1" customWidth="1"/>
    <col min="2929" max="2929" width="28.7109375" style="1" customWidth="1"/>
    <col min="2930" max="2930" width="5.85546875" style="1" customWidth="1"/>
    <col min="2931" max="3080" width="9.140625" style="1"/>
    <col min="3081" max="3081" width="3.42578125" style="1" customWidth="1"/>
    <col min="3082" max="3082" width="27.85546875" style="1" customWidth="1"/>
    <col min="3083" max="3083" width="11.85546875" style="1" customWidth="1"/>
    <col min="3084" max="3084" width="15.140625" style="1" customWidth="1"/>
    <col min="3085" max="3085" width="10.28515625" style="1" customWidth="1"/>
    <col min="3086" max="3087" width="9.7109375" style="1" customWidth="1"/>
    <col min="3088" max="3088" width="10.42578125" style="1" customWidth="1"/>
    <col min="3089" max="3089" width="10.42578125" style="1" bestFit="1" customWidth="1"/>
    <col min="3090" max="3090" width="16.28515625" style="1" customWidth="1"/>
    <col min="3091" max="3091" width="15.140625" style="1" customWidth="1"/>
    <col min="3092" max="3092" width="13.5703125" style="1" customWidth="1"/>
    <col min="3093" max="3093" width="10.5703125" style="1" customWidth="1"/>
    <col min="3094" max="3094" width="10.85546875" style="1" customWidth="1"/>
    <col min="3095" max="3095" width="18" style="1" customWidth="1"/>
    <col min="3096" max="3096" width="20.85546875" style="1" customWidth="1"/>
    <col min="3097" max="3097" width="13.5703125" style="1" customWidth="1"/>
    <col min="3098" max="3098" width="14.140625" style="1" customWidth="1"/>
    <col min="3099" max="3101" width="8.85546875" style="1" customWidth="1"/>
    <col min="3102" max="3102" width="9.28515625" style="1" customWidth="1"/>
    <col min="3103" max="3103" width="14" style="1" customWidth="1"/>
    <col min="3104" max="3105" width="8.85546875" style="1" customWidth="1"/>
    <col min="3106" max="3106" width="10.140625" style="1" customWidth="1"/>
    <col min="3107" max="3108" width="9.5703125" style="1" customWidth="1"/>
    <col min="3109" max="3109" width="9.85546875" style="1" customWidth="1"/>
    <col min="3110" max="3111" width="10.140625" style="1" customWidth="1"/>
    <col min="3112" max="3114" width="9.28515625" style="1" customWidth="1"/>
    <col min="3115" max="3115" width="9.85546875" style="1" customWidth="1"/>
    <col min="3116" max="3117" width="8.5703125" style="1" customWidth="1"/>
    <col min="3118" max="3120" width="8.85546875" style="1" customWidth="1"/>
    <col min="3121" max="3121" width="9.28515625" style="1" customWidth="1"/>
    <col min="3122" max="3123" width="8.85546875" style="1" customWidth="1"/>
    <col min="3124" max="3124" width="10" style="1" customWidth="1"/>
    <col min="3125" max="3126" width="8.85546875" style="1" customWidth="1"/>
    <col min="3127" max="3127" width="11" style="1" customWidth="1"/>
    <col min="3128" max="3129" width="9.5703125" style="1" customWidth="1"/>
    <col min="3130" max="3132" width="8.85546875" style="1" customWidth="1"/>
    <col min="3133" max="3133" width="10.42578125" style="1" customWidth="1"/>
    <col min="3134" max="3135" width="8.85546875" style="1" customWidth="1"/>
    <col min="3136" max="3136" width="9.7109375" style="1" customWidth="1"/>
    <col min="3137" max="3138" width="8.85546875" style="1" customWidth="1"/>
    <col min="3139" max="3139" width="9.28515625" style="1" customWidth="1"/>
    <col min="3140" max="3160" width="8.85546875" style="1" customWidth="1"/>
    <col min="3161" max="3161" width="9.85546875" style="1" customWidth="1"/>
    <col min="3162" max="3162" width="8.85546875" style="1" customWidth="1"/>
    <col min="3163" max="3163" width="10" style="1" customWidth="1"/>
    <col min="3164" max="3180" width="8.85546875" style="1" customWidth="1"/>
    <col min="3181" max="3181" width="9.42578125" style="1" customWidth="1"/>
    <col min="3182" max="3182" width="8.85546875" style="1" customWidth="1"/>
    <col min="3183" max="3183" width="12" style="1" customWidth="1"/>
    <col min="3184" max="3184" width="11.140625" style="1" customWidth="1"/>
    <col min="3185" max="3185" width="28.7109375" style="1" customWidth="1"/>
    <col min="3186" max="3186" width="5.85546875" style="1" customWidth="1"/>
    <col min="3187" max="3336" width="9.140625" style="1"/>
    <col min="3337" max="3337" width="3.42578125" style="1" customWidth="1"/>
    <col min="3338" max="3338" width="27.85546875" style="1" customWidth="1"/>
    <col min="3339" max="3339" width="11.85546875" style="1" customWidth="1"/>
    <col min="3340" max="3340" width="15.140625" style="1" customWidth="1"/>
    <col min="3341" max="3341" width="10.28515625" style="1" customWidth="1"/>
    <col min="3342" max="3343" width="9.7109375" style="1" customWidth="1"/>
    <col min="3344" max="3344" width="10.42578125" style="1" customWidth="1"/>
    <col min="3345" max="3345" width="10.42578125" style="1" bestFit="1" customWidth="1"/>
    <col min="3346" max="3346" width="16.28515625" style="1" customWidth="1"/>
    <col min="3347" max="3347" width="15.140625" style="1" customWidth="1"/>
    <col min="3348" max="3348" width="13.5703125" style="1" customWidth="1"/>
    <col min="3349" max="3349" width="10.5703125" style="1" customWidth="1"/>
    <col min="3350" max="3350" width="10.85546875" style="1" customWidth="1"/>
    <col min="3351" max="3351" width="18" style="1" customWidth="1"/>
    <col min="3352" max="3352" width="20.85546875" style="1" customWidth="1"/>
    <col min="3353" max="3353" width="13.5703125" style="1" customWidth="1"/>
    <col min="3354" max="3354" width="14.140625" style="1" customWidth="1"/>
    <col min="3355" max="3357" width="8.85546875" style="1" customWidth="1"/>
    <col min="3358" max="3358" width="9.28515625" style="1" customWidth="1"/>
    <col min="3359" max="3359" width="14" style="1" customWidth="1"/>
    <col min="3360" max="3361" width="8.85546875" style="1" customWidth="1"/>
    <col min="3362" max="3362" width="10.140625" style="1" customWidth="1"/>
    <col min="3363" max="3364" width="9.5703125" style="1" customWidth="1"/>
    <col min="3365" max="3365" width="9.85546875" style="1" customWidth="1"/>
    <col min="3366" max="3367" width="10.140625" style="1" customWidth="1"/>
    <col min="3368" max="3370" width="9.28515625" style="1" customWidth="1"/>
    <col min="3371" max="3371" width="9.85546875" style="1" customWidth="1"/>
    <col min="3372" max="3373" width="8.5703125" style="1" customWidth="1"/>
    <col min="3374" max="3376" width="8.85546875" style="1" customWidth="1"/>
    <col min="3377" max="3377" width="9.28515625" style="1" customWidth="1"/>
    <col min="3378" max="3379" width="8.85546875" style="1" customWidth="1"/>
    <col min="3380" max="3380" width="10" style="1" customWidth="1"/>
    <col min="3381" max="3382" width="8.85546875" style="1" customWidth="1"/>
    <col min="3383" max="3383" width="11" style="1" customWidth="1"/>
    <col min="3384" max="3385" width="9.5703125" style="1" customWidth="1"/>
    <col min="3386" max="3388" width="8.85546875" style="1" customWidth="1"/>
    <col min="3389" max="3389" width="10.42578125" style="1" customWidth="1"/>
    <col min="3390" max="3391" width="8.85546875" style="1" customWidth="1"/>
    <col min="3392" max="3392" width="9.7109375" style="1" customWidth="1"/>
    <col min="3393" max="3394" width="8.85546875" style="1" customWidth="1"/>
    <col min="3395" max="3395" width="9.28515625" style="1" customWidth="1"/>
    <col min="3396" max="3416" width="8.85546875" style="1" customWidth="1"/>
    <col min="3417" max="3417" width="9.85546875" style="1" customWidth="1"/>
    <col min="3418" max="3418" width="8.85546875" style="1" customWidth="1"/>
    <col min="3419" max="3419" width="10" style="1" customWidth="1"/>
    <col min="3420" max="3436" width="8.85546875" style="1" customWidth="1"/>
    <col min="3437" max="3437" width="9.42578125" style="1" customWidth="1"/>
    <col min="3438" max="3438" width="8.85546875" style="1" customWidth="1"/>
    <col min="3439" max="3439" width="12" style="1" customWidth="1"/>
    <col min="3440" max="3440" width="11.140625" style="1" customWidth="1"/>
    <col min="3441" max="3441" width="28.7109375" style="1" customWidth="1"/>
    <col min="3442" max="3442" width="5.85546875" style="1" customWidth="1"/>
    <col min="3443" max="3592" width="9.140625" style="1"/>
    <col min="3593" max="3593" width="3.42578125" style="1" customWidth="1"/>
    <col min="3594" max="3594" width="27.85546875" style="1" customWidth="1"/>
    <col min="3595" max="3595" width="11.85546875" style="1" customWidth="1"/>
    <col min="3596" max="3596" width="15.140625" style="1" customWidth="1"/>
    <col min="3597" max="3597" width="10.28515625" style="1" customWidth="1"/>
    <col min="3598" max="3599" width="9.7109375" style="1" customWidth="1"/>
    <col min="3600" max="3600" width="10.42578125" style="1" customWidth="1"/>
    <col min="3601" max="3601" width="10.42578125" style="1" bestFit="1" customWidth="1"/>
    <col min="3602" max="3602" width="16.28515625" style="1" customWidth="1"/>
    <col min="3603" max="3603" width="15.140625" style="1" customWidth="1"/>
    <col min="3604" max="3604" width="13.5703125" style="1" customWidth="1"/>
    <col min="3605" max="3605" width="10.5703125" style="1" customWidth="1"/>
    <col min="3606" max="3606" width="10.85546875" style="1" customWidth="1"/>
    <col min="3607" max="3607" width="18" style="1" customWidth="1"/>
    <col min="3608" max="3608" width="20.85546875" style="1" customWidth="1"/>
    <col min="3609" max="3609" width="13.5703125" style="1" customWidth="1"/>
    <col min="3610" max="3610" width="14.140625" style="1" customWidth="1"/>
    <col min="3611" max="3613" width="8.85546875" style="1" customWidth="1"/>
    <col min="3614" max="3614" width="9.28515625" style="1" customWidth="1"/>
    <col min="3615" max="3615" width="14" style="1" customWidth="1"/>
    <col min="3616" max="3617" width="8.85546875" style="1" customWidth="1"/>
    <col min="3618" max="3618" width="10.140625" style="1" customWidth="1"/>
    <col min="3619" max="3620" width="9.5703125" style="1" customWidth="1"/>
    <col min="3621" max="3621" width="9.85546875" style="1" customWidth="1"/>
    <col min="3622" max="3623" width="10.140625" style="1" customWidth="1"/>
    <col min="3624" max="3626" width="9.28515625" style="1" customWidth="1"/>
    <col min="3627" max="3627" width="9.85546875" style="1" customWidth="1"/>
    <col min="3628" max="3629" width="8.5703125" style="1" customWidth="1"/>
    <col min="3630" max="3632" width="8.85546875" style="1" customWidth="1"/>
    <col min="3633" max="3633" width="9.28515625" style="1" customWidth="1"/>
    <col min="3634" max="3635" width="8.85546875" style="1" customWidth="1"/>
    <col min="3636" max="3636" width="10" style="1" customWidth="1"/>
    <col min="3637" max="3638" width="8.85546875" style="1" customWidth="1"/>
    <col min="3639" max="3639" width="11" style="1" customWidth="1"/>
    <col min="3640" max="3641" width="9.5703125" style="1" customWidth="1"/>
    <col min="3642" max="3644" width="8.85546875" style="1" customWidth="1"/>
    <col min="3645" max="3645" width="10.42578125" style="1" customWidth="1"/>
    <col min="3646" max="3647" width="8.85546875" style="1" customWidth="1"/>
    <col min="3648" max="3648" width="9.7109375" style="1" customWidth="1"/>
    <col min="3649" max="3650" width="8.85546875" style="1" customWidth="1"/>
    <col min="3651" max="3651" width="9.28515625" style="1" customWidth="1"/>
    <col min="3652" max="3672" width="8.85546875" style="1" customWidth="1"/>
    <col min="3673" max="3673" width="9.85546875" style="1" customWidth="1"/>
    <col min="3674" max="3674" width="8.85546875" style="1" customWidth="1"/>
    <col min="3675" max="3675" width="10" style="1" customWidth="1"/>
    <col min="3676" max="3692" width="8.85546875" style="1" customWidth="1"/>
    <col min="3693" max="3693" width="9.42578125" style="1" customWidth="1"/>
    <col min="3694" max="3694" width="8.85546875" style="1" customWidth="1"/>
    <col min="3695" max="3695" width="12" style="1" customWidth="1"/>
    <col min="3696" max="3696" width="11.140625" style="1" customWidth="1"/>
    <col min="3697" max="3697" width="28.7109375" style="1" customWidth="1"/>
    <col min="3698" max="3698" width="5.85546875" style="1" customWidth="1"/>
    <col min="3699" max="3848" width="9.140625" style="1"/>
    <col min="3849" max="3849" width="3.42578125" style="1" customWidth="1"/>
    <col min="3850" max="3850" width="27.85546875" style="1" customWidth="1"/>
    <col min="3851" max="3851" width="11.85546875" style="1" customWidth="1"/>
    <col min="3852" max="3852" width="15.140625" style="1" customWidth="1"/>
    <col min="3853" max="3853" width="10.28515625" style="1" customWidth="1"/>
    <col min="3854" max="3855" width="9.7109375" style="1" customWidth="1"/>
    <col min="3856" max="3856" width="10.42578125" style="1" customWidth="1"/>
    <col min="3857" max="3857" width="10.42578125" style="1" bestFit="1" customWidth="1"/>
    <col min="3858" max="3858" width="16.28515625" style="1" customWidth="1"/>
    <col min="3859" max="3859" width="15.140625" style="1" customWidth="1"/>
    <col min="3860" max="3860" width="13.5703125" style="1" customWidth="1"/>
    <col min="3861" max="3861" width="10.5703125" style="1" customWidth="1"/>
    <col min="3862" max="3862" width="10.85546875" style="1" customWidth="1"/>
    <col min="3863" max="3863" width="18" style="1" customWidth="1"/>
    <col min="3864" max="3864" width="20.85546875" style="1" customWidth="1"/>
    <col min="3865" max="3865" width="13.5703125" style="1" customWidth="1"/>
    <col min="3866" max="3866" width="14.140625" style="1" customWidth="1"/>
    <col min="3867" max="3869" width="8.85546875" style="1" customWidth="1"/>
    <col min="3870" max="3870" width="9.28515625" style="1" customWidth="1"/>
    <col min="3871" max="3871" width="14" style="1" customWidth="1"/>
    <col min="3872" max="3873" width="8.85546875" style="1" customWidth="1"/>
    <col min="3874" max="3874" width="10.140625" style="1" customWidth="1"/>
    <col min="3875" max="3876" width="9.5703125" style="1" customWidth="1"/>
    <col min="3877" max="3877" width="9.85546875" style="1" customWidth="1"/>
    <col min="3878" max="3879" width="10.140625" style="1" customWidth="1"/>
    <col min="3880" max="3882" width="9.28515625" style="1" customWidth="1"/>
    <col min="3883" max="3883" width="9.85546875" style="1" customWidth="1"/>
    <col min="3884" max="3885" width="8.5703125" style="1" customWidth="1"/>
    <col min="3886" max="3888" width="8.85546875" style="1" customWidth="1"/>
    <col min="3889" max="3889" width="9.28515625" style="1" customWidth="1"/>
    <col min="3890" max="3891" width="8.85546875" style="1" customWidth="1"/>
    <col min="3892" max="3892" width="10" style="1" customWidth="1"/>
    <col min="3893" max="3894" width="8.85546875" style="1" customWidth="1"/>
    <col min="3895" max="3895" width="11" style="1" customWidth="1"/>
    <col min="3896" max="3897" width="9.5703125" style="1" customWidth="1"/>
    <col min="3898" max="3900" width="8.85546875" style="1" customWidth="1"/>
    <col min="3901" max="3901" width="10.42578125" style="1" customWidth="1"/>
    <col min="3902" max="3903" width="8.85546875" style="1" customWidth="1"/>
    <col min="3904" max="3904" width="9.7109375" style="1" customWidth="1"/>
    <col min="3905" max="3906" width="8.85546875" style="1" customWidth="1"/>
    <col min="3907" max="3907" width="9.28515625" style="1" customWidth="1"/>
    <col min="3908" max="3928" width="8.85546875" style="1" customWidth="1"/>
    <col min="3929" max="3929" width="9.85546875" style="1" customWidth="1"/>
    <col min="3930" max="3930" width="8.85546875" style="1" customWidth="1"/>
    <col min="3931" max="3931" width="10" style="1" customWidth="1"/>
    <col min="3932" max="3948" width="8.85546875" style="1" customWidth="1"/>
    <col min="3949" max="3949" width="9.42578125" style="1" customWidth="1"/>
    <col min="3950" max="3950" width="8.85546875" style="1" customWidth="1"/>
    <col min="3951" max="3951" width="12" style="1" customWidth="1"/>
    <col min="3952" max="3952" width="11.140625" style="1" customWidth="1"/>
    <col min="3953" max="3953" width="28.7109375" style="1" customWidth="1"/>
    <col min="3954" max="3954" width="5.85546875" style="1" customWidth="1"/>
    <col min="3955" max="4104" width="9.140625" style="1"/>
    <col min="4105" max="4105" width="3.42578125" style="1" customWidth="1"/>
    <col min="4106" max="4106" width="27.85546875" style="1" customWidth="1"/>
    <col min="4107" max="4107" width="11.85546875" style="1" customWidth="1"/>
    <col min="4108" max="4108" width="15.140625" style="1" customWidth="1"/>
    <col min="4109" max="4109" width="10.28515625" style="1" customWidth="1"/>
    <col min="4110" max="4111" width="9.7109375" style="1" customWidth="1"/>
    <col min="4112" max="4112" width="10.42578125" style="1" customWidth="1"/>
    <col min="4113" max="4113" width="10.42578125" style="1" bestFit="1" customWidth="1"/>
    <col min="4114" max="4114" width="16.28515625" style="1" customWidth="1"/>
    <col min="4115" max="4115" width="15.140625" style="1" customWidth="1"/>
    <col min="4116" max="4116" width="13.5703125" style="1" customWidth="1"/>
    <col min="4117" max="4117" width="10.5703125" style="1" customWidth="1"/>
    <col min="4118" max="4118" width="10.85546875" style="1" customWidth="1"/>
    <col min="4119" max="4119" width="18" style="1" customWidth="1"/>
    <col min="4120" max="4120" width="20.85546875" style="1" customWidth="1"/>
    <col min="4121" max="4121" width="13.5703125" style="1" customWidth="1"/>
    <col min="4122" max="4122" width="14.140625" style="1" customWidth="1"/>
    <col min="4123" max="4125" width="8.85546875" style="1" customWidth="1"/>
    <col min="4126" max="4126" width="9.28515625" style="1" customWidth="1"/>
    <col min="4127" max="4127" width="14" style="1" customWidth="1"/>
    <col min="4128" max="4129" width="8.85546875" style="1" customWidth="1"/>
    <col min="4130" max="4130" width="10.140625" style="1" customWidth="1"/>
    <col min="4131" max="4132" width="9.5703125" style="1" customWidth="1"/>
    <col min="4133" max="4133" width="9.85546875" style="1" customWidth="1"/>
    <col min="4134" max="4135" width="10.140625" style="1" customWidth="1"/>
    <col min="4136" max="4138" width="9.28515625" style="1" customWidth="1"/>
    <col min="4139" max="4139" width="9.85546875" style="1" customWidth="1"/>
    <col min="4140" max="4141" width="8.5703125" style="1" customWidth="1"/>
    <col min="4142" max="4144" width="8.85546875" style="1" customWidth="1"/>
    <col min="4145" max="4145" width="9.28515625" style="1" customWidth="1"/>
    <col min="4146" max="4147" width="8.85546875" style="1" customWidth="1"/>
    <col min="4148" max="4148" width="10" style="1" customWidth="1"/>
    <col min="4149" max="4150" width="8.85546875" style="1" customWidth="1"/>
    <col min="4151" max="4151" width="11" style="1" customWidth="1"/>
    <col min="4152" max="4153" width="9.5703125" style="1" customWidth="1"/>
    <col min="4154" max="4156" width="8.85546875" style="1" customWidth="1"/>
    <col min="4157" max="4157" width="10.42578125" style="1" customWidth="1"/>
    <col min="4158" max="4159" width="8.85546875" style="1" customWidth="1"/>
    <col min="4160" max="4160" width="9.7109375" style="1" customWidth="1"/>
    <col min="4161" max="4162" width="8.85546875" style="1" customWidth="1"/>
    <col min="4163" max="4163" width="9.28515625" style="1" customWidth="1"/>
    <col min="4164" max="4184" width="8.85546875" style="1" customWidth="1"/>
    <col min="4185" max="4185" width="9.85546875" style="1" customWidth="1"/>
    <col min="4186" max="4186" width="8.85546875" style="1" customWidth="1"/>
    <col min="4187" max="4187" width="10" style="1" customWidth="1"/>
    <col min="4188" max="4204" width="8.85546875" style="1" customWidth="1"/>
    <col min="4205" max="4205" width="9.42578125" style="1" customWidth="1"/>
    <col min="4206" max="4206" width="8.85546875" style="1" customWidth="1"/>
    <col min="4207" max="4207" width="12" style="1" customWidth="1"/>
    <col min="4208" max="4208" width="11.140625" style="1" customWidth="1"/>
    <col min="4209" max="4209" width="28.7109375" style="1" customWidth="1"/>
    <col min="4210" max="4210" width="5.85546875" style="1" customWidth="1"/>
    <col min="4211" max="4360" width="9.140625" style="1"/>
    <col min="4361" max="4361" width="3.42578125" style="1" customWidth="1"/>
    <col min="4362" max="4362" width="27.85546875" style="1" customWidth="1"/>
    <col min="4363" max="4363" width="11.85546875" style="1" customWidth="1"/>
    <col min="4364" max="4364" width="15.140625" style="1" customWidth="1"/>
    <col min="4365" max="4365" width="10.28515625" style="1" customWidth="1"/>
    <col min="4366" max="4367" width="9.7109375" style="1" customWidth="1"/>
    <col min="4368" max="4368" width="10.42578125" style="1" customWidth="1"/>
    <col min="4369" max="4369" width="10.42578125" style="1" bestFit="1" customWidth="1"/>
    <col min="4370" max="4370" width="16.28515625" style="1" customWidth="1"/>
    <col min="4371" max="4371" width="15.140625" style="1" customWidth="1"/>
    <col min="4372" max="4372" width="13.5703125" style="1" customWidth="1"/>
    <col min="4373" max="4373" width="10.5703125" style="1" customWidth="1"/>
    <col min="4374" max="4374" width="10.85546875" style="1" customWidth="1"/>
    <col min="4375" max="4375" width="18" style="1" customWidth="1"/>
    <col min="4376" max="4376" width="20.85546875" style="1" customWidth="1"/>
    <col min="4377" max="4377" width="13.5703125" style="1" customWidth="1"/>
    <col min="4378" max="4378" width="14.140625" style="1" customWidth="1"/>
    <col min="4379" max="4381" width="8.85546875" style="1" customWidth="1"/>
    <col min="4382" max="4382" width="9.28515625" style="1" customWidth="1"/>
    <col min="4383" max="4383" width="14" style="1" customWidth="1"/>
    <col min="4384" max="4385" width="8.85546875" style="1" customWidth="1"/>
    <col min="4386" max="4386" width="10.140625" style="1" customWidth="1"/>
    <col min="4387" max="4388" width="9.5703125" style="1" customWidth="1"/>
    <col min="4389" max="4389" width="9.85546875" style="1" customWidth="1"/>
    <col min="4390" max="4391" width="10.140625" style="1" customWidth="1"/>
    <col min="4392" max="4394" width="9.28515625" style="1" customWidth="1"/>
    <col min="4395" max="4395" width="9.85546875" style="1" customWidth="1"/>
    <col min="4396" max="4397" width="8.5703125" style="1" customWidth="1"/>
    <col min="4398" max="4400" width="8.85546875" style="1" customWidth="1"/>
    <col min="4401" max="4401" width="9.28515625" style="1" customWidth="1"/>
    <col min="4402" max="4403" width="8.85546875" style="1" customWidth="1"/>
    <col min="4404" max="4404" width="10" style="1" customWidth="1"/>
    <col min="4405" max="4406" width="8.85546875" style="1" customWidth="1"/>
    <col min="4407" max="4407" width="11" style="1" customWidth="1"/>
    <col min="4408" max="4409" width="9.5703125" style="1" customWidth="1"/>
    <col min="4410" max="4412" width="8.85546875" style="1" customWidth="1"/>
    <col min="4413" max="4413" width="10.42578125" style="1" customWidth="1"/>
    <col min="4414" max="4415" width="8.85546875" style="1" customWidth="1"/>
    <col min="4416" max="4416" width="9.7109375" style="1" customWidth="1"/>
    <col min="4417" max="4418" width="8.85546875" style="1" customWidth="1"/>
    <col min="4419" max="4419" width="9.28515625" style="1" customWidth="1"/>
    <col min="4420" max="4440" width="8.85546875" style="1" customWidth="1"/>
    <col min="4441" max="4441" width="9.85546875" style="1" customWidth="1"/>
    <col min="4442" max="4442" width="8.85546875" style="1" customWidth="1"/>
    <col min="4443" max="4443" width="10" style="1" customWidth="1"/>
    <col min="4444" max="4460" width="8.85546875" style="1" customWidth="1"/>
    <col min="4461" max="4461" width="9.42578125" style="1" customWidth="1"/>
    <col min="4462" max="4462" width="8.85546875" style="1" customWidth="1"/>
    <col min="4463" max="4463" width="12" style="1" customWidth="1"/>
    <col min="4464" max="4464" width="11.140625" style="1" customWidth="1"/>
    <col min="4465" max="4465" width="28.7109375" style="1" customWidth="1"/>
    <col min="4466" max="4466" width="5.85546875" style="1" customWidth="1"/>
    <col min="4467" max="4616" width="9.140625" style="1"/>
    <col min="4617" max="4617" width="3.42578125" style="1" customWidth="1"/>
    <col min="4618" max="4618" width="27.85546875" style="1" customWidth="1"/>
    <col min="4619" max="4619" width="11.85546875" style="1" customWidth="1"/>
    <col min="4620" max="4620" width="15.140625" style="1" customWidth="1"/>
    <col min="4621" max="4621" width="10.28515625" style="1" customWidth="1"/>
    <col min="4622" max="4623" width="9.7109375" style="1" customWidth="1"/>
    <col min="4624" max="4624" width="10.42578125" style="1" customWidth="1"/>
    <col min="4625" max="4625" width="10.42578125" style="1" bestFit="1" customWidth="1"/>
    <col min="4626" max="4626" width="16.28515625" style="1" customWidth="1"/>
    <col min="4627" max="4627" width="15.140625" style="1" customWidth="1"/>
    <col min="4628" max="4628" width="13.5703125" style="1" customWidth="1"/>
    <col min="4629" max="4629" width="10.5703125" style="1" customWidth="1"/>
    <col min="4630" max="4630" width="10.85546875" style="1" customWidth="1"/>
    <col min="4631" max="4631" width="18" style="1" customWidth="1"/>
    <col min="4632" max="4632" width="20.85546875" style="1" customWidth="1"/>
    <col min="4633" max="4633" width="13.5703125" style="1" customWidth="1"/>
    <col min="4634" max="4634" width="14.140625" style="1" customWidth="1"/>
    <col min="4635" max="4637" width="8.85546875" style="1" customWidth="1"/>
    <col min="4638" max="4638" width="9.28515625" style="1" customWidth="1"/>
    <col min="4639" max="4639" width="14" style="1" customWidth="1"/>
    <col min="4640" max="4641" width="8.85546875" style="1" customWidth="1"/>
    <col min="4642" max="4642" width="10.140625" style="1" customWidth="1"/>
    <col min="4643" max="4644" width="9.5703125" style="1" customWidth="1"/>
    <col min="4645" max="4645" width="9.85546875" style="1" customWidth="1"/>
    <col min="4646" max="4647" width="10.140625" style="1" customWidth="1"/>
    <col min="4648" max="4650" width="9.28515625" style="1" customWidth="1"/>
    <col min="4651" max="4651" width="9.85546875" style="1" customWidth="1"/>
    <col min="4652" max="4653" width="8.5703125" style="1" customWidth="1"/>
    <col min="4654" max="4656" width="8.85546875" style="1" customWidth="1"/>
    <col min="4657" max="4657" width="9.28515625" style="1" customWidth="1"/>
    <col min="4658" max="4659" width="8.85546875" style="1" customWidth="1"/>
    <col min="4660" max="4660" width="10" style="1" customWidth="1"/>
    <col min="4661" max="4662" width="8.85546875" style="1" customWidth="1"/>
    <col min="4663" max="4663" width="11" style="1" customWidth="1"/>
    <col min="4664" max="4665" width="9.5703125" style="1" customWidth="1"/>
    <col min="4666" max="4668" width="8.85546875" style="1" customWidth="1"/>
    <col min="4669" max="4669" width="10.42578125" style="1" customWidth="1"/>
    <col min="4670" max="4671" width="8.85546875" style="1" customWidth="1"/>
    <col min="4672" max="4672" width="9.7109375" style="1" customWidth="1"/>
    <col min="4673" max="4674" width="8.85546875" style="1" customWidth="1"/>
    <col min="4675" max="4675" width="9.28515625" style="1" customWidth="1"/>
    <col min="4676" max="4696" width="8.85546875" style="1" customWidth="1"/>
    <col min="4697" max="4697" width="9.85546875" style="1" customWidth="1"/>
    <col min="4698" max="4698" width="8.85546875" style="1" customWidth="1"/>
    <col min="4699" max="4699" width="10" style="1" customWidth="1"/>
    <col min="4700" max="4716" width="8.85546875" style="1" customWidth="1"/>
    <col min="4717" max="4717" width="9.42578125" style="1" customWidth="1"/>
    <col min="4718" max="4718" width="8.85546875" style="1" customWidth="1"/>
    <col min="4719" max="4719" width="12" style="1" customWidth="1"/>
    <col min="4720" max="4720" width="11.140625" style="1" customWidth="1"/>
    <col min="4721" max="4721" width="28.7109375" style="1" customWidth="1"/>
    <col min="4722" max="4722" width="5.85546875" style="1" customWidth="1"/>
    <col min="4723" max="4872" width="9.140625" style="1"/>
    <col min="4873" max="4873" width="3.42578125" style="1" customWidth="1"/>
    <col min="4874" max="4874" width="27.85546875" style="1" customWidth="1"/>
    <col min="4875" max="4875" width="11.85546875" style="1" customWidth="1"/>
    <col min="4876" max="4876" width="15.140625" style="1" customWidth="1"/>
    <col min="4877" max="4877" width="10.28515625" style="1" customWidth="1"/>
    <col min="4878" max="4879" width="9.7109375" style="1" customWidth="1"/>
    <col min="4880" max="4880" width="10.42578125" style="1" customWidth="1"/>
    <col min="4881" max="4881" width="10.42578125" style="1" bestFit="1" customWidth="1"/>
    <col min="4882" max="4882" width="16.28515625" style="1" customWidth="1"/>
    <col min="4883" max="4883" width="15.140625" style="1" customWidth="1"/>
    <col min="4884" max="4884" width="13.5703125" style="1" customWidth="1"/>
    <col min="4885" max="4885" width="10.5703125" style="1" customWidth="1"/>
    <col min="4886" max="4886" width="10.85546875" style="1" customWidth="1"/>
    <col min="4887" max="4887" width="18" style="1" customWidth="1"/>
    <col min="4888" max="4888" width="20.85546875" style="1" customWidth="1"/>
    <col min="4889" max="4889" width="13.5703125" style="1" customWidth="1"/>
    <col min="4890" max="4890" width="14.140625" style="1" customWidth="1"/>
    <col min="4891" max="4893" width="8.85546875" style="1" customWidth="1"/>
    <col min="4894" max="4894" width="9.28515625" style="1" customWidth="1"/>
    <col min="4895" max="4895" width="14" style="1" customWidth="1"/>
    <col min="4896" max="4897" width="8.85546875" style="1" customWidth="1"/>
    <col min="4898" max="4898" width="10.140625" style="1" customWidth="1"/>
    <col min="4899" max="4900" width="9.5703125" style="1" customWidth="1"/>
    <col min="4901" max="4901" width="9.85546875" style="1" customWidth="1"/>
    <col min="4902" max="4903" width="10.140625" style="1" customWidth="1"/>
    <col min="4904" max="4906" width="9.28515625" style="1" customWidth="1"/>
    <col min="4907" max="4907" width="9.85546875" style="1" customWidth="1"/>
    <col min="4908" max="4909" width="8.5703125" style="1" customWidth="1"/>
    <col min="4910" max="4912" width="8.85546875" style="1" customWidth="1"/>
    <col min="4913" max="4913" width="9.28515625" style="1" customWidth="1"/>
    <col min="4914" max="4915" width="8.85546875" style="1" customWidth="1"/>
    <col min="4916" max="4916" width="10" style="1" customWidth="1"/>
    <col min="4917" max="4918" width="8.85546875" style="1" customWidth="1"/>
    <col min="4919" max="4919" width="11" style="1" customWidth="1"/>
    <col min="4920" max="4921" width="9.5703125" style="1" customWidth="1"/>
    <col min="4922" max="4924" width="8.85546875" style="1" customWidth="1"/>
    <col min="4925" max="4925" width="10.42578125" style="1" customWidth="1"/>
    <col min="4926" max="4927" width="8.85546875" style="1" customWidth="1"/>
    <col min="4928" max="4928" width="9.7109375" style="1" customWidth="1"/>
    <col min="4929" max="4930" width="8.85546875" style="1" customWidth="1"/>
    <col min="4931" max="4931" width="9.28515625" style="1" customWidth="1"/>
    <col min="4932" max="4952" width="8.85546875" style="1" customWidth="1"/>
    <col min="4953" max="4953" width="9.85546875" style="1" customWidth="1"/>
    <col min="4954" max="4954" width="8.85546875" style="1" customWidth="1"/>
    <col min="4955" max="4955" width="10" style="1" customWidth="1"/>
    <col min="4956" max="4972" width="8.85546875" style="1" customWidth="1"/>
    <col min="4973" max="4973" width="9.42578125" style="1" customWidth="1"/>
    <col min="4974" max="4974" width="8.85546875" style="1" customWidth="1"/>
    <col min="4975" max="4975" width="12" style="1" customWidth="1"/>
    <col min="4976" max="4976" width="11.140625" style="1" customWidth="1"/>
    <col min="4977" max="4977" width="28.7109375" style="1" customWidth="1"/>
    <col min="4978" max="4978" width="5.85546875" style="1" customWidth="1"/>
    <col min="4979" max="5128" width="9.140625" style="1"/>
    <col min="5129" max="5129" width="3.42578125" style="1" customWidth="1"/>
    <col min="5130" max="5130" width="27.85546875" style="1" customWidth="1"/>
    <col min="5131" max="5131" width="11.85546875" style="1" customWidth="1"/>
    <col min="5132" max="5132" width="15.140625" style="1" customWidth="1"/>
    <col min="5133" max="5133" width="10.28515625" style="1" customWidth="1"/>
    <col min="5134" max="5135" width="9.7109375" style="1" customWidth="1"/>
    <col min="5136" max="5136" width="10.42578125" style="1" customWidth="1"/>
    <col min="5137" max="5137" width="10.42578125" style="1" bestFit="1" customWidth="1"/>
    <col min="5138" max="5138" width="16.28515625" style="1" customWidth="1"/>
    <col min="5139" max="5139" width="15.140625" style="1" customWidth="1"/>
    <col min="5140" max="5140" width="13.5703125" style="1" customWidth="1"/>
    <col min="5141" max="5141" width="10.5703125" style="1" customWidth="1"/>
    <col min="5142" max="5142" width="10.85546875" style="1" customWidth="1"/>
    <col min="5143" max="5143" width="18" style="1" customWidth="1"/>
    <col min="5144" max="5144" width="20.85546875" style="1" customWidth="1"/>
    <col min="5145" max="5145" width="13.5703125" style="1" customWidth="1"/>
    <col min="5146" max="5146" width="14.140625" style="1" customWidth="1"/>
    <col min="5147" max="5149" width="8.85546875" style="1" customWidth="1"/>
    <col min="5150" max="5150" width="9.28515625" style="1" customWidth="1"/>
    <col min="5151" max="5151" width="14" style="1" customWidth="1"/>
    <col min="5152" max="5153" width="8.85546875" style="1" customWidth="1"/>
    <col min="5154" max="5154" width="10.140625" style="1" customWidth="1"/>
    <col min="5155" max="5156" width="9.5703125" style="1" customWidth="1"/>
    <col min="5157" max="5157" width="9.85546875" style="1" customWidth="1"/>
    <col min="5158" max="5159" width="10.140625" style="1" customWidth="1"/>
    <col min="5160" max="5162" width="9.28515625" style="1" customWidth="1"/>
    <col min="5163" max="5163" width="9.85546875" style="1" customWidth="1"/>
    <col min="5164" max="5165" width="8.5703125" style="1" customWidth="1"/>
    <col min="5166" max="5168" width="8.85546875" style="1" customWidth="1"/>
    <col min="5169" max="5169" width="9.28515625" style="1" customWidth="1"/>
    <col min="5170" max="5171" width="8.85546875" style="1" customWidth="1"/>
    <col min="5172" max="5172" width="10" style="1" customWidth="1"/>
    <col min="5173" max="5174" width="8.85546875" style="1" customWidth="1"/>
    <col min="5175" max="5175" width="11" style="1" customWidth="1"/>
    <col min="5176" max="5177" width="9.5703125" style="1" customWidth="1"/>
    <col min="5178" max="5180" width="8.85546875" style="1" customWidth="1"/>
    <col min="5181" max="5181" width="10.42578125" style="1" customWidth="1"/>
    <col min="5182" max="5183" width="8.85546875" style="1" customWidth="1"/>
    <col min="5184" max="5184" width="9.7109375" style="1" customWidth="1"/>
    <col min="5185" max="5186" width="8.85546875" style="1" customWidth="1"/>
    <col min="5187" max="5187" width="9.28515625" style="1" customWidth="1"/>
    <col min="5188" max="5208" width="8.85546875" style="1" customWidth="1"/>
    <col min="5209" max="5209" width="9.85546875" style="1" customWidth="1"/>
    <col min="5210" max="5210" width="8.85546875" style="1" customWidth="1"/>
    <col min="5211" max="5211" width="10" style="1" customWidth="1"/>
    <col min="5212" max="5228" width="8.85546875" style="1" customWidth="1"/>
    <col min="5229" max="5229" width="9.42578125" style="1" customWidth="1"/>
    <col min="5230" max="5230" width="8.85546875" style="1" customWidth="1"/>
    <col min="5231" max="5231" width="12" style="1" customWidth="1"/>
    <col min="5232" max="5232" width="11.140625" style="1" customWidth="1"/>
    <col min="5233" max="5233" width="28.7109375" style="1" customWidth="1"/>
    <col min="5234" max="5234" width="5.85546875" style="1" customWidth="1"/>
    <col min="5235" max="5384" width="9.140625" style="1"/>
    <col min="5385" max="5385" width="3.42578125" style="1" customWidth="1"/>
    <col min="5386" max="5386" width="27.85546875" style="1" customWidth="1"/>
    <col min="5387" max="5387" width="11.85546875" style="1" customWidth="1"/>
    <col min="5388" max="5388" width="15.140625" style="1" customWidth="1"/>
    <col min="5389" max="5389" width="10.28515625" style="1" customWidth="1"/>
    <col min="5390" max="5391" width="9.7109375" style="1" customWidth="1"/>
    <col min="5392" max="5392" width="10.42578125" style="1" customWidth="1"/>
    <col min="5393" max="5393" width="10.42578125" style="1" bestFit="1" customWidth="1"/>
    <col min="5394" max="5394" width="16.28515625" style="1" customWidth="1"/>
    <col min="5395" max="5395" width="15.140625" style="1" customWidth="1"/>
    <col min="5396" max="5396" width="13.5703125" style="1" customWidth="1"/>
    <col min="5397" max="5397" width="10.5703125" style="1" customWidth="1"/>
    <col min="5398" max="5398" width="10.85546875" style="1" customWidth="1"/>
    <col min="5399" max="5399" width="18" style="1" customWidth="1"/>
    <col min="5400" max="5400" width="20.85546875" style="1" customWidth="1"/>
    <col min="5401" max="5401" width="13.5703125" style="1" customWidth="1"/>
    <col min="5402" max="5402" width="14.140625" style="1" customWidth="1"/>
    <col min="5403" max="5405" width="8.85546875" style="1" customWidth="1"/>
    <col min="5406" max="5406" width="9.28515625" style="1" customWidth="1"/>
    <col min="5407" max="5407" width="14" style="1" customWidth="1"/>
    <col min="5408" max="5409" width="8.85546875" style="1" customWidth="1"/>
    <col min="5410" max="5410" width="10.140625" style="1" customWidth="1"/>
    <col min="5411" max="5412" width="9.5703125" style="1" customWidth="1"/>
    <col min="5413" max="5413" width="9.85546875" style="1" customWidth="1"/>
    <col min="5414" max="5415" width="10.140625" style="1" customWidth="1"/>
    <col min="5416" max="5418" width="9.28515625" style="1" customWidth="1"/>
    <col min="5419" max="5419" width="9.85546875" style="1" customWidth="1"/>
    <col min="5420" max="5421" width="8.5703125" style="1" customWidth="1"/>
    <col min="5422" max="5424" width="8.85546875" style="1" customWidth="1"/>
    <col min="5425" max="5425" width="9.28515625" style="1" customWidth="1"/>
    <col min="5426" max="5427" width="8.85546875" style="1" customWidth="1"/>
    <col min="5428" max="5428" width="10" style="1" customWidth="1"/>
    <col min="5429" max="5430" width="8.85546875" style="1" customWidth="1"/>
    <col min="5431" max="5431" width="11" style="1" customWidth="1"/>
    <col min="5432" max="5433" width="9.5703125" style="1" customWidth="1"/>
    <col min="5434" max="5436" width="8.85546875" style="1" customWidth="1"/>
    <col min="5437" max="5437" width="10.42578125" style="1" customWidth="1"/>
    <col min="5438" max="5439" width="8.85546875" style="1" customWidth="1"/>
    <col min="5440" max="5440" width="9.7109375" style="1" customWidth="1"/>
    <col min="5441" max="5442" width="8.85546875" style="1" customWidth="1"/>
    <col min="5443" max="5443" width="9.28515625" style="1" customWidth="1"/>
    <col min="5444" max="5464" width="8.85546875" style="1" customWidth="1"/>
    <col min="5465" max="5465" width="9.85546875" style="1" customWidth="1"/>
    <col min="5466" max="5466" width="8.85546875" style="1" customWidth="1"/>
    <col min="5467" max="5467" width="10" style="1" customWidth="1"/>
    <col min="5468" max="5484" width="8.85546875" style="1" customWidth="1"/>
    <col min="5485" max="5485" width="9.42578125" style="1" customWidth="1"/>
    <col min="5486" max="5486" width="8.85546875" style="1" customWidth="1"/>
    <col min="5487" max="5487" width="12" style="1" customWidth="1"/>
    <col min="5488" max="5488" width="11.140625" style="1" customWidth="1"/>
    <col min="5489" max="5489" width="28.7109375" style="1" customWidth="1"/>
    <col min="5490" max="5490" width="5.85546875" style="1" customWidth="1"/>
    <col min="5491" max="5640" width="9.140625" style="1"/>
    <col min="5641" max="5641" width="3.42578125" style="1" customWidth="1"/>
    <col min="5642" max="5642" width="27.85546875" style="1" customWidth="1"/>
    <col min="5643" max="5643" width="11.85546875" style="1" customWidth="1"/>
    <col min="5644" max="5644" width="15.140625" style="1" customWidth="1"/>
    <col min="5645" max="5645" width="10.28515625" style="1" customWidth="1"/>
    <col min="5646" max="5647" width="9.7109375" style="1" customWidth="1"/>
    <col min="5648" max="5648" width="10.42578125" style="1" customWidth="1"/>
    <col min="5649" max="5649" width="10.42578125" style="1" bestFit="1" customWidth="1"/>
    <col min="5650" max="5650" width="16.28515625" style="1" customWidth="1"/>
    <col min="5651" max="5651" width="15.140625" style="1" customWidth="1"/>
    <col min="5652" max="5652" width="13.5703125" style="1" customWidth="1"/>
    <col min="5653" max="5653" width="10.5703125" style="1" customWidth="1"/>
    <col min="5654" max="5654" width="10.85546875" style="1" customWidth="1"/>
    <col min="5655" max="5655" width="18" style="1" customWidth="1"/>
    <col min="5656" max="5656" width="20.85546875" style="1" customWidth="1"/>
    <col min="5657" max="5657" width="13.5703125" style="1" customWidth="1"/>
    <col min="5658" max="5658" width="14.140625" style="1" customWidth="1"/>
    <col min="5659" max="5661" width="8.85546875" style="1" customWidth="1"/>
    <col min="5662" max="5662" width="9.28515625" style="1" customWidth="1"/>
    <col min="5663" max="5663" width="14" style="1" customWidth="1"/>
    <col min="5664" max="5665" width="8.85546875" style="1" customWidth="1"/>
    <col min="5666" max="5666" width="10.140625" style="1" customWidth="1"/>
    <col min="5667" max="5668" width="9.5703125" style="1" customWidth="1"/>
    <col min="5669" max="5669" width="9.85546875" style="1" customWidth="1"/>
    <col min="5670" max="5671" width="10.140625" style="1" customWidth="1"/>
    <col min="5672" max="5674" width="9.28515625" style="1" customWidth="1"/>
    <col min="5675" max="5675" width="9.85546875" style="1" customWidth="1"/>
    <col min="5676" max="5677" width="8.5703125" style="1" customWidth="1"/>
    <col min="5678" max="5680" width="8.85546875" style="1" customWidth="1"/>
    <col min="5681" max="5681" width="9.28515625" style="1" customWidth="1"/>
    <col min="5682" max="5683" width="8.85546875" style="1" customWidth="1"/>
    <col min="5684" max="5684" width="10" style="1" customWidth="1"/>
    <col min="5685" max="5686" width="8.85546875" style="1" customWidth="1"/>
    <col min="5687" max="5687" width="11" style="1" customWidth="1"/>
    <col min="5688" max="5689" width="9.5703125" style="1" customWidth="1"/>
    <col min="5690" max="5692" width="8.85546875" style="1" customWidth="1"/>
    <col min="5693" max="5693" width="10.42578125" style="1" customWidth="1"/>
    <col min="5694" max="5695" width="8.85546875" style="1" customWidth="1"/>
    <col min="5696" max="5696" width="9.7109375" style="1" customWidth="1"/>
    <col min="5697" max="5698" width="8.85546875" style="1" customWidth="1"/>
    <col min="5699" max="5699" width="9.28515625" style="1" customWidth="1"/>
    <col min="5700" max="5720" width="8.85546875" style="1" customWidth="1"/>
    <col min="5721" max="5721" width="9.85546875" style="1" customWidth="1"/>
    <col min="5722" max="5722" width="8.85546875" style="1" customWidth="1"/>
    <col min="5723" max="5723" width="10" style="1" customWidth="1"/>
    <col min="5724" max="5740" width="8.85546875" style="1" customWidth="1"/>
    <col min="5741" max="5741" width="9.42578125" style="1" customWidth="1"/>
    <col min="5742" max="5742" width="8.85546875" style="1" customWidth="1"/>
    <col min="5743" max="5743" width="12" style="1" customWidth="1"/>
    <col min="5744" max="5744" width="11.140625" style="1" customWidth="1"/>
    <col min="5745" max="5745" width="28.7109375" style="1" customWidth="1"/>
    <col min="5746" max="5746" width="5.85546875" style="1" customWidth="1"/>
    <col min="5747" max="5896" width="9.140625" style="1"/>
    <col min="5897" max="5897" width="3.42578125" style="1" customWidth="1"/>
    <col min="5898" max="5898" width="27.85546875" style="1" customWidth="1"/>
    <col min="5899" max="5899" width="11.85546875" style="1" customWidth="1"/>
    <col min="5900" max="5900" width="15.140625" style="1" customWidth="1"/>
    <col min="5901" max="5901" width="10.28515625" style="1" customWidth="1"/>
    <col min="5902" max="5903" width="9.7109375" style="1" customWidth="1"/>
    <col min="5904" max="5904" width="10.42578125" style="1" customWidth="1"/>
    <col min="5905" max="5905" width="10.42578125" style="1" bestFit="1" customWidth="1"/>
    <col min="5906" max="5906" width="16.28515625" style="1" customWidth="1"/>
    <col min="5907" max="5907" width="15.140625" style="1" customWidth="1"/>
    <col min="5908" max="5908" width="13.5703125" style="1" customWidth="1"/>
    <col min="5909" max="5909" width="10.5703125" style="1" customWidth="1"/>
    <col min="5910" max="5910" width="10.85546875" style="1" customWidth="1"/>
    <col min="5911" max="5911" width="18" style="1" customWidth="1"/>
    <col min="5912" max="5912" width="20.85546875" style="1" customWidth="1"/>
    <col min="5913" max="5913" width="13.5703125" style="1" customWidth="1"/>
    <col min="5914" max="5914" width="14.140625" style="1" customWidth="1"/>
    <col min="5915" max="5917" width="8.85546875" style="1" customWidth="1"/>
    <col min="5918" max="5918" width="9.28515625" style="1" customWidth="1"/>
    <col min="5919" max="5919" width="14" style="1" customWidth="1"/>
    <col min="5920" max="5921" width="8.85546875" style="1" customWidth="1"/>
    <col min="5922" max="5922" width="10.140625" style="1" customWidth="1"/>
    <col min="5923" max="5924" width="9.5703125" style="1" customWidth="1"/>
    <col min="5925" max="5925" width="9.85546875" style="1" customWidth="1"/>
    <col min="5926" max="5927" width="10.140625" style="1" customWidth="1"/>
    <col min="5928" max="5930" width="9.28515625" style="1" customWidth="1"/>
    <col min="5931" max="5931" width="9.85546875" style="1" customWidth="1"/>
    <col min="5932" max="5933" width="8.5703125" style="1" customWidth="1"/>
    <col min="5934" max="5936" width="8.85546875" style="1" customWidth="1"/>
    <col min="5937" max="5937" width="9.28515625" style="1" customWidth="1"/>
    <col min="5938" max="5939" width="8.85546875" style="1" customWidth="1"/>
    <col min="5940" max="5940" width="10" style="1" customWidth="1"/>
    <col min="5941" max="5942" width="8.85546875" style="1" customWidth="1"/>
    <col min="5943" max="5943" width="11" style="1" customWidth="1"/>
    <col min="5944" max="5945" width="9.5703125" style="1" customWidth="1"/>
    <col min="5946" max="5948" width="8.85546875" style="1" customWidth="1"/>
    <col min="5949" max="5949" width="10.42578125" style="1" customWidth="1"/>
    <col min="5950" max="5951" width="8.85546875" style="1" customWidth="1"/>
    <col min="5952" max="5952" width="9.7109375" style="1" customWidth="1"/>
    <col min="5953" max="5954" width="8.85546875" style="1" customWidth="1"/>
    <col min="5955" max="5955" width="9.28515625" style="1" customWidth="1"/>
    <col min="5956" max="5976" width="8.85546875" style="1" customWidth="1"/>
    <col min="5977" max="5977" width="9.85546875" style="1" customWidth="1"/>
    <col min="5978" max="5978" width="8.85546875" style="1" customWidth="1"/>
    <col min="5979" max="5979" width="10" style="1" customWidth="1"/>
    <col min="5980" max="5996" width="8.85546875" style="1" customWidth="1"/>
    <col min="5997" max="5997" width="9.42578125" style="1" customWidth="1"/>
    <col min="5998" max="5998" width="8.85546875" style="1" customWidth="1"/>
    <col min="5999" max="5999" width="12" style="1" customWidth="1"/>
    <col min="6000" max="6000" width="11.140625" style="1" customWidth="1"/>
    <col min="6001" max="6001" width="28.7109375" style="1" customWidth="1"/>
    <col min="6002" max="6002" width="5.85546875" style="1" customWidth="1"/>
    <col min="6003" max="6152" width="9.140625" style="1"/>
    <col min="6153" max="6153" width="3.42578125" style="1" customWidth="1"/>
    <col min="6154" max="6154" width="27.85546875" style="1" customWidth="1"/>
    <col min="6155" max="6155" width="11.85546875" style="1" customWidth="1"/>
    <col min="6156" max="6156" width="15.140625" style="1" customWidth="1"/>
    <col min="6157" max="6157" width="10.28515625" style="1" customWidth="1"/>
    <col min="6158" max="6159" width="9.7109375" style="1" customWidth="1"/>
    <col min="6160" max="6160" width="10.42578125" style="1" customWidth="1"/>
    <col min="6161" max="6161" width="10.42578125" style="1" bestFit="1" customWidth="1"/>
    <col min="6162" max="6162" width="16.28515625" style="1" customWidth="1"/>
    <col min="6163" max="6163" width="15.140625" style="1" customWidth="1"/>
    <col min="6164" max="6164" width="13.5703125" style="1" customWidth="1"/>
    <col min="6165" max="6165" width="10.5703125" style="1" customWidth="1"/>
    <col min="6166" max="6166" width="10.85546875" style="1" customWidth="1"/>
    <col min="6167" max="6167" width="18" style="1" customWidth="1"/>
    <col min="6168" max="6168" width="20.85546875" style="1" customWidth="1"/>
    <col min="6169" max="6169" width="13.5703125" style="1" customWidth="1"/>
    <col min="6170" max="6170" width="14.140625" style="1" customWidth="1"/>
    <col min="6171" max="6173" width="8.85546875" style="1" customWidth="1"/>
    <col min="6174" max="6174" width="9.28515625" style="1" customWidth="1"/>
    <col min="6175" max="6175" width="14" style="1" customWidth="1"/>
    <col min="6176" max="6177" width="8.85546875" style="1" customWidth="1"/>
    <col min="6178" max="6178" width="10.140625" style="1" customWidth="1"/>
    <col min="6179" max="6180" width="9.5703125" style="1" customWidth="1"/>
    <col min="6181" max="6181" width="9.85546875" style="1" customWidth="1"/>
    <col min="6182" max="6183" width="10.140625" style="1" customWidth="1"/>
    <col min="6184" max="6186" width="9.28515625" style="1" customWidth="1"/>
    <col min="6187" max="6187" width="9.85546875" style="1" customWidth="1"/>
    <col min="6188" max="6189" width="8.5703125" style="1" customWidth="1"/>
    <col min="6190" max="6192" width="8.85546875" style="1" customWidth="1"/>
    <col min="6193" max="6193" width="9.28515625" style="1" customWidth="1"/>
    <col min="6194" max="6195" width="8.85546875" style="1" customWidth="1"/>
    <col min="6196" max="6196" width="10" style="1" customWidth="1"/>
    <col min="6197" max="6198" width="8.85546875" style="1" customWidth="1"/>
    <col min="6199" max="6199" width="11" style="1" customWidth="1"/>
    <col min="6200" max="6201" width="9.5703125" style="1" customWidth="1"/>
    <col min="6202" max="6204" width="8.85546875" style="1" customWidth="1"/>
    <col min="6205" max="6205" width="10.42578125" style="1" customWidth="1"/>
    <col min="6206" max="6207" width="8.85546875" style="1" customWidth="1"/>
    <col min="6208" max="6208" width="9.7109375" style="1" customWidth="1"/>
    <col min="6209" max="6210" width="8.85546875" style="1" customWidth="1"/>
    <col min="6211" max="6211" width="9.28515625" style="1" customWidth="1"/>
    <col min="6212" max="6232" width="8.85546875" style="1" customWidth="1"/>
    <col min="6233" max="6233" width="9.85546875" style="1" customWidth="1"/>
    <col min="6234" max="6234" width="8.85546875" style="1" customWidth="1"/>
    <col min="6235" max="6235" width="10" style="1" customWidth="1"/>
    <col min="6236" max="6252" width="8.85546875" style="1" customWidth="1"/>
    <col min="6253" max="6253" width="9.42578125" style="1" customWidth="1"/>
    <col min="6254" max="6254" width="8.85546875" style="1" customWidth="1"/>
    <col min="6255" max="6255" width="12" style="1" customWidth="1"/>
    <col min="6256" max="6256" width="11.140625" style="1" customWidth="1"/>
    <col min="6257" max="6257" width="28.7109375" style="1" customWidth="1"/>
    <col min="6258" max="6258" width="5.85546875" style="1" customWidth="1"/>
    <col min="6259" max="6408" width="9.140625" style="1"/>
    <col min="6409" max="6409" width="3.42578125" style="1" customWidth="1"/>
    <col min="6410" max="6410" width="27.85546875" style="1" customWidth="1"/>
    <col min="6411" max="6411" width="11.85546875" style="1" customWidth="1"/>
    <col min="6412" max="6412" width="15.140625" style="1" customWidth="1"/>
    <col min="6413" max="6413" width="10.28515625" style="1" customWidth="1"/>
    <col min="6414" max="6415" width="9.7109375" style="1" customWidth="1"/>
    <col min="6416" max="6416" width="10.42578125" style="1" customWidth="1"/>
    <col min="6417" max="6417" width="10.42578125" style="1" bestFit="1" customWidth="1"/>
    <col min="6418" max="6418" width="16.28515625" style="1" customWidth="1"/>
    <col min="6419" max="6419" width="15.140625" style="1" customWidth="1"/>
    <col min="6420" max="6420" width="13.5703125" style="1" customWidth="1"/>
    <col min="6421" max="6421" width="10.5703125" style="1" customWidth="1"/>
    <col min="6422" max="6422" width="10.85546875" style="1" customWidth="1"/>
    <col min="6423" max="6423" width="18" style="1" customWidth="1"/>
    <col min="6424" max="6424" width="20.85546875" style="1" customWidth="1"/>
    <col min="6425" max="6425" width="13.5703125" style="1" customWidth="1"/>
    <col min="6426" max="6426" width="14.140625" style="1" customWidth="1"/>
    <col min="6427" max="6429" width="8.85546875" style="1" customWidth="1"/>
    <col min="6430" max="6430" width="9.28515625" style="1" customWidth="1"/>
    <col min="6431" max="6431" width="14" style="1" customWidth="1"/>
    <col min="6432" max="6433" width="8.85546875" style="1" customWidth="1"/>
    <col min="6434" max="6434" width="10.140625" style="1" customWidth="1"/>
    <col min="6435" max="6436" width="9.5703125" style="1" customWidth="1"/>
    <col min="6437" max="6437" width="9.85546875" style="1" customWidth="1"/>
    <col min="6438" max="6439" width="10.140625" style="1" customWidth="1"/>
    <col min="6440" max="6442" width="9.28515625" style="1" customWidth="1"/>
    <col min="6443" max="6443" width="9.85546875" style="1" customWidth="1"/>
    <col min="6444" max="6445" width="8.5703125" style="1" customWidth="1"/>
    <col min="6446" max="6448" width="8.85546875" style="1" customWidth="1"/>
    <col min="6449" max="6449" width="9.28515625" style="1" customWidth="1"/>
    <col min="6450" max="6451" width="8.85546875" style="1" customWidth="1"/>
    <col min="6452" max="6452" width="10" style="1" customWidth="1"/>
    <col min="6453" max="6454" width="8.85546875" style="1" customWidth="1"/>
    <col min="6455" max="6455" width="11" style="1" customWidth="1"/>
    <col min="6456" max="6457" width="9.5703125" style="1" customWidth="1"/>
    <col min="6458" max="6460" width="8.85546875" style="1" customWidth="1"/>
    <col min="6461" max="6461" width="10.42578125" style="1" customWidth="1"/>
    <col min="6462" max="6463" width="8.85546875" style="1" customWidth="1"/>
    <col min="6464" max="6464" width="9.7109375" style="1" customWidth="1"/>
    <col min="6465" max="6466" width="8.85546875" style="1" customWidth="1"/>
    <col min="6467" max="6467" width="9.28515625" style="1" customWidth="1"/>
    <col min="6468" max="6488" width="8.85546875" style="1" customWidth="1"/>
    <col min="6489" max="6489" width="9.85546875" style="1" customWidth="1"/>
    <col min="6490" max="6490" width="8.85546875" style="1" customWidth="1"/>
    <col min="6491" max="6491" width="10" style="1" customWidth="1"/>
    <col min="6492" max="6508" width="8.85546875" style="1" customWidth="1"/>
    <col min="6509" max="6509" width="9.42578125" style="1" customWidth="1"/>
    <col min="6510" max="6510" width="8.85546875" style="1" customWidth="1"/>
    <col min="6511" max="6511" width="12" style="1" customWidth="1"/>
    <col min="6512" max="6512" width="11.140625" style="1" customWidth="1"/>
    <col min="6513" max="6513" width="28.7109375" style="1" customWidth="1"/>
    <col min="6514" max="6514" width="5.85546875" style="1" customWidth="1"/>
    <col min="6515" max="6664" width="9.140625" style="1"/>
    <col min="6665" max="6665" width="3.42578125" style="1" customWidth="1"/>
    <col min="6666" max="6666" width="27.85546875" style="1" customWidth="1"/>
    <col min="6667" max="6667" width="11.85546875" style="1" customWidth="1"/>
    <col min="6668" max="6668" width="15.140625" style="1" customWidth="1"/>
    <col min="6669" max="6669" width="10.28515625" style="1" customWidth="1"/>
    <col min="6670" max="6671" width="9.7109375" style="1" customWidth="1"/>
    <col min="6672" max="6672" width="10.42578125" style="1" customWidth="1"/>
    <col min="6673" max="6673" width="10.42578125" style="1" bestFit="1" customWidth="1"/>
    <col min="6674" max="6674" width="16.28515625" style="1" customWidth="1"/>
    <col min="6675" max="6675" width="15.140625" style="1" customWidth="1"/>
    <col min="6676" max="6676" width="13.5703125" style="1" customWidth="1"/>
    <col min="6677" max="6677" width="10.5703125" style="1" customWidth="1"/>
    <col min="6678" max="6678" width="10.85546875" style="1" customWidth="1"/>
    <col min="6679" max="6679" width="18" style="1" customWidth="1"/>
    <col min="6680" max="6680" width="20.85546875" style="1" customWidth="1"/>
    <col min="6681" max="6681" width="13.5703125" style="1" customWidth="1"/>
    <col min="6682" max="6682" width="14.140625" style="1" customWidth="1"/>
    <col min="6683" max="6685" width="8.85546875" style="1" customWidth="1"/>
    <col min="6686" max="6686" width="9.28515625" style="1" customWidth="1"/>
    <col min="6687" max="6687" width="14" style="1" customWidth="1"/>
    <col min="6688" max="6689" width="8.85546875" style="1" customWidth="1"/>
    <col min="6690" max="6690" width="10.140625" style="1" customWidth="1"/>
    <col min="6691" max="6692" width="9.5703125" style="1" customWidth="1"/>
    <col min="6693" max="6693" width="9.85546875" style="1" customWidth="1"/>
    <col min="6694" max="6695" width="10.140625" style="1" customWidth="1"/>
    <col min="6696" max="6698" width="9.28515625" style="1" customWidth="1"/>
    <col min="6699" max="6699" width="9.85546875" style="1" customWidth="1"/>
    <col min="6700" max="6701" width="8.5703125" style="1" customWidth="1"/>
    <col min="6702" max="6704" width="8.85546875" style="1" customWidth="1"/>
    <col min="6705" max="6705" width="9.28515625" style="1" customWidth="1"/>
    <col min="6706" max="6707" width="8.85546875" style="1" customWidth="1"/>
    <col min="6708" max="6708" width="10" style="1" customWidth="1"/>
    <col min="6709" max="6710" width="8.85546875" style="1" customWidth="1"/>
    <col min="6711" max="6711" width="11" style="1" customWidth="1"/>
    <col min="6712" max="6713" width="9.5703125" style="1" customWidth="1"/>
    <col min="6714" max="6716" width="8.85546875" style="1" customWidth="1"/>
    <col min="6717" max="6717" width="10.42578125" style="1" customWidth="1"/>
    <col min="6718" max="6719" width="8.85546875" style="1" customWidth="1"/>
    <col min="6720" max="6720" width="9.7109375" style="1" customWidth="1"/>
    <col min="6721" max="6722" width="8.85546875" style="1" customWidth="1"/>
    <col min="6723" max="6723" width="9.28515625" style="1" customWidth="1"/>
    <col min="6724" max="6744" width="8.85546875" style="1" customWidth="1"/>
    <col min="6745" max="6745" width="9.85546875" style="1" customWidth="1"/>
    <col min="6746" max="6746" width="8.85546875" style="1" customWidth="1"/>
    <col min="6747" max="6747" width="10" style="1" customWidth="1"/>
    <col min="6748" max="6764" width="8.85546875" style="1" customWidth="1"/>
    <col min="6765" max="6765" width="9.42578125" style="1" customWidth="1"/>
    <col min="6766" max="6766" width="8.85546875" style="1" customWidth="1"/>
    <col min="6767" max="6767" width="12" style="1" customWidth="1"/>
    <col min="6768" max="6768" width="11.140625" style="1" customWidth="1"/>
    <col min="6769" max="6769" width="28.7109375" style="1" customWidth="1"/>
    <col min="6770" max="6770" width="5.85546875" style="1" customWidth="1"/>
    <col min="6771" max="6920" width="9.140625" style="1"/>
    <col min="6921" max="6921" width="3.42578125" style="1" customWidth="1"/>
    <col min="6922" max="6922" width="27.85546875" style="1" customWidth="1"/>
    <col min="6923" max="6923" width="11.85546875" style="1" customWidth="1"/>
    <col min="6924" max="6924" width="15.140625" style="1" customWidth="1"/>
    <col min="6925" max="6925" width="10.28515625" style="1" customWidth="1"/>
    <col min="6926" max="6927" width="9.7109375" style="1" customWidth="1"/>
    <col min="6928" max="6928" width="10.42578125" style="1" customWidth="1"/>
    <col min="6929" max="6929" width="10.42578125" style="1" bestFit="1" customWidth="1"/>
    <col min="6930" max="6930" width="16.28515625" style="1" customWidth="1"/>
    <col min="6931" max="6931" width="15.140625" style="1" customWidth="1"/>
    <col min="6932" max="6932" width="13.5703125" style="1" customWidth="1"/>
    <col min="6933" max="6933" width="10.5703125" style="1" customWidth="1"/>
    <col min="6934" max="6934" width="10.85546875" style="1" customWidth="1"/>
    <col min="6935" max="6935" width="18" style="1" customWidth="1"/>
    <col min="6936" max="6936" width="20.85546875" style="1" customWidth="1"/>
    <col min="6937" max="6937" width="13.5703125" style="1" customWidth="1"/>
    <col min="6938" max="6938" width="14.140625" style="1" customWidth="1"/>
    <col min="6939" max="6941" width="8.85546875" style="1" customWidth="1"/>
    <col min="6942" max="6942" width="9.28515625" style="1" customWidth="1"/>
    <col min="6943" max="6943" width="14" style="1" customWidth="1"/>
    <col min="6944" max="6945" width="8.85546875" style="1" customWidth="1"/>
    <col min="6946" max="6946" width="10.140625" style="1" customWidth="1"/>
    <col min="6947" max="6948" width="9.5703125" style="1" customWidth="1"/>
    <col min="6949" max="6949" width="9.85546875" style="1" customWidth="1"/>
    <col min="6950" max="6951" width="10.140625" style="1" customWidth="1"/>
    <col min="6952" max="6954" width="9.28515625" style="1" customWidth="1"/>
    <col min="6955" max="6955" width="9.85546875" style="1" customWidth="1"/>
    <col min="6956" max="6957" width="8.5703125" style="1" customWidth="1"/>
    <col min="6958" max="6960" width="8.85546875" style="1" customWidth="1"/>
    <col min="6961" max="6961" width="9.28515625" style="1" customWidth="1"/>
    <col min="6962" max="6963" width="8.85546875" style="1" customWidth="1"/>
    <col min="6964" max="6964" width="10" style="1" customWidth="1"/>
    <col min="6965" max="6966" width="8.85546875" style="1" customWidth="1"/>
    <col min="6967" max="6967" width="11" style="1" customWidth="1"/>
    <col min="6968" max="6969" width="9.5703125" style="1" customWidth="1"/>
    <col min="6970" max="6972" width="8.85546875" style="1" customWidth="1"/>
    <col min="6973" max="6973" width="10.42578125" style="1" customWidth="1"/>
    <col min="6974" max="6975" width="8.85546875" style="1" customWidth="1"/>
    <col min="6976" max="6976" width="9.7109375" style="1" customWidth="1"/>
    <col min="6977" max="6978" width="8.85546875" style="1" customWidth="1"/>
    <col min="6979" max="6979" width="9.28515625" style="1" customWidth="1"/>
    <col min="6980" max="7000" width="8.85546875" style="1" customWidth="1"/>
    <col min="7001" max="7001" width="9.85546875" style="1" customWidth="1"/>
    <col min="7002" max="7002" width="8.85546875" style="1" customWidth="1"/>
    <col min="7003" max="7003" width="10" style="1" customWidth="1"/>
    <col min="7004" max="7020" width="8.85546875" style="1" customWidth="1"/>
    <col min="7021" max="7021" width="9.42578125" style="1" customWidth="1"/>
    <col min="7022" max="7022" width="8.85546875" style="1" customWidth="1"/>
    <col min="7023" max="7023" width="12" style="1" customWidth="1"/>
    <col min="7024" max="7024" width="11.140625" style="1" customWidth="1"/>
    <col min="7025" max="7025" width="28.7109375" style="1" customWidth="1"/>
    <col min="7026" max="7026" width="5.85546875" style="1" customWidth="1"/>
    <col min="7027" max="7176" width="9.140625" style="1"/>
    <col min="7177" max="7177" width="3.42578125" style="1" customWidth="1"/>
    <col min="7178" max="7178" width="27.85546875" style="1" customWidth="1"/>
    <col min="7179" max="7179" width="11.85546875" style="1" customWidth="1"/>
    <col min="7180" max="7180" width="15.140625" style="1" customWidth="1"/>
    <col min="7181" max="7181" width="10.28515625" style="1" customWidth="1"/>
    <col min="7182" max="7183" width="9.7109375" style="1" customWidth="1"/>
    <col min="7184" max="7184" width="10.42578125" style="1" customWidth="1"/>
    <col min="7185" max="7185" width="10.42578125" style="1" bestFit="1" customWidth="1"/>
    <col min="7186" max="7186" width="16.28515625" style="1" customWidth="1"/>
    <col min="7187" max="7187" width="15.140625" style="1" customWidth="1"/>
    <col min="7188" max="7188" width="13.5703125" style="1" customWidth="1"/>
    <col min="7189" max="7189" width="10.5703125" style="1" customWidth="1"/>
    <col min="7190" max="7190" width="10.85546875" style="1" customWidth="1"/>
    <col min="7191" max="7191" width="18" style="1" customWidth="1"/>
    <col min="7192" max="7192" width="20.85546875" style="1" customWidth="1"/>
    <col min="7193" max="7193" width="13.5703125" style="1" customWidth="1"/>
    <col min="7194" max="7194" width="14.140625" style="1" customWidth="1"/>
    <col min="7195" max="7197" width="8.85546875" style="1" customWidth="1"/>
    <col min="7198" max="7198" width="9.28515625" style="1" customWidth="1"/>
    <col min="7199" max="7199" width="14" style="1" customWidth="1"/>
    <col min="7200" max="7201" width="8.85546875" style="1" customWidth="1"/>
    <col min="7202" max="7202" width="10.140625" style="1" customWidth="1"/>
    <col min="7203" max="7204" width="9.5703125" style="1" customWidth="1"/>
    <col min="7205" max="7205" width="9.85546875" style="1" customWidth="1"/>
    <col min="7206" max="7207" width="10.140625" style="1" customWidth="1"/>
    <col min="7208" max="7210" width="9.28515625" style="1" customWidth="1"/>
    <col min="7211" max="7211" width="9.85546875" style="1" customWidth="1"/>
    <col min="7212" max="7213" width="8.5703125" style="1" customWidth="1"/>
    <col min="7214" max="7216" width="8.85546875" style="1" customWidth="1"/>
    <col min="7217" max="7217" width="9.28515625" style="1" customWidth="1"/>
    <col min="7218" max="7219" width="8.85546875" style="1" customWidth="1"/>
    <col min="7220" max="7220" width="10" style="1" customWidth="1"/>
    <col min="7221" max="7222" width="8.85546875" style="1" customWidth="1"/>
    <col min="7223" max="7223" width="11" style="1" customWidth="1"/>
    <col min="7224" max="7225" width="9.5703125" style="1" customWidth="1"/>
    <col min="7226" max="7228" width="8.85546875" style="1" customWidth="1"/>
    <col min="7229" max="7229" width="10.42578125" style="1" customWidth="1"/>
    <col min="7230" max="7231" width="8.85546875" style="1" customWidth="1"/>
    <col min="7232" max="7232" width="9.7109375" style="1" customWidth="1"/>
    <col min="7233" max="7234" width="8.85546875" style="1" customWidth="1"/>
    <col min="7235" max="7235" width="9.28515625" style="1" customWidth="1"/>
    <col min="7236" max="7256" width="8.85546875" style="1" customWidth="1"/>
    <col min="7257" max="7257" width="9.85546875" style="1" customWidth="1"/>
    <col min="7258" max="7258" width="8.85546875" style="1" customWidth="1"/>
    <col min="7259" max="7259" width="10" style="1" customWidth="1"/>
    <col min="7260" max="7276" width="8.85546875" style="1" customWidth="1"/>
    <col min="7277" max="7277" width="9.42578125" style="1" customWidth="1"/>
    <col min="7278" max="7278" width="8.85546875" style="1" customWidth="1"/>
    <col min="7279" max="7279" width="12" style="1" customWidth="1"/>
    <col min="7280" max="7280" width="11.140625" style="1" customWidth="1"/>
    <col min="7281" max="7281" width="28.7109375" style="1" customWidth="1"/>
    <col min="7282" max="7282" width="5.85546875" style="1" customWidth="1"/>
    <col min="7283" max="7432" width="9.140625" style="1"/>
    <col min="7433" max="7433" width="3.42578125" style="1" customWidth="1"/>
    <col min="7434" max="7434" width="27.85546875" style="1" customWidth="1"/>
    <col min="7435" max="7435" width="11.85546875" style="1" customWidth="1"/>
    <col min="7436" max="7436" width="15.140625" style="1" customWidth="1"/>
    <col min="7437" max="7437" width="10.28515625" style="1" customWidth="1"/>
    <col min="7438" max="7439" width="9.7109375" style="1" customWidth="1"/>
    <col min="7440" max="7440" width="10.42578125" style="1" customWidth="1"/>
    <col min="7441" max="7441" width="10.42578125" style="1" bestFit="1" customWidth="1"/>
    <col min="7442" max="7442" width="16.28515625" style="1" customWidth="1"/>
    <col min="7443" max="7443" width="15.140625" style="1" customWidth="1"/>
    <col min="7444" max="7444" width="13.5703125" style="1" customWidth="1"/>
    <col min="7445" max="7445" width="10.5703125" style="1" customWidth="1"/>
    <col min="7446" max="7446" width="10.85546875" style="1" customWidth="1"/>
    <col min="7447" max="7447" width="18" style="1" customWidth="1"/>
    <col min="7448" max="7448" width="20.85546875" style="1" customWidth="1"/>
    <col min="7449" max="7449" width="13.5703125" style="1" customWidth="1"/>
    <col min="7450" max="7450" width="14.140625" style="1" customWidth="1"/>
    <col min="7451" max="7453" width="8.85546875" style="1" customWidth="1"/>
    <col min="7454" max="7454" width="9.28515625" style="1" customWidth="1"/>
    <col min="7455" max="7455" width="14" style="1" customWidth="1"/>
    <col min="7456" max="7457" width="8.85546875" style="1" customWidth="1"/>
    <col min="7458" max="7458" width="10.140625" style="1" customWidth="1"/>
    <col min="7459" max="7460" width="9.5703125" style="1" customWidth="1"/>
    <col min="7461" max="7461" width="9.85546875" style="1" customWidth="1"/>
    <col min="7462" max="7463" width="10.140625" style="1" customWidth="1"/>
    <col min="7464" max="7466" width="9.28515625" style="1" customWidth="1"/>
    <col min="7467" max="7467" width="9.85546875" style="1" customWidth="1"/>
    <col min="7468" max="7469" width="8.5703125" style="1" customWidth="1"/>
    <col min="7470" max="7472" width="8.85546875" style="1" customWidth="1"/>
    <col min="7473" max="7473" width="9.28515625" style="1" customWidth="1"/>
    <col min="7474" max="7475" width="8.85546875" style="1" customWidth="1"/>
    <col min="7476" max="7476" width="10" style="1" customWidth="1"/>
    <col min="7477" max="7478" width="8.85546875" style="1" customWidth="1"/>
    <col min="7479" max="7479" width="11" style="1" customWidth="1"/>
    <col min="7480" max="7481" width="9.5703125" style="1" customWidth="1"/>
    <col min="7482" max="7484" width="8.85546875" style="1" customWidth="1"/>
    <col min="7485" max="7485" width="10.42578125" style="1" customWidth="1"/>
    <col min="7486" max="7487" width="8.85546875" style="1" customWidth="1"/>
    <col min="7488" max="7488" width="9.7109375" style="1" customWidth="1"/>
    <col min="7489" max="7490" width="8.85546875" style="1" customWidth="1"/>
    <col min="7491" max="7491" width="9.28515625" style="1" customWidth="1"/>
    <col min="7492" max="7512" width="8.85546875" style="1" customWidth="1"/>
    <col min="7513" max="7513" width="9.85546875" style="1" customWidth="1"/>
    <col min="7514" max="7514" width="8.85546875" style="1" customWidth="1"/>
    <col min="7515" max="7515" width="10" style="1" customWidth="1"/>
    <col min="7516" max="7532" width="8.85546875" style="1" customWidth="1"/>
    <col min="7533" max="7533" width="9.42578125" style="1" customWidth="1"/>
    <col min="7534" max="7534" width="8.85546875" style="1" customWidth="1"/>
    <col min="7535" max="7535" width="12" style="1" customWidth="1"/>
    <col min="7536" max="7536" width="11.140625" style="1" customWidth="1"/>
    <col min="7537" max="7537" width="28.7109375" style="1" customWidth="1"/>
    <col min="7538" max="7538" width="5.85546875" style="1" customWidth="1"/>
    <col min="7539" max="7688" width="9.140625" style="1"/>
    <col min="7689" max="7689" width="3.42578125" style="1" customWidth="1"/>
    <col min="7690" max="7690" width="27.85546875" style="1" customWidth="1"/>
    <col min="7691" max="7691" width="11.85546875" style="1" customWidth="1"/>
    <col min="7692" max="7692" width="15.140625" style="1" customWidth="1"/>
    <col min="7693" max="7693" width="10.28515625" style="1" customWidth="1"/>
    <col min="7694" max="7695" width="9.7109375" style="1" customWidth="1"/>
    <col min="7696" max="7696" width="10.42578125" style="1" customWidth="1"/>
    <col min="7697" max="7697" width="10.42578125" style="1" bestFit="1" customWidth="1"/>
    <col min="7698" max="7698" width="16.28515625" style="1" customWidth="1"/>
    <col min="7699" max="7699" width="15.140625" style="1" customWidth="1"/>
    <col min="7700" max="7700" width="13.5703125" style="1" customWidth="1"/>
    <col min="7701" max="7701" width="10.5703125" style="1" customWidth="1"/>
    <col min="7702" max="7702" width="10.85546875" style="1" customWidth="1"/>
    <col min="7703" max="7703" width="18" style="1" customWidth="1"/>
    <col min="7704" max="7704" width="20.85546875" style="1" customWidth="1"/>
    <col min="7705" max="7705" width="13.5703125" style="1" customWidth="1"/>
    <col min="7706" max="7706" width="14.140625" style="1" customWidth="1"/>
    <col min="7707" max="7709" width="8.85546875" style="1" customWidth="1"/>
    <col min="7710" max="7710" width="9.28515625" style="1" customWidth="1"/>
    <col min="7711" max="7711" width="14" style="1" customWidth="1"/>
    <col min="7712" max="7713" width="8.85546875" style="1" customWidth="1"/>
    <col min="7714" max="7714" width="10.140625" style="1" customWidth="1"/>
    <col min="7715" max="7716" width="9.5703125" style="1" customWidth="1"/>
    <col min="7717" max="7717" width="9.85546875" style="1" customWidth="1"/>
    <col min="7718" max="7719" width="10.140625" style="1" customWidth="1"/>
    <col min="7720" max="7722" width="9.28515625" style="1" customWidth="1"/>
    <col min="7723" max="7723" width="9.85546875" style="1" customWidth="1"/>
    <col min="7724" max="7725" width="8.5703125" style="1" customWidth="1"/>
    <col min="7726" max="7728" width="8.85546875" style="1" customWidth="1"/>
    <col min="7729" max="7729" width="9.28515625" style="1" customWidth="1"/>
    <col min="7730" max="7731" width="8.85546875" style="1" customWidth="1"/>
    <col min="7732" max="7732" width="10" style="1" customWidth="1"/>
    <col min="7733" max="7734" width="8.85546875" style="1" customWidth="1"/>
    <col min="7735" max="7735" width="11" style="1" customWidth="1"/>
    <col min="7736" max="7737" width="9.5703125" style="1" customWidth="1"/>
    <col min="7738" max="7740" width="8.85546875" style="1" customWidth="1"/>
    <col min="7741" max="7741" width="10.42578125" style="1" customWidth="1"/>
    <col min="7742" max="7743" width="8.85546875" style="1" customWidth="1"/>
    <col min="7744" max="7744" width="9.7109375" style="1" customWidth="1"/>
    <col min="7745" max="7746" width="8.85546875" style="1" customWidth="1"/>
    <col min="7747" max="7747" width="9.28515625" style="1" customWidth="1"/>
    <col min="7748" max="7768" width="8.85546875" style="1" customWidth="1"/>
    <col min="7769" max="7769" width="9.85546875" style="1" customWidth="1"/>
    <col min="7770" max="7770" width="8.85546875" style="1" customWidth="1"/>
    <col min="7771" max="7771" width="10" style="1" customWidth="1"/>
    <col min="7772" max="7788" width="8.85546875" style="1" customWidth="1"/>
    <col min="7789" max="7789" width="9.42578125" style="1" customWidth="1"/>
    <col min="7790" max="7790" width="8.85546875" style="1" customWidth="1"/>
    <col min="7791" max="7791" width="12" style="1" customWidth="1"/>
    <col min="7792" max="7792" width="11.140625" style="1" customWidth="1"/>
    <col min="7793" max="7793" width="28.7109375" style="1" customWidth="1"/>
    <col min="7794" max="7794" width="5.85546875" style="1" customWidth="1"/>
    <col min="7795" max="7944" width="9.140625" style="1"/>
    <col min="7945" max="7945" width="3.42578125" style="1" customWidth="1"/>
    <col min="7946" max="7946" width="27.85546875" style="1" customWidth="1"/>
    <col min="7947" max="7947" width="11.85546875" style="1" customWidth="1"/>
    <col min="7948" max="7948" width="15.140625" style="1" customWidth="1"/>
    <col min="7949" max="7949" width="10.28515625" style="1" customWidth="1"/>
    <col min="7950" max="7951" width="9.7109375" style="1" customWidth="1"/>
    <col min="7952" max="7952" width="10.42578125" style="1" customWidth="1"/>
    <col min="7953" max="7953" width="10.42578125" style="1" bestFit="1" customWidth="1"/>
    <col min="7954" max="7954" width="16.28515625" style="1" customWidth="1"/>
    <col min="7955" max="7955" width="15.140625" style="1" customWidth="1"/>
    <col min="7956" max="7956" width="13.5703125" style="1" customWidth="1"/>
    <col min="7957" max="7957" width="10.5703125" style="1" customWidth="1"/>
    <col min="7958" max="7958" width="10.85546875" style="1" customWidth="1"/>
    <col min="7959" max="7959" width="18" style="1" customWidth="1"/>
    <col min="7960" max="7960" width="20.85546875" style="1" customWidth="1"/>
    <col min="7961" max="7961" width="13.5703125" style="1" customWidth="1"/>
    <col min="7962" max="7962" width="14.140625" style="1" customWidth="1"/>
    <col min="7963" max="7965" width="8.85546875" style="1" customWidth="1"/>
    <col min="7966" max="7966" width="9.28515625" style="1" customWidth="1"/>
    <col min="7967" max="7967" width="14" style="1" customWidth="1"/>
    <col min="7968" max="7969" width="8.85546875" style="1" customWidth="1"/>
    <col min="7970" max="7970" width="10.140625" style="1" customWidth="1"/>
    <col min="7971" max="7972" width="9.5703125" style="1" customWidth="1"/>
    <col min="7973" max="7973" width="9.85546875" style="1" customWidth="1"/>
    <col min="7974" max="7975" width="10.140625" style="1" customWidth="1"/>
    <col min="7976" max="7978" width="9.28515625" style="1" customWidth="1"/>
    <col min="7979" max="7979" width="9.85546875" style="1" customWidth="1"/>
    <col min="7980" max="7981" width="8.5703125" style="1" customWidth="1"/>
    <col min="7982" max="7984" width="8.85546875" style="1" customWidth="1"/>
    <col min="7985" max="7985" width="9.28515625" style="1" customWidth="1"/>
    <col min="7986" max="7987" width="8.85546875" style="1" customWidth="1"/>
    <col min="7988" max="7988" width="10" style="1" customWidth="1"/>
    <col min="7989" max="7990" width="8.85546875" style="1" customWidth="1"/>
    <col min="7991" max="7991" width="11" style="1" customWidth="1"/>
    <col min="7992" max="7993" width="9.5703125" style="1" customWidth="1"/>
    <col min="7994" max="7996" width="8.85546875" style="1" customWidth="1"/>
    <col min="7997" max="7997" width="10.42578125" style="1" customWidth="1"/>
    <col min="7998" max="7999" width="8.85546875" style="1" customWidth="1"/>
    <col min="8000" max="8000" width="9.7109375" style="1" customWidth="1"/>
    <col min="8001" max="8002" width="8.85546875" style="1" customWidth="1"/>
    <col min="8003" max="8003" width="9.28515625" style="1" customWidth="1"/>
    <col min="8004" max="8024" width="8.85546875" style="1" customWidth="1"/>
    <col min="8025" max="8025" width="9.85546875" style="1" customWidth="1"/>
    <col min="8026" max="8026" width="8.85546875" style="1" customWidth="1"/>
    <col min="8027" max="8027" width="10" style="1" customWidth="1"/>
    <col min="8028" max="8044" width="8.85546875" style="1" customWidth="1"/>
    <col min="8045" max="8045" width="9.42578125" style="1" customWidth="1"/>
    <col min="8046" max="8046" width="8.85546875" style="1" customWidth="1"/>
    <col min="8047" max="8047" width="12" style="1" customWidth="1"/>
    <col min="8048" max="8048" width="11.140625" style="1" customWidth="1"/>
    <col min="8049" max="8049" width="28.7109375" style="1" customWidth="1"/>
    <col min="8050" max="8050" width="5.85546875" style="1" customWidth="1"/>
    <col min="8051" max="8200" width="9.140625" style="1"/>
    <col min="8201" max="8201" width="3.42578125" style="1" customWidth="1"/>
    <col min="8202" max="8202" width="27.85546875" style="1" customWidth="1"/>
    <col min="8203" max="8203" width="11.85546875" style="1" customWidth="1"/>
    <col min="8204" max="8204" width="15.140625" style="1" customWidth="1"/>
    <col min="8205" max="8205" width="10.28515625" style="1" customWidth="1"/>
    <col min="8206" max="8207" width="9.7109375" style="1" customWidth="1"/>
    <col min="8208" max="8208" width="10.42578125" style="1" customWidth="1"/>
    <col min="8209" max="8209" width="10.42578125" style="1" bestFit="1" customWidth="1"/>
    <col min="8210" max="8210" width="16.28515625" style="1" customWidth="1"/>
    <col min="8211" max="8211" width="15.140625" style="1" customWidth="1"/>
    <col min="8212" max="8212" width="13.5703125" style="1" customWidth="1"/>
    <col min="8213" max="8213" width="10.5703125" style="1" customWidth="1"/>
    <col min="8214" max="8214" width="10.85546875" style="1" customWidth="1"/>
    <col min="8215" max="8215" width="18" style="1" customWidth="1"/>
    <col min="8216" max="8216" width="20.85546875" style="1" customWidth="1"/>
    <col min="8217" max="8217" width="13.5703125" style="1" customWidth="1"/>
    <col min="8218" max="8218" width="14.140625" style="1" customWidth="1"/>
    <col min="8219" max="8221" width="8.85546875" style="1" customWidth="1"/>
    <col min="8222" max="8222" width="9.28515625" style="1" customWidth="1"/>
    <col min="8223" max="8223" width="14" style="1" customWidth="1"/>
    <col min="8224" max="8225" width="8.85546875" style="1" customWidth="1"/>
    <col min="8226" max="8226" width="10.140625" style="1" customWidth="1"/>
    <col min="8227" max="8228" width="9.5703125" style="1" customWidth="1"/>
    <col min="8229" max="8229" width="9.85546875" style="1" customWidth="1"/>
    <col min="8230" max="8231" width="10.140625" style="1" customWidth="1"/>
    <col min="8232" max="8234" width="9.28515625" style="1" customWidth="1"/>
    <col min="8235" max="8235" width="9.85546875" style="1" customWidth="1"/>
    <col min="8236" max="8237" width="8.5703125" style="1" customWidth="1"/>
    <col min="8238" max="8240" width="8.85546875" style="1" customWidth="1"/>
    <col min="8241" max="8241" width="9.28515625" style="1" customWidth="1"/>
    <col min="8242" max="8243" width="8.85546875" style="1" customWidth="1"/>
    <col min="8244" max="8244" width="10" style="1" customWidth="1"/>
    <col min="8245" max="8246" width="8.85546875" style="1" customWidth="1"/>
    <col min="8247" max="8247" width="11" style="1" customWidth="1"/>
    <col min="8248" max="8249" width="9.5703125" style="1" customWidth="1"/>
    <col min="8250" max="8252" width="8.85546875" style="1" customWidth="1"/>
    <col min="8253" max="8253" width="10.42578125" style="1" customWidth="1"/>
    <col min="8254" max="8255" width="8.85546875" style="1" customWidth="1"/>
    <col min="8256" max="8256" width="9.7109375" style="1" customWidth="1"/>
    <col min="8257" max="8258" width="8.85546875" style="1" customWidth="1"/>
    <col min="8259" max="8259" width="9.28515625" style="1" customWidth="1"/>
    <col min="8260" max="8280" width="8.85546875" style="1" customWidth="1"/>
    <col min="8281" max="8281" width="9.85546875" style="1" customWidth="1"/>
    <col min="8282" max="8282" width="8.85546875" style="1" customWidth="1"/>
    <col min="8283" max="8283" width="10" style="1" customWidth="1"/>
    <col min="8284" max="8300" width="8.85546875" style="1" customWidth="1"/>
    <col min="8301" max="8301" width="9.42578125" style="1" customWidth="1"/>
    <col min="8302" max="8302" width="8.85546875" style="1" customWidth="1"/>
    <col min="8303" max="8303" width="12" style="1" customWidth="1"/>
    <col min="8304" max="8304" width="11.140625" style="1" customWidth="1"/>
    <col min="8305" max="8305" width="28.7109375" style="1" customWidth="1"/>
    <col min="8306" max="8306" width="5.85546875" style="1" customWidth="1"/>
    <col min="8307" max="8456" width="9.140625" style="1"/>
    <col min="8457" max="8457" width="3.42578125" style="1" customWidth="1"/>
    <col min="8458" max="8458" width="27.85546875" style="1" customWidth="1"/>
    <col min="8459" max="8459" width="11.85546875" style="1" customWidth="1"/>
    <col min="8460" max="8460" width="15.140625" style="1" customWidth="1"/>
    <col min="8461" max="8461" width="10.28515625" style="1" customWidth="1"/>
    <col min="8462" max="8463" width="9.7109375" style="1" customWidth="1"/>
    <col min="8464" max="8464" width="10.42578125" style="1" customWidth="1"/>
    <col min="8465" max="8465" width="10.42578125" style="1" bestFit="1" customWidth="1"/>
    <col min="8466" max="8466" width="16.28515625" style="1" customWidth="1"/>
    <col min="8467" max="8467" width="15.140625" style="1" customWidth="1"/>
    <col min="8468" max="8468" width="13.5703125" style="1" customWidth="1"/>
    <col min="8469" max="8469" width="10.5703125" style="1" customWidth="1"/>
    <col min="8470" max="8470" width="10.85546875" style="1" customWidth="1"/>
    <col min="8471" max="8471" width="18" style="1" customWidth="1"/>
    <col min="8472" max="8472" width="20.85546875" style="1" customWidth="1"/>
    <col min="8473" max="8473" width="13.5703125" style="1" customWidth="1"/>
    <col min="8474" max="8474" width="14.140625" style="1" customWidth="1"/>
    <col min="8475" max="8477" width="8.85546875" style="1" customWidth="1"/>
    <col min="8478" max="8478" width="9.28515625" style="1" customWidth="1"/>
    <col min="8479" max="8479" width="14" style="1" customWidth="1"/>
    <col min="8480" max="8481" width="8.85546875" style="1" customWidth="1"/>
    <col min="8482" max="8482" width="10.140625" style="1" customWidth="1"/>
    <col min="8483" max="8484" width="9.5703125" style="1" customWidth="1"/>
    <col min="8485" max="8485" width="9.85546875" style="1" customWidth="1"/>
    <col min="8486" max="8487" width="10.140625" style="1" customWidth="1"/>
    <col min="8488" max="8490" width="9.28515625" style="1" customWidth="1"/>
    <col min="8491" max="8491" width="9.85546875" style="1" customWidth="1"/>
    <col min="8492" max="8493" width="8.5703125" style="1" customWidth="1"/>
    <col min="8494" max="8496" width="8.85546875" style="1" customWidth="1"/>
    <col min="8497" max="8497" width="9.28515625" style="1" customWidth="1"/>
    <col min="8498" max="8499" width="8.85546875" style="1" customWidth="1"/>
    <col min="8500" max="8500" width="10" style="1" customWidth="1"/>
    <col min="8501" max="8502" width="8.85546875" style="1" customWidth="1"/>
    <col min="8503" max="8503" width="11" style="1" customWidth="1"/>
    <col min="8504" max="8505" width="9.5703125" style="1" customWidth="1"/>
    <col min="8506" max="8508" width="8.85546875" style="1" customWidth="1"/>
    <col min="8509" max="8509" width="10.42578125" style="1" customWidth="1"/>
    <col min="8510" max="8511" width="8.85546875" style="1" customWidth="1"/>
    <col min="8512" max="8512" width="9.7109375" style="1" customWidth="1"/>
    <col min="8513" max="8514" width="8.85546875" style="1" customWidth="1"/>
    <col min="8515" max="8515" width="9.28515625" style="1" customWidth="1"/>
    <col min="8516" max="8536" width="8.85546875" style="1" customWidth="1"/>
    <col min="8537" max="8537" width="9.85546875" style="1" customWidth="1"/>
    <col min="8538" max="8538" width="8.85546875" style="1" customWidth="1"/>
    <col min="8539" max="8539" width="10" style="1" customWidth="1"/>
    <col min="8540" max="8556" width="8.85546875" style="1" customWidth="1"/>
    <col min="8557" max="8557" width="9.42578125" style="1" customWidth="1"/>
    <col min="8558" max="8558" width="8.85546875" style="1" customWidth="1"/>
    <col min="8559" max="8559" width="12" style="1" customWidth="1"/>
    <col min="8560" max="8560" width="11.140625" style="1" customWidth="1"/>
    <col min="8561" max="8561" width="28.7109375" style="1" customWidth="1"/>
    <col min="8562" max="8562" width="5.85546875" style="1" customWidth="1"/>
    <col min="8563" max="8712" width="9.140625" style="1"/>
    <col min="8713" max="8713" width="3.42578125" style="1" customWidth="1"/>
    <col min="8714" max="8714" width="27.85546875" style="1" customWidth="1"/>
    <col min="8715" max="8715" width="11.85546875" style="1" customWidth="1"/>
    <col min="8716" max="8716" width="15.140625" style="1" customWidth="1"/>
    <col min="8717" max="8717" width="10.28515625" style="1" customWidth="1"/>
    <col min="8718" max="8719" width="9.7109375" style="1" customWidth="1"/>
    <col min="8720" max="8720" width="10.42578125" style="1" customWidth="1"/>
    <col min="8721" max="8721" width="10.42578125" style="1" bestFit="1" customWidth="1"/>
    <col min="8722" max="8722" width="16.28515625" style="1" customWidth="1"/>
    <col min="8723" max="8723" width="15.140625" style="1" customWidth="1"/>
    <col min="8724" max="8724" width="13.5703125" style="1" customWidth="1"/>
    <col min="8725" max="8725" width="10.5703125" style="1" customWidth="1"/>
    <col min="8726" max="8726" width="10.85546875" style="1" customWidth="1"/>
    <col min="8727" max="8727" width="18" style="1" customWidth="1"/>
    <col min="8728" max="8728" width="20.85546875" style="1" customWidth="1"/>
    <col min="8729" max="8729" width="13.5703125" style="1" customWidth="1"/>
    <col min="8730" max="8730" width="14.140625" style="1" customWidth="1"/>
    <col min="8731" max="8733" width="8.85546875" style="1" customWidth="1"/>
    <col min="8734" max="8734" width="9.28515625" style="1" customWidth="1"/>
    <col min="8735" max="8735" width="14" style="1" customWidth="1"/>
    <col min="8736" max="8737" width="8.85546875" style="1" customWidth="1"/>
    <col min="8738" max="8738" width="10.140625" style="1" customWidth="1"/>
    <col min="8739" max="8740" width="9.5703125" style="1" customWidth="1"/>
    <col min="8741" max="8741" width="9.85546875" style="1" customWidth="1"/>
    <col min="8742" max="8743" width="10.140625" style="1" customWidth="1"/>
    <col min="8744" max="8746" width="9.28515625" style="1" customWidth="1"/>
    <col min="8747" max="8747" width="9.85546875" style="1" customWidth="1"/>
    <col min="8748" max="8749" width="8.5703125" style="1" customWidth="1"/>
    <col min="8750" max="8752" width="8.85546875" style="1" customWidth="1"/>
    <col min="8753" max="8753" width="9.28515625" style="1" customWidth="1"/>
    <col min="8754" max="8755" width="8.85546875" style="1" customWidth="1"/>
    <col min="8756" max="8756" width="10" style="1" customWidth="1"/>
    <col min="8757" max="8758" width="8.85546875" style="1" customWidth="1"/>
    <col min="8759" max="8759" width="11" style="1" customWidth="1"/>
    <col min="8760" max="8761" width="9.5703125" style="1" customWidth="1"/>
    <col min="8762" max="8764" width="8.85546875" style="1" customWidth="1"/>
    <col min="8765" max="8765" width="10.42578125" style="1" customWidth="1"/>
    <col min="8766" max="8767" width="8.85546875" style="1" customWidth="1"/>
    <col min="8768" max="8768" width="9.7109375" style="1" customWidth="1"/>
    <col min="8769" max="8770" width="8.85546875" style="1" customWidth="1"/>
    <col min="8771" max="8771" width="9.28515625" style="1" customWidth="1"/>
    <col min="8772" max="8792" width="8.85546875" style="1" customWidth="1"/>
    <col min="8793" max="8793" width="9.85546875" style="1" customWidth="1"/>
    <col min="8794" max="8794" width="8.85546875" style="1" customWidth="1"/>
    <col min="8795" max="8795" width="10" style="1" customWidth="1"/>
    <col min="8796" max="8812" width="8.85546875" style="1" customWidth="1"/>
    <col min="8813" max="8813" width="9.42578125" style="1" customWidth="1"/>
    <col min="8814" max="8814" width="8.85546875" style="1" customWidth="1"/>
    <col min="8815" max="8815" width="12" style="1" customWidth="1"/>
    <col min="8816" max="8816" width="11.140625" style="1" customWidth="1"/>
    <col min="8817" max="8817" width="28.7109375" style="1" customWidth="1"/>
    <col min="8818" max="8818" width="5.85546875" style="1" customWidth="1"/>
    <col min="8819" max="8968" width="9.140625" style="1"/>
    <col min="8969" max="8969" width="3.42578125" style="1" customWidth="1"/>
    <col min="8970" max="8970" width="27.85546875" style="1" customWidth="1"/>
    <col min="8971" max="8971" width="11.85546875" style="1" customWidth="1"/>
    <col min="8972" max="8972" width="15.140625" style="1" customWidth="1"/>
    <col min="8973" max="8973" width="10.28515625" style="1" customWidth="1"/>
    <col min="8974" max="8975" width="9.7109375" style="1" customWidth="1"/>
    <col min="8976" max="8976" width="10.42578125" style="1" customWidth="1"/>
    <col min="8977" max="8977" width="10.42578125" style="1" bestFit="1" customWidth="1"/>
    <col min="8978" max="8978" width="16.28515625" style="1" customWidth="1"/>
    <col min="8979" max="8979" width="15.140625" style="1" customWidth="1"/>
    <col min="8980" max="8980" width="13.5703125" style="1" customWidth="1"/>
    <col min="8981" max="8981" width="10.5703125" style="1" customWidth="1"/>
    <col min="8982" max="8982" width="10.85546875" style="1" customWidth="1"/>
    <col min="8983" max="8983" width="18" style="1" customWidth="1"/>
    <col min="8984" max="8984" width="20.85546875" style="1" customWidth="1"/>
    <col min="8985" max="8985" width="13.5703125" style="1" customWidth="1"/>
    <col min="8986" max="8986" width="14.140625" style="1" customWidth="1"/>
    <col min="8987" max="8989" width="8.85546875" style="1" customWidth="1"/>
    <col min="8990" max="8990" width="9.28515625" style="1" customWidth="1"/>
    <col min="8991" max="8991" width="14" style="1" customWidth="1"/>
    <col min="8992" max="8993" width="8.85546875" style="1" customWidth="1"/>
    <col min="8994" max="8994" width="10.140625" style="1" customWidth="1"/>
    <col min="8995" max="8996" width="9.5703125" style="1" customWidth="1"/>
    <col min="8997" max="8997" width="9.85546875" style="1" customWidth="1"/>
    <col min="8998" max="8999" width="10.140625" style="1" customWidth="1"/>
    <col min="9000" max="9002" width="9.28515625" style="1" customWidth="1"/>
    <col min="9003" max="9003" width="9.85546875" style="1" customWidth="1"/>
    <col min="9004" max="9005" width="8.5703125" style="1" customWidth="1"/>
    <col min="9006" max="9008" width="8.85546875" style="1" customWidth="1"/>
    <col min="9009" max="9009" width="9.28515625" style="1" customWidth="1"/>
    <col min="9010" max="9011" width="8.85546875" style="1" customWidth="1"/>
    <col min="9012" max="9012" width="10" style="1" customWidth="1"/>
    <col min="9013" max="9014" width="8.85546875" style="1" customWidth="1"/>
    <col min="9015" max="9015" width="11" style="1" customWidth="1"/>
    <col min="9016" max="9017" width="9.5703125" style="1" customWidth="1"/>
    <col min="9018" max="9020" width="8.85546875" style="1" customWidth="1"/>
    <col min="9021" max="9021" width="10.42578125" style="1" customWidth="1"/>
    <col min="9022" max="9023" width="8.85546875" style="1" customWidth="1"/>
    <col min="9024" max="9024" width="9.7109375" style="1" customWidth="1"/>
    <col min="9025" max="9026" width="8.85546875" style="1" customWidth="1"/>
    <col min="9027" max="9027" width="9.28515625" style="1" customWidth="1"/>
    <col min="9028" max="9048" width="8.85546875" style="1" customWidth="1"/>
    <col min="9049" max="9049" width="9.85546875" style="1" customWidth="1"/>
    <col min="9050" max="9050" width="8.85546875" style="1" customWidth="1"/>
    <col min="9051" max="9051" width="10" style="1" customWidth="1"/>
    <col min="9052" max="9068" width="8.85546875" style="1" customWidth="1"/>
    <col min="9069" max="9069" width="9.42578125" style="1" customWidth="1"/>
    <col min="9070" max="9070" width="8.85546875" style="1" customWidth="1"/>
    <col min="9071" max="9071" width="12" style="1" customWidth="1"/>
    <col min="9072" max="9072" width="11.140625" style="1" customWidth="1"/>
    <col min="9073" max="9073" width="28.7109375" style="1" customWidth="1"/>
    <col min="9074" max="9074" width="5.85546875" style="1" customWidth="1"/>
    <col min="9075" max="9224" width="9.140625" style="1"/>
    <col min="9225" max="9225" width="3.42578125" style="1" customWidth="1"/>
    <col min="9226" max="9226" width="27.85546875" style="1" customWidth="1"/>
    <col min="9227" max="9227" width="11.85546875" style="1" customWidth="1"/>
    <col min="9228" max="9228" width="15.140625" style="1" customWidth="1"/>
    <col min="9229" max="9229" width="10.28515625" style="1" customWidth="1"/>
    <col min="9230" max="9231" width="9.7109375" style="1" customWidth="1"/>
    <col min="9232" max="9232" width="10.42578125" style="1" customWidth="1"/>
    <col min="9233" max="9233" width="10.42578125" style="1" bestFit="1" customWidth="1"/>
    <col min="9234" max="9234" width="16.28515625" style="1" customWidth="1"/>
    <col min="9235" max="9235" width="15.140625" style="1" customWidth="1"/>
    <col min="9236" max="9236" width="13.5703125" style="1" customWidth="1"/>
    <col min="9237" max="9237" width="10.5703125" style="1" customWidth="1"/>
    <col min="9238" max="9238" width="10.85546875" style="1" customWidth="1"/>
    <col min="9239" max="9239" width="18" style="1" customWidth="1"/>
    <col min="9240" max="9240" width="20.85546875" style="1" customWidth="1"/>
    <col min="9241" max="9241" width="13.5703125" style="1" customWidth="1"/>
    <col min="9242" max="9242" width="14.140625" style="1" customWidth="1"/>
    <col min="9243" max="9245" width="8.85546875" style="1" customWidth="1"/>
    <col min="9246" max="9246" width="9.28515625" style="1" customWidth="1"/>
    <col min="9247" max="9247" width="14" style="1" customWidth="1"/>
    <col min="9248" max="9249" width="8.85546875" style="1" customWidth="1"/>
    <col min="9250" max="9250" width="10.140625" style="1" customWidth="1"/>
    <col min="9251" max="9252" width="9.5703125" style="1" customWidth="1"/>
    <col min="9253" max="9253" width="9.85546875" style="1" customWidth="1"/>
    <col min="9254" max="9255" width="10.140625" style="1" customWidth="1"/>
    <col min="9256" max="9258" width="9.28515625" style="1" customWidth="1"/>
    <col min="9259" max="9259" width="9.85546875" style="1" customWidth="1"/>
    <col min="9260" max="9261" width="8.5703125" style="1" customWidth="1"/>
    <col min="9262" max="9264" width="8.85546875" style="1" customWidth="1"/>
    <col min="9265" max="9265" width="9.28515625" style="1" customWidth="1"/>
    <col min="9266" max="9267" width="8.85546875" style="1" customWidth="1"/>
    <col min="9268" max="9268" width="10" style="1" customWidth="1"/>
    <col min="9269" max="9270" width="8.85546875" style="1" customWidth="1"/>
    <col min="9271" max="9271" width="11" style="1" customWidth="1"/>
    <col min="9272" max="9273" width="9.5703125" style="1" customWidth="1"/>
    <col min="9274" max="9276" width="8.85546875" style="1" customWidth="1"/>
    <col min="9277" max="9277" width="10.42578125" style="1" customWidth="1"/>
    <col min="9278" max="9279" width="8.85546875" style="1" customWidth="1"/>
    <col min="9280" max="9280" width="9.7109375" style="1" customWidth="1"/>
    <col min="9281" max="9282" width="8.85546875" style="1" customWidth="1"/>
    <col min="9283" max="9283" width="9.28515625" style="1" customWidth="1"/>
    <col min="9284" max="9304" width="8.85546875" style="1" customWidth="1"/>
    <col min="9305" max="9305" width="9.85546875" style="1" customWidth="1"/>
    <col min="9306" max="9306" width="8.85546875" style="1" customWidth="1"/>
    <col min="9307" max="9307" width="10" style="1" customWidth="1"/>
    <col min="9308" max="9324" width="8.85546875" style="1" customWidth="1"/>
    <col min="9325" max="9325" width="9.42578125" style="1" customWidth="1"/>
    <col min="9326" max="9326" width="8.85546875" style="1" customWidth="1"/>
    <col min="9327" max="9327" width="12" style="1" customWidth="1"/>
    <col min="9328" max="9328" width="11.140625" style="1" customWidth="1"/>
    <col min="9329" max="9329" width="28.7109375" style="1" customWidth="1"/>
    <col min="9330" max="9330" width="5.85546875" style="1" customWidth="1"/>
    <col min="9331" max="9480" width="9.140625" style="1"/>
    <col min="9481" max="9481" width="3.42578125" style="1" customWidth="1"/>
    <col min="9482" max="9482" width="27.85546875" style="1" customWidth="1"/>
    <col min="9483" max="9483" width="11.85546875" style="1" customWidth="1"/>
    <col min="9484" max="9484" width="15.140625" style="1" customWidth="1"/>
    <col min="9485" max="9485" width="10.28515625" style="1" customWidth="1"/>
    <col min="9486" max="9487" width="9.7109375" style="1" customWidth="1"/>
    <col min="9488" max="9488" width="10.42578125" style="1" customWidth="1"/>
    <col min="9489" max="9489" width="10.42578125" style="1" bestFit="1" customWidth="1"/>
    <col min="9490" max="9490" width="16.28515625" style="1" customWidth="1"/>
    <col min="9491" max="9491" width="15.140625" style="1" customWidth="1"/>
    <col min="9492" max="9492" width="13.5703125" style="1" customWidth="1"/>
    <col min="9493" max="9493" width="10.5703125" style="1" customWidth="1"/>
    <col min="9494" max="9494" width="10.85546875" style="1" customWidth="1"/>
    <col min="9495" max="9495" width="18" style="1" customWidth="1"/>
    <col min="9496" max="9496" width="20.85546875" style="1" customWidth="1"/>
    <col min="9497" max="9497" width="13.5703125" style="1" customWidth="1"/>
    <col min="9498" max="9498" width="14.140625" style="1" customWidth="1"/>
    <col min="9499" max="9501" width="8.85546875" style="1" customWidth="1"/>
    <col min="9502" max="9502" width="9.28515625" style="1" customWidth="1"/>
    <col min="9503" max="9503" width="14" style="1" customWidth="1"/>
    <col min="9504" max="9505" width="8.85546875" style="1" customWidth="1"/>
    <col min="9506" max="9506" width="10.140625" style="1" customWidth="1"/>
    <col min="9507" max="9508" width="9.5703125" style="1" customWidth="1"/>
    <col min="9509" max="9509" width="9.85546875" style="1" customWidth="1"/>
    <col min="9510" max="9511" width="10.140625" style="1" customWidth="1"/>
    <col min="9512" max="9514" width="9.28515625" style="1" customWidth="1"/>
    <col min="9515" max="9515" width="9.85546875" style="1" customWidth="1"/>
    <col min="9516" max="9517" width="8.5703125" style="1" customWidth="1"/>
    <col min="9518" max="9520" width="8.85546875" style="1" customWidth="1"/>
    <col min="9521" max="9521" width="9.28515625" style="1" customWidth="1"/>
    <col min="9522" max="9523" width="8.85546875" style="1" customWidth="1"/>
    <col min="9524" max="9524" width="10" style="1" customWidth="1"/>
    <col min="9525" max="9526" width="8.85546875" style="1" customWidth="1"/>
    <col min="9527" max="9527" width="11" style="1" customWidth="1"/>
    <col min="9528" max="9529" width="9.5703125" style="1" customWidth="1"/>
    <col min="9530" max="9532" width="8.85546875" style="1" customWidth="1"/>
    <col min="9533" max="9533" width="10.42578125" style="1" customWidth="1"/>
    <col min="9534" max="9535" width="8.85546875" style="1" customWidth="1"/>
    <col min="9536" max="9536" width="9.7109375" style="1" customWidth="1"/>
    <col min="9537" max="9538" width="8.85546875" style="1" customWidth="1"/>
    <col min="9539" max="9539" width="9.28515625" style="1" customWidth="1"/>
    <col min="9540" max="9560" width="8.85546875" style="1" customWidth="1"/>
    <col min="9561" max="9561" width="9.85546875" style="1" customWidth="1"/>
    <col min="9562" max="9562" width="8.85546875" style="1" customWidth="1"/>
    <col min="9563" max="9563" width="10" style="1" customWidth="1"/>
    <col min="9564" max="9580" width="8.85546875" style="1" customWidth="1"/>
    <col min="9581" max="9581" width="9.42578125" style="1" customWidth="1"/>
    <col min="9582" max="9582" width="8.85546875" style="1" customWidth="1"/>
    <col min="9583" max="9583" width="12" style="1" customWidth="1"/>
    <col min="9584" max="9584" width="11.140625" style="1" customWidth="1"/>
    <col min="9585" max="9585" width="28.7109375" style="1" customWidth="1"/>
    <col min="9586" max="9586" width="5.85546875" style="1" customWidth="1"/>
    <col min="9587" max="9736" width="9.140625" style="1"/>
    <col min="9737" max="9737" width="3.42578125" style="1" customWidth="1"/>
    <col min="9738" max="9738" width="27.85546875" style="1" customWidth="1"/>
    <col min="9739" max="9739" width="11.85546875" style="1" customWidth="1"/>
    <col min="9740" max="9740" width="15.140625" style="1" customWidth="1"/>
    <col min="9741" max="9741" width="10.28515625" style="1" customWidth="1"/>
    <col min="9742" max="9743" width="9.7109375" style="1" customWidth="1"/>
    <col min="9744" max="9744" width="10.42578125" style="1" customWidth="1"/>
    <col min="9745" max="9745" width="10.42578125" style="1" bestFit="1" customWidth="1"/>
    <col min="9746" max="9746" width="16.28515625" style="1" customWidth="1"/>
    <col min="9747" max="9747" width="15.140625" style="1" customWidth="1"/>
    <col min="9748" max="9748" width="13.5703125" style="1" customWidth="1"/>
    <col min="9749" max="9749" width="10.5703125" style="1" customWidth="1"/>
    <col min="9750" max="9750" width="10.85546875" style="1" customWidth="1"/>
    <col min="9751" max="9751" width="18" style="1" customWidth="1"/>
    <col min="9752" max="9752" width="20.85546875" style="1" customWidth="1"/>
    <col min="9753" max="9753" width="13.5703125" style="1" customWidth="1"/>
    <col min="9754" max="9754" width="14.140625" style="1" customWidth="1"/>
    <col min="9755" max="9757" width="8.85546875" style="1" customWidth="1"/>
    <col min="9758" max="9758" width="9.28515625" style="1" customWidth="1"/>
    <col min="9759" max="9759" width="14" style="1" customWidth="1"/>
    <col min="9760" max="9761" width="8.85546875" style="1" customWidth="1"/>
    <col min="9762" max="9762" width="10.140625" style="1" customWidth="1"/>
    <col min="9763" max="9764" width="9.5703125" style="1" customWidth="1"/>
    <col min="9765" max="9765" width="9.85546875" style="1" customWidth="1"/>
    <col min="9766" max="9767" width="10.140625" style="1" customWidth="1"/>
    <col min="9768" max="9770" width="9.28515625" style="1" customWidth="1"/>
    <col min="9771" max="9771" width="9.85546875" style="1" customWidth="1"/>
    <col min="9772" max="9773" width="8.5703125" style="1" customWidth="1"/>
    <col min="9774" max="9776" width="8.85546875" style="1" customWidth="1"/>
    <col min="9777" max="9777" width="9.28515625" style="1" customWidth="1"/>
    <col min="9778" max="9779" width="8.85546875" style="1" customWidth="1"/>
    <col min="9780" max="9780" width="10" style="1" customWidth="1"/>
    <col min="9781" max="9782" width="8.85546875" style="1" customWidth="1"/>
    <col min="9783" max="9783" width="11" style="1" customWidth="1"/>
    <col min="9784" max="9785" width="9.5703125" style="1" customWidth="1"/>
    <col min="9786" max="9788" width="8.85546875" style="1" customWidth="1"/>
    <col min="9789" max="9789" width="10.42578125" style="1" customWidth="1"/>
    <col min="9790" max="9791" width="8.85546875" style="1" customWidth="1"/>
    <col min="9792" max="9792" width="9.7109375" style="1" customWidth="1"/>
    <col min="9793" max="9794" width="8.85546875" style="1" customWidth="1"/>
    <col min="9795" max="9795" width="9.28515625" style="1" customWidth="1"/>
    <col min="9796" max="9816" width="8.85546875" style="1" customWidth="1"/>
    <col min="9817" max="9817" width="9.85546875" style="1" customWidth="1"/>
    <col min="9818" max="9818" width="8.85546875" style="1" customWidth="1"/>
    <col min="9819" max="9819" width="10" style="1" customWidth="1"/>
    <col min="9820" max="9836" width="8.85546875" style="1" customWidth="1"/>
    <col min="9837" max="9837" width="9.42578125" style="1" customWidth="1"/>
    <col min="9838" max="9838" width="8.85546875" style="1" customWidth="1"/>
    <col min="9839" max="9839" width="12" style="1" customWidth="1"/>
    <col min="9840" max="9840" width="11.140625" style="1" customWidth="1"/>
    <col min="9841" max="9841" width="28.7109375" style="1" customWidth="1"/>
    <col min="9842" max="9842" width="5.85546875" style="1" customWidth="1"/>
    <col min="9843" max="9992" width="9.140625" style="1"/>
    <col min="9993" max="9993" width="3.42578125" style="1" customWidth="1"/>
    <col min="9994" max="9994" width="27.85546875" style="1" customWidth="1"/>
    <col min="9995" max="9995" width="11.85546875" style="1" customWidth="1"/>
    <col min="9996" max="9996" width="15.140625" style="1" customWidth="1"/>
    <col min="9997" max="9997" width="10.28515625" style="1" customWidth="1"/>
    <col min="9998" max="9999" width="9.7109375" style="1" customWidth="1"/>
    <col min="10000" max="10000" width="10.42578125" style="1" customWidth="1"/>
    <col min="10001" max="10001" width="10.42578125" style="1" bestFit="1" customWidth="1"/>
    <col min="10002" max="10002" width="16.28515625" style="1" customWidth="1"/>
    <col min="10003" max="10003" width="15.140625" style="1" customWidth="1"/>
    <col min="10004" max="10004" width="13.5703125" style="1" customWidth="1"/>
    <col min="10005" max="10005" width="10.5703125" style="1" customWidth="1"/>
    <col min="10006" max="10006" width="10.85546875" style="1" customWidth="1"/>
    <col min="10007" max="10007" width="18" style="1" customWidth="1"/>
    <col min="10008" max="10008" width="20.85546875" style="1" customWidth="1"/>
    <col min="10009" max="10009" width="13.5703125" style="1" customWidth="1"/>
    <col min="10010" max="10010" width="14.140625" style="1" customWidth="1"/>
    <col min="10011" max="10013" width="8.85546875" style="1" customWidth="1"/>
    <col min="10014" max="10014" width="9.28515625" style="1" customWidth="1"/>
    <col min="10015" max="10015" width="14" style="1" customWidth="1"/>
    <col min="10016" max="10017" width="8.85546875" style="1" customWidth="1"/>
    <col min="10018" max="10018" width="10.140625" style="1" customWidth="1"/>
    <col min="10019" max="10020" width="9.5703125" style="1" customWidth="1"/>
    <col min="10021" max="10021" width="9.85546875" style="1" customWidth="1"/>
    <col min="10022" max="10023" width="10.140625" style="1" customWidth="1"/>
    <col min="10024" max="10026" width="9.28515625" style="1" customWidth="1"/>
    <col min="10027" max="10027" width="9.85546875" style="1" customWidth="1"/>
    <col min="10028" max="10029" width="8.5703125" style="1" customWidth="1"/>
    <col min="10030" max="10032" width="8.85546875" style="1" customWidth="1"/>
    <col min="10033" max="10033" width="9.28515625" style="1" customWidth="1"/>
    <col min="10034" max="10035" width="8.85546875" style="1" customWidth="1"/>
    <col min="10036" max="10036" width="10" style="1" customWidth="1"/>
    <col min="10037" max="10038" width="8.85546875" style="1" customWidth="1"/>
    <col min="10039" max="10039" width="11" style="1" customWidth="1"/>
    <col min="10040" max="10041" width="9.5703125" style="1" customWidth="1"/>
    <col min="10042" max="10044" width="8.85546875" style="1" customWidth="1"/>
    <col min="10045" max="10045" width="10.42578125" style="1" customWidth="1"/>
    <col min="10046" max="10047" width="8.85546875" style="1" customWidth="1"/>
    <col min="10048" max="10048" width="9.7109375" style="1" customWidth="1"/>
    <col min="10049" max="10050" width="8.85546875" style="1" customWidth="1"/>
    <col min="10051" max="10051" width="9.28515625" style="1" customWidth="1"/>
    <col min="10052" max="10072" width="8.85546875" style="1" customWidth="1"/>
    <col min="10073" max="10073" width="9.85546875" style="1" customWidth="1"/>
    <col min="10074" max="10074" width="8.85546875" style="1" customWidth="1"/>
    <col min="10075" max="10075" width="10" style="1" customWidth="1"/>
    <col min="10076" max="10092" width="8.85546875" style="1" customWidth="1"/>
    <col min="10093" max="10093" width="9.42578125" style="1" customWidth="1"/>
    <col min="10094" max="10094" width="8.85546875" style="1" customWidth="1"/>
    <col min="10095" max="10095" width="12" style="1" customWidth="1"/>
    <col min="10096" max="10096" width="11.140625" style="1" customWidth="1"/>
    <col min="10097" max="10097" width="28.7109375" style="1" customWidth="1"/>
    <col min="10098" max="10098" width="5.85546875" style="1" customWidth="1"/>
    <col min="10099" max="10248" width="9.140625" style="1"/>
    <col min="10249" max="10249" width="3.42578125" style="1" customWidth="1"/>
    <col min="10250" max="10250" width="27.85546875" style="1" customWidth="1"/>
    <col min="10251" max="10251" width="11.85546875" style="1" customWidth="1"/>
    <col min="10252" max="10252" width="15.140625" style="1" customWidth="1"/>
    <col min="10253" max="10253" width="10.28515625" style="1" customWidth="1"/>
    <col min="10254" max="10255" width="9.7109375" style="1" customWidth="1"/>
    <col min="10256" max="10256" width="10.42578125" style="1" customWidth="1"/>
    <col min="10257" max="10257" width="10.42578125" style="1" bestFit="1" customWidth="1"/>
    <col min="10258" max="10258" width="16.28515625" style="1" customWidth="1"/>
    <col min="10259" max="10259" width="15.140625" style="1" customWidth="1"/>
    <col min="10260" max="10260" width="13.5703125" style="1" customWidth="1"/>
    <col min="10261" max="10261" width="10.5703125" style="1" customWidth="1"/>
    <col min="10262" max="10262" width="10.85546875" style="1" customWidth="1"/>
    <col min="10263" max="10263" width="18" style="1" customWidth="1"/>
    <col min="10264" max="10264" width="20.85546875" style="1" customWidth="1"/>
    <col min="10265" max="10265" width="13.5703125" style="1" customWidth="1"/>
    <col min="10266" max="10266" width="14.140625" style="1" customWidth="1"/>
    <col min="10267" max="10269" width="8.85546875" style="1" customWidth="1"/>
    <col min="10270" max="10270" width="9.28515625" style="1" customWidth="1"/>
    <col min="10271" max="10271" width="14" style="1" customWidth="1"/>
    <col min="10272" max="10273" width="8.85546875" style="1" customWidth="1"/>
    <col min="10274" max="10274" width="10.140625" style="1" customWidth="1"/>
    <col min="10275" max="10276" width="9.5703125" style="1" customWidth="1"/>
    <col min="10277" max="10277" width="9.85546875" style="1" customWidth="1"/>
    <col min="10278" max="10279" width="10.140625" style="1" customWidth="1"/>
    <col min="10280" max="10282" width="9.28515625" style="1" customWidth="1"/>
    <col min="10283" max="10283" width="9.85546875" style="1" customWidth="1"/>
    <col min="10284" max="10285" width="8.5703125" style="1" customWidth="1"/>
    <col min="10286" max="10288" width="8.85546875" style="1" customWidth="1"/>
    <col min="10289" max="10289" width="9.28515625" style="1" customWidth="1"/>
    <col min="10290" max="10291" width="8.85546875" style="1" customWidth="1"/>
    <col min="10292" max="10292" width="10" style="1" customWidth="1"/>
    <col min="10293" max="10294" width="8.85546875" style="1" customWidth="1"/>
    <col min="10295" max="10295" width="11" style="1" customWidth="1"/>
    <col min="10296" max="10297" width="9.5703125" style="1" customWidth="1"/>
    <col min="10298" max="10300" width="8.85546875" style="1" customWidth="1"/>
    <col min="10301" max="10301" width="10.42578125" style="1" customWidth="1"/>
    <col min="10302" max="10303" width="8.85546875" style="1" customWidth="1"/>
    <col min="10304" max="10304" width="9.7109375" style="1" customWidth="1"/>
    <col min="10305" max="10306" width="8.85546875" style="1" customWidth="1"/>
    <col min="10307" max="10307" width="9.28515625" style="1" customWidth="1"/>
    <col min="10308" max="10328" width="8.85546875" style="1" customWidth="1"/>
    <col min="10329" max="10329" width="9.85546875" style="1" customWidth="1"/>
    <col min="10330" max="10330" width="8.85546875" style="1" customWidth="1"/>
    <col min="10331" max="10331" width="10" style="1" customWidth="1"/>
    <col min="10332" max="10348" width="8.85546875" style="1" customWidth="1"/>
    <col min="10349" max="10349" width="9.42578125" style="1" customWidth="1"/>
    <col min="10350" max="10350" width="8.85546875" style="1" customWidth="1"/>
    <col min="10351" max="10351" width="12" style="1" customWidth="1"/>
    <col min="10352" max="10352" width="11.140625" style="1" customWidth="1"/>
    <col min="10353" max="10353" width="28.7109375" style="1" customWidth="1"/>
    <col min="10354" max="10354" width="5.85546875" style="1" customWidth="1"/>
    <col min="10355" max="10504" width="9.140625" style="1"/>
    <col min="10505" max="10505" width="3.42578125" style="1" customWidth="1"/>
    <col min="10506" max="10506" width="27.85546875" style="1" customWidth="1"/>
    <col min="10507" max="10507" width="11.85546875" style="1" customWidth="1"/>
    <col min="10508" max="10508" width="15.140625" style="1" customWidth="1"/>
    <col min="10509" max="10509" width="10.28515625" style="1" customWidth="1"/>
    <col min="10510" max="10511" width="9.7109375" style="1" customWidth="1"/>
    <col min="10512" max="10512" width="10.42578125" style="1" customWidth="1"/>
    <col min="10513" max="10513" width="10.42578125" style="1" bestFit="1" customWidth="1"/>
    <col min="10514" max="10514" width="16.28515625" style="1" customWidth="1"/>
    <col min="10515" max="10515" width="15.140625" style="1" customWidth="1"/>
    <col min="10516" max="10516" width="13.5703125" style="1" customWidth="1"/>
    <col min="10517" max="10517" width="10.5703125" style="1" customWidth="1"/>
    <col min="10518" max="10518" width="10.85546875" style="1" customWidth="1"/>
    <col min="10519" max="10519" width="18" style="1" customWidth="1"/>
    <col min="10520" max="10520" width="20.85546875" style="1" customWidth="1"/>
    <col min="10521" max="10521" width="13.5703125" style="1" customWidth="1"/>
    <col min="10522" max="10522" width="14.140625" style="1" customWidth="1"/>
    <col min="10523" max="10525" width="8.85546875" style="1" customWidth="1"/>
    <col min="10526" max="10526" width="9.28515625" style="1" customWidth="1"/>
    <col min="10527" max="10527" width="14" style="1" customWidth="1"/>
    <col min="10528" max="10529" width="8.85546875" style="1" customWidth="1"/>
    <col min="10530" max="10530" width="10.140625" style="1" customWidth="1"/>
    <col min="10531" max="10532" width="9.5703125" style="1" customWidth="1"/>
    <col min="10533" max="10533" width="9.85546875" style="1" customWidth="1"/>
    <col min="10534" max="10535" width="10.140625" style="1" customWidth="1"/>
    <col min="10536" max="10538" width="9.28515625" style="1" customWidth="1"/>
    <col min="10539" max="10539" width="9.85546875" style="1" customWidth="1"/>
    <col min="10540" max="10541" width="8.5703125" style="1" customWidth="1"/>
    <col min="10542" max="10544" width="8.85546875" style="1" customWidth="1"/>
    <col min="10545" max="10545" width="9.28515625" style="1" customWidth="1"/>
    <col min="10546" max="10547" width="8.85546875" style="1" customWidth="1"/>
    <col min="10548" max="10548" width="10" style="1" customWidth="1"/>
    <col min="10549" max="10550" width="8.85546875" style="1" customWidth="1"/>
    <col min="10551" max="10551" width="11" style="1" customWidth="1"/>
    <col min="10552" max="10553" width="9.5703125" style="1" customWidth="1"/>
    <col min="10554" max="10556" width="8.85546875" style="1" customWidth="1"/>
    <col min="10557" max="10557" width="10.42578125" style="1" customWidth="1"/>
    <col min="10558" max="10559" width="8.85546875" style="1" customWidth="1"/>
    <col min="10560" max="10560" width="9.7109375" style="1" customWidth="1"/>
    <col min="10561" max="10562" width="8.85546875" style="1" customWidth="1"/>
    <col min="10563" max="10563" width="9.28515625" style="1" customWidth="1"/>
    <col min="10564" max="10584" width="8.85546875" style="1" customWidth="1"/>
    <col min="10585" max="10585" width="9.85546875" style="1" customWidth="1"/>
    <col min="10586" max="10586" width="8.85546875" style="1" customWidth="1"/>
    <col min="10587" max="10587" width="10" style="1" customWidth="1"/>
    <col min="10588" max="10604" width="8.85546875" style="1" customWidth="1"/>
    <col min="10605" max="10605" width="9.42578125" style="1" customWidth="1"/>
    <col min="10606" max="10606" width="8.85546875" style="1" customWidth="1"/>
    <col min="10607" max="10607" width="12" style="1" customWidth="1"/>
    <col min="10608" max="10608" width="11.140625" style="1" customWidth="1"/>
    <col min="10609" max="10609" width="28.7109375" style="1" customWidth="1"/>
    <col min="10610" max="10610" width="5.85546875" style="1" customWidth="1"/>
    <col min="10611" max="10760" width="9.140625" style="1"/>
    <col min="10761" max="10761" width="3.42578125" style="1" customWidth="1"/>
    <col min="10762" max="10762" width="27.85546875" style="1" customWidth="1"/>
    <col min="10763" max="10763" width="11.85546875" style="1" customWidth="1"/>
    <col min="10764" max="10764" width="15.140625" style="1" customWidth="1"/>
    <col min="10765" max="10765" width="10.28515625" style="1" customWidth="1"/>
    <col min="10766" max="10767" width="9.7109375" style="1" customWidth="1"/>
    <col min="10768" max="10768" width="10.42578125" style="1" customWidth="1"/>
    <col min="10769" max="10769" width="10.42578125" style="1" bestFit="1" customWidth="1"/>
    <col min="10770" max="10770" width="16.28515625" style="1" customWidth="1"/>
    <col min="10771" max="10771" width="15.140625" style="1" customWidth="1"/>
    <col min="10772" max="10772" width="13.5703125" style="1" customWidth="1"/>
    <col min="10773" max="10773" width="10.5703125" style="1" customWidth="1"/>
    <col min="10774" max="10774" width="10.85546875" style="1" customWidth="1"/>
    <col min="10775" max="10775" width="18" style="1" customWidth="1"/>
    <col min="10776" max="10776" width="20.85546875" style="1" customWidth="1"/>
    <col min="10777" max="10777" width="13.5703125" style="1" customWidth="1"/>
    <col min="10778" max="10778" width="14.140625" style="1" customWidth="1"/>
    <col min="10779" max="10781" width="8.85546875" style="1" customWidth="1"/>
    <col min="10782" max="10782" width="9.28515625" style="1" customWidth="1"/>
    <col min="10783" max="10783" width="14" style="1" customWidth="1"/>
    <col min="10784" max="10785" width="8.85546875" style="1" customWidth="1"/>
    <col min="10786" max="10786" width="10.140625" style="1" customWidth="1"/>
    <col min="10787" max="10788" width="9.5703125" style="1" customWidth="1"/>
    <col min="10789" max="10789" width="9.85546875" style="1" customWidth="1"/>
    <col min="10790" max="10791" width="10.140625" style="1" customWidth="1"/>
    <col min="10792" max="10794" width="9.28515625" style="1" customWidth="1"/>
    <col min="10795" max="10795" width="9.85546875" style="1" customWidth="1"/>
    <col min="10796" max="10797" width="8.5703125" style="1" customWidth="1"/>
    <col min="10798" max="10800" width="8.85546875" style="1" customWidth="1"/>
    <col min="10801" max="10801" width="9.28515625" style="1" customWidth="1"/>
    <col min="10802" max="10803" width="8.85546875" style="1" customWidth="1"/>
    <col min="10804" max="10804" width="10" style="1" customWidth="1"/>
    <col min="10805" max="10806" width="8.85546875" style="1" customWidth="1"/>
    <col min="10807" max="10807" width="11" style="1" customWidth="1"/>
    <col min="10808" max="10809" width="9.5703125" style="1" customWidth="1"/>
    <col min="10810" max="10812" width="8.85546875" style="1" customWidth="1"/>
    <col min="10813" max="10813" width="10.42578125" style="1" customWidth="1"/>
    <col min="10814" max="10815" width="8.85546875" style="1" customWidth="1"/>
    <col min="10816" max="10816" width="9.7109375" style="1" customWidth="1"/>
    <col min="10817" max="10818" width="8.85546875" style="1" customWidth="1"/>
    <col min="10819" max="10819" width="9.28515625" style="1" customWidth="1"/>
    <col min="10820" max="10840" width="8.85546875" style="1" customWidth="1"/>
    <col min="10841" max="10841" width="9.85546875" style="1" customWidth="1"/>
    <col min="10842" max="10842" width="8.85546875" style="1" customWidth="1"/>
    <col min="10843" max="10843" width="10" style="1" customWidth="1"/>
    <col min="10844" max="10860" width="8.85546875" style="1" customWidth="1"/>
    <col min="10861" max="10861" width="9.42578125" style="1" customWidth="1"/>
    <col min="10862" max="10862" width="8.85546875" style="1" customWidth="1"/>
    <col min="10863" max="10863" width="12" style="1" customWidth="1"/>
    <col min="10864" max="10864" width="11.140625" style="1" customWidth="1"/>
    <col min="10865" max="10865" width="28.7109375" style="1" customWidth="1"/>
    <col min="10866" max="10866" width="5.85546875" style="1" customWidth="1"/>
    <col min="10867" max="11016" width="9.140625" style="1"/>
    <col min="11017" max="11017" width="3.42578125" style="1" customWidth="1"/>
    <col min="11018" max="11018" width="27.85546875" style="1" customWidth="1"/>
    <col min="11019" max="11019" width="11.85546875" style="1" customWidth="1"/>
    <col min="11020" max="11020" width="15.140625" style="1" customWidth="1"/>
    <col min="11021" max="11021" width="10.28515625" style="1" customWidth="1"/>
    <col min="11022" max="11023" width="9.7109375" style="1" customWidth="1"/>
    <col min="11024" max="11024" width="10.42578125" style="1" customWidth="1"/>
    <col min="11025" max="11025" width="10.42578125" style="1" bestFit="1" customWidth="1"/>
    <col min="11026" max="11026" width="16.28515625" style="1" customWidth="1"/>
    <col min="11027" max="11027" width="15.140625" style="1" customWidth="1"/>
    <col min="11028" max="11028" width="13.5703125" style="1" customWidth="1"/>
    <col min="11029" max="11029" width="10.5703125" style="1" customWidth="1"/>
    <col min="11030" max="11030" width="10.85546875" style="1" customWidth="1"/>
    <col min="11031" max="11031" width="18" style="1" customWidth="1"/>
    <col min="11032" max="11032" width="20.85546875" style="1" customWidth="1"/>
    <col min="11033" max="11033" width="13.5703125" style="1" customWidth="1"/>
    <col min="11034" max="11034" width="14.140625" style="1" customWidth="1"/>
    <col min="11035" max="11037" width="8.85546875" style="1" customWidth="1"/>
    <col min="11038" max="11038" width="9.28515625" style="1" customWidth="1"/>
    <col min="11039" max="11039" width="14" style="1" customWidth="1"/>
    <col min="11040" max="11041" width="8.85546875" style="1" customWidth="1"/>
    <col min="11042" max="11042" width="10.140625" style="1" customWidth="1"/>
    <col min="11043" max="11044" width="9.5703125" style="1" customWidth="1"/>
    <col min="11045" max="11045" width="9.85546875" style="1" customWidth="1"/>
    <col min="11046" max="11047" width="10.140625" style="1" customWidth="1"/>
    <col min="11048" max="11050" width="9.28515625" style="1" customWidth="1"/>
    <col min="11051" max="11051" width="9.85546875" style="1" customWidth="1"/>
    <col min="11052" max="11053" width="8.5703125" style="1" customWidth="1"/>
    <col min="11054" max="11056" width="8.85546875" style="1" customWidth="1"/>
    <col min="11057" max="11057" width="9.28515625" style="1" customWidth="1"/>
    <col min="11058" max="11059" width="8.85546875" style="1" customWidth="1"/>
    <col min="11060" max="11060" width="10" style="1" customWidth="1"/>
    <col min="11061" max="11062" width="8.85546875" style="1" customWidth="1"/>
    <col min="11063" max="11063" width="11" style="1" customWidth="1"/>
    <col min="11064" max="11065" width="9.5703125" style="1" customWidth="1"/>
    <col min="11066" max="11068" width="8.85546875" style="1" customWidth="1"/>
    <col min="11069" max="11069" width="10.42578125" style="1" customWidth="1"/>
    <col min="11070" max="11071" width="8.85546875" style="1" customWidth="1"/>
    <col min="11072" max="11072" width="9.7109375" style="1" customWidth="1"/>
    <col min="11073" max="11074" width="8.85546875" style="1" customWidth="1"/>
    <col min="11075" max="11075" width="9.28515625" style="1" customWidth="1"/>
    <col min="11076" max="11096" width="8.85546875" style="1" customWidth="1"/>
    <col min="11097" max="11097" width="9.85546875" style="1" customWidth="1"/>
    <col min="11098" max="11098" width="8.85546875" style="1" customWidth="1"/>
    <col min="11099" max="11099" width="10" style="1" customWidth="1"/>
    <col min="11100" max="11116" width="8.85546875" style="1" customWidth="1"/>
    <col min="11117" max="11117" width="9.42578125" style="1" customWidth="1"/>
    <col min="11118" max="11118" width="8.85546875" style="1" customWidth="1"/>
    <col min="11119" max="11119" width="12" style="1" customWidth="1"/>
    <col min="11120" max="11120" width="11.140625" style="1" customWidth="1"/>
    <col min="11121" max="11121" width="28.7109375" style="1" customWidth="1"/>
    <col min="11122" max="11122" width="5.85546875" style="1" customWidth="1"/>
    <col min="11123" max="11272" width="9.140625" style="1"/>
    <col min="11273" max="11273" width="3.42578125" style="1" customWidth="1"/>
    <col min="11274" max="11274" width="27.85546875" style="1" customWidth="1"/>
    <col min="11275" max="11275" width="11.85546875" style="1" customWidth="1"/>
    <col min="11276" max="11276" width="15.140625" style="1" customWidth="1"/>
    <col min="11277" max="11277" width="10.28515625" style="1" customWidth="1"/>
    <col min="11278" max="11279" width="9.7109375" style="1" customWidth="1"/>
    <col min="11280" max="11280" width="10.42578125" style="1" customWidth="1"/>
    <col min="11281" max="11281" width="10.42578125" style="1" bestFit="1" customWidth="1"/>
    <col min="11282" max="11282" width="16.28515625" style="1" customWidth="1"/>
    <col min="11283" max="11283" width="15.140625" style="1" customWidth="1"/>
    <col min="11284" max="11284" width="13.5703125" style="1" customWidth="1"/>
    <col min="11285" max="11285" width="10.5703125" style="1" customWidth="1"/>
    <col min="11286" max="11286" width="10.85546875" style="1" customWidth="1"/>
    <col min="11287" max="11287" width="18" style="1" customWidth="1"/>
    <col min="11288" max="11288" width="20.85546875" style="1" customWidth="1"/>
    <col min="11289" max="11289" width="13.5703125" style="1" customWidth="1"/>
    <col min="11290" max="11290" width="14.140625" style="1" customWidth="1"/>
    <col min="11291" max="11293" width="8.85546875" style="1" customWidth="1"/>
    <col min="11294" max="11294" width="9.28515625" style="1" customWidth="1"/>
    <col min="11295" max="11295" width="14" style="1" customWidth="1"/>
    <col min="11296" max="11297" width="8.85546875" style="1" customWidth="1"/>
    <col min="11298" max="11298" width="10.140625" style="1" customWidth="1"/>
    <col min="11299" max="11300" width="9.5703125" style="1" customWidth="1"/>
    <col min="11301" max="11301" width="9.85546875" style="1" customWidth="1"/>
    <col min="11302" max="11303" width="10.140625" style="1" customWidth="1"/>
    <col min="11304" max="11306" width="9.28515625" style="1" customWidth="1"/>
    <col min="11307" max="11307" width="9.85546875" style="1" customWidth="1"/>
    <col min="11308" max="11309" width="8.5703125" style="1" customWidth="1"/>
    <col min="11310" max="11312" width="8.85546875" style="1" customWidth="1"/>
    <col min="11313" max="11313" width="9.28515625" style="1" customWidth="1"/>
    <col min="11314" max="11315" width="8.85546875" style="1" customWidth="1"/>
    <col min="11316" max="11316" width="10" style="1" customWidth="1"/>
    <col min="11317" max="11318" width="8.85546875" style="1" customWidth="1"/>
    <col min="11319" max="11319" width="11" style="1" customWidth="1"/>
    <col min="11320" max="11321" width="9.5703125" style="1" customWidth="1"/>
    <col min="11322" max="11324" width="8.85546875" style="1" customWidth="1"/>
    <col min="11325" max="11325" width="10.42578125" style="1" customWidth="1"/>
    <col min="11326" max="11327" width="8.85546875" style="1" customWidth="1"/>
    <col min="11328" max="11328" width="9.7109375" style="1" customWidth="1"/>
    <col min="11329" max="11330" width="8.85546875" style="1" customWidth="1"/>
    <col min="11331" max="11331" width="9.28515625" style="1" customWidth="1"/>
    <col min="11332" max="11352" width="8.85546875" style="1" customWidth="1"/>
    <col min="11353" max="11353" width="9.85546875" style="1" customWidth="1"/>
    <col min="11354" max="11354" width="8.85546875" style="1" customWidth="1"/>
    <col min="11355" max="11355" width="10" style="1" customWidth="1"/>
    <col min="11356" max="11372" width="8.85546875" style="1" customWidth="1"/>
    <col min="11373" max="11373" width="9.42578125" style="1" customWidth="1"/>
    <col min="11374" max="11374" width="8.85546875" style="1" customWidth="1"/>
    <col min="11375" max="11375" width="12" style="1" customWidth="1"/>
    <col min="11376" max="11376" width="11.140625" style="1" customWidth="1"/>
    <col min="11377" max="11377" width="28.7109375" style="1" customWidth="1"/>
    <col min="11378" max="11378" width="5.85546875" style="1" customWidth="1"/>
    <col min="11379" max="11528" width="9.140625" style="1"/>
    <col min="11529" max="11529" width="3.42578125" style="1" customWidth="1"/>
    <col min="11530" max="11530" width="27.85546875" style="1" customWidth="1"/>
    <col min="11531" max="11531" width="11.85546875" style="1" customWidth="1"/>
    <col min="11532" max="11532" width="15.140625" style="1" customWidth="1"/>
    <col min="11533" max="11533" width="10.28515625" style="1" customWidth="1"/>
    <col min="11534" max="11535" width="9.7109375" style="1" customWidth="1"/>
    <col min="11536" max="11536" width="10.42578125" style="1" customWidth="1"/>
    <col min="11537" max="11537" width="10.42578125" style="1" bestFit="1" customWidth="1"/>
    <col min="11538" max="11538" width="16.28515625" style="1" customWidth="1"/>
    <col min="11539" max="11539" width="15.140625" style="1" customWidth="1"/>
    <col min="11540" max="11540" width="13.5703125" style="1" customWidth="1"/>
    <col min="11541" max="11541" width="10.5703125" style="1" customWidth="1"/>
    <col min="11542" max="11542" width="10.85546875" style="1" customWidth="1"/>
    <col min="11543" max="11543" width="18" style="1" customWidth="1"/>
    <col min="11544" max="11544" width="20.85546875" style="1" customWidth="1"/>
    <col min="11545" max="11545" width="13.5703125" style="1" customWidth="1"/>
    <col min="11546" max="11546" width="14.140625" style="1" customWidth="1"/>
    <col min="11547" max="11549" width="8.85546875" style="1" customWidth="1"/>
    <col min="11550" max="11550" width="9.28515625" style="1" customWidth="1"/>
    <col min="11551" max="11551" width="14" style="1" customWidth="1"/>
    <col min="11552" max="11553" width="8.85546875" style="1" customWidth="1"/>
    <col min="11554" max="11554" width="10.140625" style="1" customWidth="1"/>
    <col min="11555" max="11556" width="9.5703125" style="1" customWidth="1"/>
    <col min="11557" max="11557" width="9.85546875" style="1" customWidth="1"/>
    <col min="11558" max="11559" width="10.140625" style="1" customWidth="1"/>
    <col min="11560" max="11562" width="9.28515625" style="1" customWidth="1"/>
    <col min="11563" max="11563" width="9.85546875" style="1" customWidth="1"/>
    <col min="11564" max="11565" width="8.5703125" style="1" customWidth="1"/>
    <col min="11566" max="11568" width="8.85546875" style="1" customWidth="1"/>
    <col min="11569" max="11569" width="9.28515625" style="1" customWidth="1"/>
    <col min="11570" max="11571" width="8.85546875" style="1" customWidth="1"/>
    <col min="11572" max="11572" width="10" style="1" customWidth="1"/>
    <col min="11573" max="11574" width="8.85546875" style="1" customWidth="1"/>
    <col min="11575" max="11575" width="11" style="1" customWidth="1"/>
    <col min="11576" max="11577" width="9.5703125" style="1" customWidth="1"/>
    <col min="11578" max="11580" width="8.85546875" style="1" customWidth="1"/>
    <col min="11581" max="11581" width="10.42578125" style="1" customWidth="1"/>
    <col min="11582" max="11583" width="8.85546875" style="1" customWidth="1"/>
    <col min="11584" max="11584" width="9.7109375" style="1" customWidth="1"/>
    <col min="11585" max="11586" width="8.85546875" style="1" customWidth="1"/>
    <col min="11587" max="11587" width="9.28515625" style="1" customWidth="1"/>
    <col min="11588" max="11608" width="8.85546875" style="1" customWidth="1"/>
    <col min="11609" max="11609" width="9.85546875" style="1" customWidth="1"/>
    <col min="11610" max="11610" width="8.85546875" style="1" customWidth="1"/>
    <col min="11611" max="11611" width="10" style="1" customWidth="1"/>
    <col min="11612" max="11628" width="8.85546875" style="1" customWidth="1"/>
    <col min="11629" max="11629" width="9.42578125" style="1" customWidth="1"/>
    <col min="11630" max="11630" width="8.85546875" style="1" customWidth="1"/>
    <col min="11631" max="11631" width="12" style="1" customWidth="1"/>
    <col min="11632" max="11632" width="11.140625" style="1" customWidth="1"/>
    <col min="11633" max="11633" width="28.7109375" style="1" customWidth="1"/>
    <col min="11634" max="11634" width="5.85546875" style="1" customWidth="1"/>
    <col min="11635" max="11784" width="9.140625" style="1"/>
    <col min="11785" max="11785" width="3.42578125" style="1" customWidth="1"/>
    <col min="11786" max="11786" width="27.85546875" style="1" customWidth="1"/>
    <col min="11787" max="11787" width="11.85546875" style="1" customWidth="1"/>
    <col min="11788" max="11788" width="15.140625" style="1" customWidth="1"/>
    <col min="11789" max="11789" width="10.28515625" style="1" customWidth="1"/>
    <col min="11790" max="11791" width="9.7109375" style="1" customWidth="1"/>
    <col min="11792" max="11792" width="10.42578125" style="1" customWidth="1"/>
    <col min="11793" max="11793" width="10.42578125" style="1" bestFit="1" customWidth="1"/>
    <col min="11794" max="11794" width="16.28515625" style="1" customWidth="1"/>
    <col min="11795" max="11795" width="15.140625" style="1" customWidth="1"/>
    <col min="11796" max="11796" width="13.5703125" style="1" customWidth="1"/>
    <col min="11797" max="11797" width="10.5703125" style="1" customWidth="1"/>
    <col min="11798" max="11798" width="10.85546875" style="1" customWidth="1"/>
    <col min="11799" max="11799" width="18" style="1" customWidth="1"/>
    <col min="11800" max="11800" width="20.85546875" style="1" customWidth="1"/>
    <col min="11801" max="11801" width="13.5703125" style="1" customWidth="1"/>
    <col min="11802" max="11802" width="14.140625" style="1" customWidth="1"/>
    <col min="11803" max="11805" width="8.85546875" style="1" customWidth="1"/>
    <col min="11806" max="11806" width="9.28515625" style="1" customWidth="1"/>
    <col min="11807" max="11807" width="14" style="1" customWidth="1"/>
    <col min="11808" max="11809" width="8.85546875" style="1" customWidth="1"/>
    <col min="11810" max="11810" width="10.140625" style="1" customWidth="1"/>
    <col min="11811" max="11812" width="9.5703125" style="1" customWidth="1"/>
    <col min="11813" max="11813" width="9.85546875" style="1" customWidth="1"/>
    <col min="11814" max="11815" width="10.140625" style="1" customWidth="1"/>
    <col min="11816" max="11818" width="9.28515625" style="1" customWidth="1"/>
    <col min="11819" max="11819" width="9.85546875" style="1" customWidth="1"/>
    <col min="11820" max="11821" width="8.5703125" style="1" customWidth="1"/>
    <col min="11822" max="11824" width="8.85546875" style="1" customWidth="1"/>
    <col min="11825" max="11825" width="9.28515625" style="1" customWidth="1"/>
    <col min="11826" max="11827" width="8.85546875" style="1" customWidth="1"/>
    <col min="11828" max="11828" width="10" style="1" customWidth="1"/>
    <col min="11829" max="11830" width="8.85546875" style="1" customWidth="1"/>
    <col min="11831" max="11831" width="11" style="1" customWidth="1"/>
    <col min="11832" max="11833" width="9.5703125" style="1" customWidth="1"/>
    <col min="11834" max="11836" width="8.85546875" style="1" customWidth="1"/>
    <col min="11837" max="11837" width="10.42578125" style="1" customWidth="1"/>
    <col min="11838" max="11839" width="8.85546875" style="1" customWidth="1"/>
    <col min="11840" max="11840" width="9.7109375" style="1" customWidth="1"/>
    <col min="11841" max="11842" width="8.85546875" style="1" customWidth="1"/>
    <col min="11843" max="11843" width="9.28515625" style="1" customWidth="1"/>
    <col min="11844" max="11864" width="8.85546875" style="1" customWidth="1"/>
    <col min="11865" max="11865" width="9.85546875" style="1" customWidth="1"/>
    <col min="11866" max="11866" width="8.85546875" style="1" customWidth="1"/>
    <col min="11867" max="11867" width="10" style="1" customWidth="1"/>
    <col min="11868" max="11884" width="8.85546875" style="1" customWidth="1"/>
    <col min="11885" max="11885" width="9.42578125" style="1" customWidth="1"/>
    <col min="11886" max="11886" width="8.85546875" style="1" customWidth="1"/>
    <col min="11887" max="11887" width="12" style="1" customWidth="1"/>
    <col min="11888" max="11888" width="11.140625" style="1" customWidth="1"/>
    <col min="11889" max="11889" width="28.7109375" style="1" customWidth="1"/>
    <col min="11890" max="11890" width="5.85546875" style="1" customWidth="1"/>
    <col min="11891" max="12040" width="9.140625" style="1"/>
    <col min="12041" max="12041" width="3.42578125" style="1" customWidth="1"/>
    <col min="12042" max="12042" width="27.85546875" style="1" customWidth="1"/>
    <col min="12043" max="12043" width="11.85546875" style="1" customWidth="1"/>
    <col min="12044" max="12044" width="15.140625" style="1" customWidth="1"/>
    <col min="12045" max="12045" width="10.28515625" style="1" customWidth="1"/>
    <col min="12046" max="12047" width="9.7109375" style="1" customWidth="1"/>
    <col min="12048" max="12048" width="10.42578125" style="1" customWidth="1"/>
    <col min="12049" max="12049" width="10.42578125" style="1" bestFit="1" customWidth="1"/>
    <col min="12050" max="12050" width="16.28515625" style="1" customWidth="1"/>
    <col min="12051" max="12051" width="15.140625" style="1" customWidth="1"/>
    <col min="12052" max="12052" width="13.5703125" style="1" customWidth="1"/>
    <col min="12053" max="12053" width="10.5703125" style="1" customWidth="1"/>
    <col min="12054" max="12054" width="10.85546875" style="1" customWidth="1"/>
    <col min="12055" max="12055" width="18" style="1" customWidth="1"/>
    <col min="12056" max="12056" width="20.85546875" style="1" customWidth="1"/>
    <col min="12057" max="12057" width="13.5703125" style="1" customWidth="1"/>
    <col min="12058" max="12058" width="14.140625" style="1" customWidth="1"/>
    <col min="12059" max="12061" width="8.85546875" style="1" customWidth="1"/>
    <col min="12062" max="12062" width="9.28515625" style="1" customWidth="1"/>
    <col min="12063" max="12063" width="14" style="1" customWidth="1"/>
    <col min="12064" max="12065" width="8.85546875" style="1" customWidth="1"/>
    <col min="12066" max="12066" width="10.140625" style="1" customWidth="1"/>
    <col min="12067" max="12068" width="9.5703125" style="1" customWidth="1"/>
    <col min="12069" max="12069" width="9.85546875" style="1" customWidth="1"/>
    <col min="12070" max="12071" width="10.140625" style="1" customWidth="1"/>
    <col min="12072" max="12074" width="9.28515625" style="1" customWidth="1"/>
    <col min="12075" max="12075" width="9.85546875" style="1" customWidth="1"/>
    <col min="12076" max="12077" width="8.5703125" style="1" customWidth="1"/>
    <col min="12078" max="12080" width="8.85546875" style="1" customWidth="1"/>
    <col min="12081" max="12081" width="9.28515625" style="1" customWidth="1"/>
    <col min="12082" max="12083" width="8.85546875" style="1" customWidth="1"/>
    <col min="12084" max="12084" width="10" style="1" customWidth="1"/>
    <col min="12085" max="12086" width="8.85546875" style="1" customWidth="1"/>
    <col min="12087" max="12087" width="11" style="1" customWidth="1"/>
    <col min="12088" max="12089" width="9.5703125" style="1" customWidth="1"/>
    <col min="12090" max="12092" width="8.85546875" style="1" customWidth="1"/>
    <col min="12093" max="12093" width="10.42578125" style="1" customWidth="1"/>
    <col min="12094" max="12095" width="8.85546875" style="1" customWidth="1"/>
    <col min="12096" max="12096" width="9.7109375" style="1" customWidth="1"/>
    <col min="12097" max="12098" width="8.85546875" style="1" customWidth="1"/>
    <col min="12099" max="12099" width="9.28515625" style="1" customWidth="1"/>
    <col min="12100" max="12120" width="8.85546875" style="1" customWidth="1"/>
    <col min="12121" max="12121" width="9.85546875" style="1" customWidth="1"/>
    <col min="12122" max="12122" width="8.85546875" style="1" customWidth="1"/>
    <col min="12123" max="12123" width="10" style="1" customWidth="1"/>
    <col min="12124" max="12140" width="8.85546875" style="1" customWidth="1"/>
    <col min="12141" max="12141" width="9.42578125" style="1" customWidth="1"/>
    <col min="12142" max="12142" width="8.85546875" style="1" customWidth="1"/>
    <col min="12143" max="12143" width="12" style="1" customWidth="1"/>
    <col min="12144" max="12144" width="11.140625" style="1" customWidth="1"/>
    <col min="12145" max="12145" width="28.7109375" style="1" customWidth="1"/>
    <col min="12146" max="12146" width="5.85546875" style="1" customWidth="1"/>
    <col min="12147" max="12296" width="9.140625" style="1"/>
    <col min="12297" max="12297" width="3.42578125" style="1" customWidth="1"/>
    <col min="12298" max="12298" width="27.85546875" style="1" customWidth="1"/>
    <col min="12299" max="12299" width="11.85546875" style="1" customWidth="1"/>
    <col min="12300" max="12300" width="15.140625" style="1" customWidth="1"/>
    <col min="12301" max="12301" width="10.28515625" style="1" customWidth="1"/>
    <col min="12302" max="12303" width="9.7109375" style="1" customWidth="1"/>
    <col min="12304" max="12304" width="10.42578125" style="1" customWidth="1"/>
    <col min="12305" max="12305" width="10.42578125" style="1" bestFit="1" customWidth="1"/>
    <col min="12306" max="12306" width="16.28515625" style="1" customWidth="1"/>
    <col min="12307" max="12307" width="15.140625" style="1" customWidth="1"/>
    <col min="12308" max="12308" width="13.5703125" style="1" customWidth="1"/>
    <col min="12309" max="12309" width="10.5703125" style="1" customWidth="1"/>
    <col min="12310" max="12310" width="10.85546875" style="1" customWidth="1"/>
    <col min="12311" max="12311" width="18" style="1" customWidth="1"/>
    <col min="12312" max="12312" width="20.85546875" style="1" customWidth="1"/>
    <col min="12313" max="12313" width="13.5703125" style="1" customWidth="1"/>
    <col min="12314" max="12314" width="14.140625" style="1" customWidth="1"/>
    <col min="12315" max="12317" width="8.85546875" style="1" customWidth="1"/>
    <col min="12318" max="12318" width="9.28515625" style="1" customWidth="1"/>
    <col min="12319" max="12319" width="14" style="1" customWidth="1"/>
    <col min="12320" max="12321" width="8.85546875" style="1" customWidth="1"/>
    <col min="12322" max="12322" width="10.140625" style="1" customWidth="1"/>
    <col min="12323" max="12324" width="9.5703125" style="1" customWidth="1"/>
    <col min="12325" max="12325" width="9.85546875" style="1" customWidth="1"/>
    <col min="12326" max="12327" width="10.140625" style="1" customWidth="1"/>
    <col min="12328" max="12330" width="9.28515625" style="1" customWidth="1"/>
    <col min="12331" max="12331" width="9.85546875" style="1" customWidth="1"/>
    <col min="12332" max="12333" width="8.5703125" style="1" customWidth="1"/>
    <col min="12334" max="12336" width="8.85546875" style="1" customWidth="1"/>
    <col min="12337" max="12337" width="9.28515625" style="1" customWidth="1"/>
    <col min="12338" max="12339" width="8.85546875" style="1" customWidth="1"/>
    <col min="12340" max="12340" width="10" style="1" customWidth="1"/>
    <col min="12341" max="12342" width="8.85546875" style="1" customWidth="1"/>
    <col min="12343" max="12343" width="11" style="1" customWidth="1"/>
    <col min="12344" max="12345" width="9.5703125" style="1" customWidth="1"/>
    <col min="12346" max="12348" width="8.85546875" style="1" customWidth="1"/>
    <col min="12349" max="12349" width="10.42578125" style="1" customWidth="1"/>
    <col min="12350" max="12351" width="8.85546875" style="1" customWidth="1"/>
    <col min="12352" max="12352" width="9.7109375" style="1" customWidth="1"/>
    <col min="12353" max="12354" width="8.85546875" style="1" customWidth="1"/>
    <col min="12355" max="12355" width="9.28515625" style="1" customWidth="1"/>
    <col min="12356" max="12376" width="8.85546875" style="1" customWidth="1"/>
    <col min="12377" max="12377" width="9.85546875" style="1" customWidth="1"/>
    <col min="12378" max="12378" width="8.85546875" style="1" customWidth="1"/>
    <col min="12379" max="12379" width="10" style="1" customWidth="1"/>
    <col min="12380" max="12396" width="8.85546875" style="1" customWidth="1"/>
    <col min="12397" max="12397" width="9.42578125" style="1" customWidth="1"/>
    <col min="12398" max="12398" width="8.85546875" style="1" customWidth="1"/>
    <col min="12399" max="12399" width="12" style="1" customWidth="1"/>
    <col min="12400" max="12400" width="11.140625" style="1" customWidth="1"/>
    <col min="12401" max="12401" width="28.7109375" style="1" customWidth="1"/>
    <col min="12402" max="12402" width="5.85546875" style="1" customWidth="1"/>
    <col min="12403" max="12552" width="9.140625" style="1"/>
    <col min="12553" max="12553" width="3.42578125" style="1" customWidth="1"/>
    <col min="12554" max="12554" width="27.85546875" style="1" customWidth="1"/>
    <col min="12555" max="12555" width="11.85546875" style="1" customWidth="1"/>
    <col min="12556" max="12556" width="15.140625" style="1" customWidth="1"/>
    <col min="12557" max="12557" width="10.28515625" style="1" customWidth="1"/>
    <col min="12558" max="12559" width="9.7109375" style="1" customWidth="1"/>
    <col min="12560" max="12560" width="10.42578125" style="1" customWidth="1"/>
    <col min="12561" max="12561" width="10.42578125" style="1" bestFit="1" customWidth="1"/>
    <col min="12562" max="12562" width="16.28515625" style="1" customWidth="1"/>
    <col min="12563" max="12563" width="15.140625" style="1" customWidth="1"/>
    <col min="12564" max="12564" width="13.5703125" style="1" customWidth="1"/>
    <col min="12565" max="12565" width="10.5703125" style="1" customWidth="1"/>
    <col min="12566" max="12566" width="10.85546875" style="1" customWidth="1"/>
    <col min="12567" max="12567" width="18" style="1" customWidth="1"/>
    <col min="12568" max="12568" width="20.85546875" style="1" customWidth="1"/>
    <col min="12569" max="12569" width="13.5703125" style="1" customWidth="1"/>
    <col min="12570" max="12570" width="14.140625" style="1" customWidth="1"/>
    <col min="12571" max="12573" width="8.85546875" style="1" customWidth="1"/>
    <col min="12574" max="12574" width="9.28515625" style="1" customWidth="1"/>
    <col min="12575" max="12575" width="14" style="1" customWidth="1"/>
    <col min="12576" max="12577" width="8.85546875" style="1" customWidth="1"/>
    <col min="12578" max="12578" width="10.140625" style="1" customWidth="1"/>
    <col min="12579" max="12580" width="9.5703125" style="1" customWidth="1"/>
    <col min="12581" max="12581" width="9.85546875" style="1" customWidth="1"/>
    <col min="12582" max="12583" width="10.140625" style="1" customWidth="1"/>
    <col min="12584" max="12586" width="9.28515625" style="1" customWidth="1"/>
    <col min="12587" max="12587" width="9.85546875" style="1" customWidth="1"/>
    <col min="12588" max="12589" width="8.5703125" style="1" customWidth="1"/>
    <col min="12590" max="12592" width="8.85546875" style="1" customWidth="1"/>
    <col min="12593" max="12593" width="9.28515625" style="1" customWidth="1"/>
    <col min="12594" max="12595" width="8.85546875" style="1" customWidth="1"/>
    <col min="12596" max="12596" width="10" style="1" customWidth="1"/>
    <col min="12597" max="12598" width="8.85546875" style="1" customWidth="1"/>
    <col min="12599" max="12599" width="11" style="1" customWidth="1"/>
    <col min="12600" max="12601" width="9.5703125" style="1" customWidth="1"/>
    <col min="12602" max="12604" width="8.85546875" style="1" customWidth="1"/>
    <col min="12605" max="12605" width="10.42578125" style="1" customWidth="1"/>
    <col min="12606" max="12607" width="8.85546875" style="1" customWidth="1"/>
    <col min="12608" max="12608" width="9.7109375" style="1" customWidth="1"/>
    <col min="12609" max="12610" width="8.85546875" style="1" customWidth="1"/>
    <col min="12611" max="12611" width="9.28515625" style="1" customWidth="1"/>
    <col min="12612" max="12632" width="8.85546875" style="1" customWidth="1"/>
    <col min="12633" max="12633" width="9.85546875" style="1" customWidth="1"/>
    <col min="12634" max="12634" width="8.85546875" style="1" customWidth="1"/>
    <col min="12635" max="12635" width="10" style="1" customWidth="1"/>
    <col min="12636" max="12652" width="8.85546875" style="1" customWidth="1"/>
    <col min="12653" max="12653" width="9.42578125" style="1" customWidth="1"/>
    <col min="12654" max="12654" width="8.85546875" style="1" customWidth="1"/>
    <col min="12655" max="12655" width="12" style="1" customWidth="1"/>
    <col min="12656" max="12656" width="11.140625" style="1" customWidth="1"/>
    <col min="12657" max="12657" width="28.7109375" style="1" customWidth="1"/>
    <col min="12658" max="12658" width="5.85546875" style="1" customWidth="1"/>
    <col min="12659" max="12808" width="9.140625" style="1"/>
    <col min="12809" max="12809" width="3.42578125" style="1" customWidth="1"/>
    <col min="12810" max="12810" width="27.85546875" style="1" customWidth="1"/>
    <col min="12811" max="12811" width="11.85546875" style="1" customWidth="1"/>
    <col min="12812" max="12812" width="15.140625" style="1" customWidth="1"/>
    <col min="12813" max="12813" width="10.28515625" style="1" customWidth="1"/>
    <col min="12814" max="12815" width="9.7109375" style="1" customWidth="1"/>
    <col min="12816" max="12816" width="10.42578125" style="1" customWidth="1"/>
    <col min="12817" max="12817" width="10.42578125" style="1" bestFit="1" customWidth="1"/>
    <col min="12818" max="12818" width="16.28515625" style="1" customWidth="1"/>
    <col min="12819" max="12819" width="15.140625" style="1" customWidth="1"/>
    <col min="12820" max="12820" width="13.5703125" style="1" customWidth="1"/>
    <col min="12821" max="12821" width="10.5703125" style="1" customWidth="1"/>
    <col min="12822" max="12822" width="10.85546875" style="1" customWidth="1"/>
    <col min="12823" max="12823" width="18" style="1" customWidth="1"/>
    <col min="12824" max="12824" width="20.85546875" style="1" customWidth="1"/>
    <col min="12825" max="12825" width="13.5703125" style="1" customWidth="1"/>
    <col min="12826" max="12826" width="14.140625" style="1" customWidth="1"/>
    <col min="12827" max="12829" width="8.85546875" style="1" customWidth="1"/>
    <col min="12830" max="12830" width="9.28515625" style="1" customWidth="1"/>
    <col min="12831" max="12831" width="14" style="1" customWidth="1"/>
    <col min="12832" max="12833" width="8.85546875" style="1" customWidth="1"/>
    <col min="12834" max="12834" width="10.140625" style="1" customWidth="1"/>
    <col min="12835" max="12836" width="9.5703125" style="1" customWidth="1"/>
    <col min="12837" max="12837" width="9.85546875" style="1" customWidth="1"/>
    <col min="12838" max="12839" width="10.140625" style="1" customWidth="1"/>
    <col min="12840" max="12842" width="9.28515625" style="1" customWidth="1"/>
    <col min="12843" max="12843" width="9.85546875" style="1" customWidth="1"/>
    <col min="12844" max="12845" width="8.5703125" style="1" customWidth="1"/>
    <col min="12846" max="12848" width="8.85546875" style="1" customWidth="1"/>
    <col min="12849" max="12849" width="9.28515625" style="1" customWidth="1"/>
    <col min="12850" max="12851" width="8.85546875" style="1" customWidth="1"/>
    <col min="12852" max="12852" width="10" style="1" customWidth="1"/>
    <col min="12853" max="12854" width="8.85546875" style="1" customWidth="1"/>
    <col min="12855" max="12855" width="11" style="1" customWidth="1"/>
    <col min="12856" max="12857" width="9.5703125" style="1" customWidth="1"/>
    <col min="12858" max="12860" width="8.85546875" style="1" customWidth="1"/>
    <col min="12861" max="12861" width="10.42578125" style="1" customWidth="1"/>
    <col min="12862" max="12863" width="8.85546875" style="1" customWidth="1"/>
    <col min="12864" max="12864" width="9.7109375" style="1" customWidth="1"/>
    <col min="12865" max="12866" width="8.85546875" style="1" customWidth="1"/>
    <col min="12867" max="12867" width="9.28515625" style="1" customWidth="1"/>
    <col min="12868" max="12888" width="8.85546875" style="1" customWidth="1"/>
    <col min="12889" max="12889" width="9.85546875" style="1" customWidth="1"/>
    <col min="12890" max="12890" width="8.85546875" style="1" customWidth="1"/>
    <col min="12891" max="12891" width="10" style="1" customWidth="1"/>
    <col min="12892" max="12908" width="8.85546875" style="1" customWidth="1"/>
    <col min="12909" max="12909" width="9.42578125" style="1" customWidth="1"/>
    <col min="12910" max="12910" width="8.85546875" style="1" customWidth="1"/>
    <col min="12911" max="12911" width="12" style="1" customWidth="1"/>
    <col min="12912" max="12912" width="11.140625" style="1" customWidth="1"/>
    <col min="12913" max="12913" width="28.7109375" style="1" customWidth="1"/>
    <col min="12914" max="12914" width="5.85546875" style="1" customWidth="1"/>
    <col min="12915" max="13064" width="9.140625" style="1"/>
    <col min="13065" max="13065" width="3.42578125" style="1" customWidth="1"/>
    <col min="13066" max="13066" width="27.85546875" style="1" customWidth="1"/>
    <col min="13067" max="13067" width="11.85546875" style="1" customWidth="1"/>
    <col min="13068" max="13068" width="15.140625" style="1" customWidth="1"/>
    <col min="13069" max="13069" width="10.28515625" style="1" customWidth="1"/>
    <col min="13070" max="13071" width="9.7109375" style="1" customWidth="1"/>
    <col min="13072" max="13072" width="10.42578125" style="1" customWidth="1"/>
    <col min="13073" max="13073" width="10.42578125" style="1" bestFit="1" customWidth="1"/>
    <col min="13074" max="13074" width="16.28515625" style="1" customWidth="1"/>
    <col min="13075" max="13075" width="15.140625" style="1" customWidth="1"/>
    <col min="13076" max="13076" width="13.5703125" style="1" customWidth="1"/>
    <col min="13077" max="13077" width="10.5703125" style="1" customWidth="1"/>
    <col min="13078" max="13078" width="10.85546875" style="1" customWidth="1"/>
    <col min="13079" max="13079" width="18" style="1" customWidth="1"/>
    <col min="13080" max="13080" width="20.85546875" style="1" customWidth="1"/>
    <col min="13081" max="13081" width="13.5703125" style="1" customWidth="1"/>
    <col min="13082" max="13082" width="14.140625" style="1" customWidth="1"/>
    <col min="13083" max="13085" width="8.85546875" style="1" customWidth="1"/>
    <col min="13086" max="13086" width="9.28515625" style="1" customWidth="1"/>
    <col min="13087" max="13087" width="14" style="1" customWidth="1"/>
    <col min="13088" max="13089" width="8.85546875" style="1" customWidth="1"/>
    <col min="13090" max="13090" width="10.140625" style="1" customWidth="1"/>
    <col min="13091" max="13092" width="9.5703125" style="1" customWidth="1"/>
    <col min="13093" max="13093" width="9.85546875" style="1" customWidth="1"/>
    <col min="13094" max="13095" width="10.140625" style="1" customWidth="1"/>
    <col min="13096" max="13098" width="9.28515625" style="1" customWidth="1"/>
    <col min="13099" max="13099" width="9.85546875" style="1" customWidth="1"/>
    <col min="13100" max="13101" width="8.5703125" style="1" customWidth="1"/>
    <col min="13102" max="13104" width="8.85546875" style="1" customWidth="1"/>
    <col min="13105" max="13105" width="9.28515625" style="1" customWidth="1"/>
    <col min="13106" max="13107" width="8.85546875" style="1" customWidth="1"/>
    <col min="13108" max="13108" width="10" style="1" customWidth="1"/>
    <col min="13109" max="13110" width="8.85546875" style="1" customWidth="1"/>
    <col min="13111" max="13111" width="11" style="1" customWidth="1"/>
    <col min="13112" max="13113" width="9.5703125" style="1" customWidth="1"/>
    <col min="13114" max="13116" width="8.85546875" style="1" customWidth="1"/>
    <col min="13117" max="13117" width="10.42578125" style="1" customWidth="1"/>
    <col min="13118" max="13119" width="8.85546875" style="1" customWidth="1"/>
    <col min="13120" max="13120" width="9.7109375" style="1" customWidth="1"/>
    <col min="13121" max="13122" width="8.85546875" style="1" customWidth="1"/>
    <col min="13123" max="13123" width="9.28515625" style="1" customWidth="1"/>
    <col min="13124" max="13144" width="8.85546875" style="1" customWidth="1"/>
    <col min="13145" max="13145" width="9.85546875" style="1" customWidth="1"/>
    <col min="13146" max="13146" width="8.85546875" style="1" customWidth="1"/>
    <col min="13147" max="13147" width="10" style="1" customWidth="1"/>
    <col min="13148" max="13164" width="8.85546875" style="1" customWidth="1"/>
    <col min="13165" max="13165" width="9.42578125" style="1" customWidth="1"/>
    <col min="13166" max="13166" width="8.85546875" style="1" customWidth="1"/>
    <col min="13167" max="13167" width="12" style="1" customWidth="1"/>
    <col min="13168" max="13168" width="11.140625" style="1" customWidth="1"/>
    <col min="13169" max="13169" width="28.7109375" style="1" customWidth="1"/>
    <col min="13170" max="13170" width="5.85546875" style="1" customWidth="1"/>
    <col min="13171" max="13320" width="9.140625" style="1"/>
    <col min="13321" max="13321" width="3.42578125" style="1" customWidth="1"/>
    <col min="13322" max="13322" width="27.85546875" style="1" customWidth="1"/>
    <col min="13323" max="13323" width="11.85546875" style="1" customWidth="1"/>
    <col min="13324" max="13324" width="15.140625" style="1" customWidth="1"/>
    <col min="13325" max="13325" width="10.28515625" style="1" customWidth="1"/>
    <col min="13326" max="13327" width="9.7109375" style="1" customWidth="1"/>
    <col min="13328" max="13328" width="10.42578125" style="1" customWidth="1"/>
    <col min="13329" max="13329" width="10.42578125" style="1" bestFit="1" customWidth="1"/>
    <col min="13330" max="13330" width="16.28515625" style="1" customWidth="1"/>
    <col min="13331" max="13331" width="15.140625" style="1" customWidth="1"/>
    <col min="13332" max="13332" width="13.5703125" style="1" customWidth="1"/>
    <col min="13333" max="13333" width="10.5703125" style="1" customWidth="1"/>
    <col min="13334" max="13334" width="10.85546875" style="1" customWidth="1"/>
    <col min="13335" max="13335" width="18" style="1" customWidth="1"/>
    <col min="13336" max="13336" width="20.85546875" style="1" customWidth="1"/>
    <col min="13337" max="13337" width="13.5703125" style="1" customWidth="1"/>
    <col min="13338" max="13338" width="14.140625" style="1" customWidth="1"/>
    <col min="13339" max="13341" width="8.85546875" style="1" customWidth="1"/>
    <col min="13342" max="13342" width="9.28515625" style="1" customWidth="1"/>
    <col min="13343" max="13343" width="14" style="1" customWidth="1"/>
    <col min="13344" max="13345" width="8.85546875" style="1" customWidth="1"/>
    <col min="13346" max="13346" width="10.140625" style="1" customWidth="1"/>
    <col min="13347" max="13348" width="9.5703125" style="1" customWidth="1"/>
    <col min="13349" max="13349" width="9.85546875" style="1" customWidth="1"/>
    <col min="13350" max="13351" width="10.140625" style="1" customWidth="1"/>
    <col min="13352" max="13354" width="9.28515625" style="1" customWidth="1"/>
    <col min="13355" max="13355" width="9.85546875" style="1" customWidth="1"/>
    <col min="13356" max="13357" width="8.5703125" style="1" customWidth="1"/>
    <col min="13358" max="13360" width="8.85546875" style="1" customWidth="1"/>
    <col min="13361" max="13361" width="9.28515625" style="1" customWidth="1"/>
    <col min="13362" max="13363" width="8.85546875" style="1" customWidth="1"/>
    <col min="13364" max="13364" width="10" style="1" customWidth="1"/>
    <col min="13365" max="13366" width="8.85546875" style="1" customWidth="1"/>
    <col min="13367" max="13367" width="11" style="1" customWidth="1"/>
    <col min="13368" max="13369" width="9.5703125" style="1" customWidth="1"/>
    <col min="13370" max="13372" width="8.85546875" style="1" customWidth="1"/>
    <col min="13373" max="13373" width="10.42578125" style="1" customWidth="1"/>
    <col min="13374" max="13375" width="8.85546875" style="1" customWidth="1"/>
    <col min="13376" max="13376" width="9.7109375" style="1" customWidth="1"/>
    <col min="13377" max="13378" width="8.85546875" style="1" customWidth="1"/>
    <col min="13379" max="13379" width="9.28515625" style="1" customWidth="1"/>
    <col min="13380" max="13400" width="8.85546875" style="1" customWidth="1"/>
    <col min="13401" max="13401" width="9.85546875" style="1" customWidth="1"/>
    <col min="13402" max="13402" width="8.85546875" style="1" customWidth="1"/>
    <col min="13403" max="13403" width="10" style="1" customWidth="1"/>
    <col min="13404" max="13420" width="8.85546875" style="1" customWidth="1"/>
    <col min="13421" max="13421" width="9.42578125" style="1" customWidth="1"/>
    <col min="13422" max="13422" width="8.85546875" style="1" customWidth="1"/>
    <col min="13423" max="13423" width="12" style="1" customWidth="1"/>
    <col min="13424" max="13424" width="11.140625" style="1" customWidth="1"/>
    <col min="13425" max="13425" width="28.7109375" style="1" customWidth="1"/>
    <col min="13426" max="13426" width="5.85546875" style="1" customWidth="1"/>
    <col min="13427" max="13576" width="9.140625" style="1"/>
    <col min="13577" max="13577" width="3.42578125" style="1" customWidth="1"/>
    <col min="13578" max="13578" width="27.85546875" style="1" customWidth="1"/>
    <col min="13579" max="13579" width="11.85546875" style="1" customWidth="1"/>
    <col min="13580" max="13580" width="15.140625" style="1" customWidth="1"/>
    <col min="13581" max="13581" width="10.28515625" style="1" customWidth="1"/>
    <col min="13582" max="13583" width="9.7109375" style="1" customWidth="1"/>
    <col min="13584" max="13584" width="10.42578125" style="1" customWidth="1"/>
    <col min="13585" max="13585" width="10.42578125" style="1" bestFit="1" customWidth="1"/>
    <col min="13586" max="13586" width="16.28515625" style="1" customWidth="1"/>
    <col min="13587" max="13587" width="15.140625" style="1" customWidth="1"/>
    <col min="13588" max="13588" width="13.5703125" style="1" customWidth="1"/>
    <col min="13589" max="13589" width="10.5703125" style="1" customWidth="1"/>
    <col min="13590" max="13590" width="10.85546875" style="1" customWidth="1"/>
    <col min="13591" max="13591" width="18" style="1" customWidth="1"/>
    <col min="13592" max="13592" width="20.85546875" style="1" customWidth="1"/>
    <col min="13593" max="13593" width="13.5703125" style="1" customWidth="1"/>
    <col min="13594" max="13594" width="14.140625" style="1" customWidth="1"/>
    <col min="13595" max="13597" width="8.85546875" style="1" customWidth="1"/>
    <col min="13598" max="13598" width="9.28515625" style="1" customWidth="1"/>
    <col min="13599" max="13599" width="14" style="1" customWidth="1"/>
    <col min="13600" max="13601" width="8.85546875" style="1" customWidth="1"/>
    <col min="13602" max="13602" width="10.140625" style="1" customWidth="1"/>
    <col min="13603" max="13604" width="9.5703125" style="1" customWidth="1"/>
    <col min="13605" max="13605" width="9.85546875" style="1" customWidth="1"/>
    <col min="13606" max="13607" width="10.140625" style="1" customWidth="1"/>
    <col min="13608" max="13610" width="9.28515625" style="1" customWidth="1"/>
    <col min="13611" max="13611" width="9.85546875" style="1" customWidth="1"/>
    <col min="13612" max="13613" width="8.5703125" style="1" customWidth="1"/>
    <col min="13614" max="13616" width="8.85546875" style="1" customWidth="1"/>
    <col min="13617" max="13617" width="9.28515625" style="1" customWidth="1"/>
    <col min="13618" max="13619" width="8.85546875" style="1" customWidth="1"/>
    <col min="13620" max="13620" width="10" style="1" customWidth="1"/>
    <col min="13621" max="13622" width="8.85546875" style="1" customWidth="1"/>
    <col min="13623" max="13623" width="11" style="1" customWidth="1"/>
    <col min="13624" max="13625" width="9.5703125" style="1" customWidth="1"/>
    <col min="13626" max="13628" width="8.85546875" style="1" customWidth="1"/>
    <col min="13629" max="13629" width="10.42578125" style="1" customWidth="1"/>
    <col min="13630" max="13631" width="8.85546875" style="1" customWidth="1"/>
    <col min="13632" max="13632" width="9.7109375" style="1" customWidth="1"/>
    <col min="13633" max="13634" width="8.85546875" style="1" customWidth="1"/>
    <col min="13635" max="13635" width="9.28515625" style="1" customWidth="1"/>
    <col min="13636" max="13656" width="8.85546875" style="1" customWidth="1"/>
    <col min="13657" max="13657" width="9.85546875" style="1" customWidth="1"/>
    <col min="13658" max="13658" width="8.85546875" style="1" customWidth="1"/>
    <col min="13659" max="13659" width="10" style="1" customWidth="1"/>
    <col min="13660" max="13676" width="8.85546875" style="1" customWidth="1"/>
    <col min="13677" max="13677" width="9.42578125" style="1" customWidth="1"/>
    <col min="13678" max="13678" width="8.85546875" style="1" customWidth="1"/>
    <col min="13679" max="13679" width="12" style="1" customWidth="1"/>
    <col min="13680" max="13680" width="11.140625" style="1" customWidth="1"/>
    <col min="13681" max="13681" width="28.7109375" style="1" customWidth="1"/>
    <col min="13682" max="13682" width="5.85546875" style="1" customWidth="1"/>
    <col min="13683" max="13832" width="9.140625" style="1"/>
    <col min="13833" max="13833" width="3.42578125" style="1" customWidth="1"/>
    <col min="13834" max="13834" width="27.85546875" style="1" customWidth="1"/>
    <col min="13835" max="13835" width="11.85546875" style="1" customWidth="1"/>
    <col min="13836" max="13836" width="15.140625" style="1" customWidth="1"/>
    <col min="13837" max="13837" width="10.28515625" style="1" customWidth="1"/>
    <col min="13838" max="13839" width="9.7109375" style="1" customWidth="1"/>
    <col min="13840" max="13840" width="10.42578125" style="1" customWidth="1"/>
    <col min="13841" max="13841" width="10.42578125" style="1" bestFit="1" customWidth="1"/>
    <col min="13842" max="13842" width="16.28515625" style="1" customWidth="1"/>
    <col min="13843" max="13843" width="15.140625" style="1" customWidth="1"/>
    <col min="13844" max="13844" width="13.5703125" style="1" customWidth="1"/>
    <col min="13845" max="13845" width="10.5703125" style="1" customWidth="1"/>
    <col min="13846" max="13846" width="10.85546875" style="1" customWidth="1"/>
    <col min="13847" max="13847" width="18" style="1" customWidth="1"/>
    <col min="13848" max="13848" width="20.85546875" style="1" customWidth="1"/>
    <col min="13849" max="13849" width="13.5703125" style="1" customWidth="1"/>
    <col min="13850" max="13850" width="14.140625" style="1" customWidth="1"/>
    <col min="13851" max="13853" width="8.85546875" style="1" customWidth="1"/>
    <col min="13854" max="13854" width="9.28515625" style="1" customWidth="1"/>
    <col min="13855" max="13855" width="14" style="1" customWidth="1"/>
    <col min="13856" max="13857" width="8.85546875" style="1" customWidth="1"/>
    <col min="13858" max="13858" width="10.140625" style="1" customWidth="1"/>
    <col min="13859" max="13860" width="9.5703125" style="1" customWidth="1"/>
    <col min="13861" max="13861" width="9.85546875" style="1" customWidth="1"/>
    <col min="13862" max="13863" width="10.140625" style="1" customWidth="1"/>
    <col min="13864" max="13866" width="9.28515625" style="1" customWidth="1"/>
    <col min="13867" max="13867" width="9.85546875" style="1" customWidth="1"/>
    <col min="13868" max="13869" width="8.5703125" style="1" customWidth="1"/>
    <col min="13870" max="13872" width="8.85546875" style="1" customWidth="1"/>
    <col min="13873" max="13873" width="9.28515625" style="1" customWidth="1"/>
    <col min="13874" max="13875" width="8.85546875" style="1" customWidth="1"/>
    <col min="13876" max="13876" width="10" style="1" customWidth="1"/>
    <col min="13877" max="13878" width="8.85546875" style="1" customWidth="1"/>
    <col min="13879" max="13879" width="11" style="1" customWidth="1"/>
    <col min="13880" max="13881" width="9.5703125" style="1" customWidth="1"/>
    <col min="13882" max="13884" width="8.85546875" style="1" customWidth="1"/>
    <col min="13885" max="13885" width="10.42578125" style="1" customWidth="1"/>
    <col min="13886" max="13887" width="8.85546875" style="1" customWidth="1"/>
    <col min="13888" max="13888" width="9.7109375" style="1" customWidth="1"/>
    <col min="13889" max="13890" width="8.85546875" style="1" customWidth="1"/>
    <col min="13891" max="13891" width="9.28515625" style="1" customWidth="1"/>
    <col min="13892" max="13912" width="8.85546875" style="1" customWidth="1"/>
    <col min="13913" max="13913" width="9.85546875" style="1" customWidth="1"/>
    <col min="13914" max="13914" width="8.85546875" style="1" customWidth="1"/>
    <col min="13915" max="13915" width="10" style="1" customWidth="1"/>
    <col min="13916" max="13932" width="8.85546875" style="1" customWidth="1"/>
    <col min="13933" max="13933" width="9.42578125" style="1" customWidth="1"/>
    <col min="13934" max="13934" width="8.85546875" style="1" customWidth="1"/>
    <col min="13935" max="13935" width="12" style="1" customWidth="1"/>
    <col min="13936" max="13936" width="11.140625" style="1" customWidth="1"/>
    <col min="13937" max="13937" width="28.7109375" style="1" customWidth="1"/>
    <col min="13938" max="13938" width="5.85546875" style="1" customWidth="1"/>
    <col min="13939" max="14088" width="9.140625" style="1"/>
    <col min="14089" max="14089" width="3.42578125" style="1" customWidth="1"/>
    <col min="14090" max="14090" width="27.85546875" style="1" customWidth="1"/>
    <col min="14091" max="14091" width="11.85546875" style="1" customWidth="1"/>
    <col min="14092" max="14092" width="15.140625" style="1" customWidth="1"/>
    <col min="14093" max="14093" width="10.28515625" style="1" customWidth="1"/>
    <col min="14094" max="14095" width="9.7109375" style="1" customWidth="1"/>
    <col min="14096" max="14096" width="10.42578125" style="1" customWidth="1"/>
    <col min="14097" max="14097" width="10.42578125" style="1" bestFit="1" customWidth="1"/>
    <col min="14098" max="14098" width="16.28515625" style="1" customWidth="1"/>
    <col min="14099" max="14099" width="15.140625" style="1" customWidth="1"/>
    <col min="14100" max="14100" width="13.5703125" style="1" customWidth="1"/>
    <col min="14101" max="14101" width="10.5703125" style="1" customWidth="1"/>
    <col min="14102" max="14102" width="10.85546875" style="1" customWidth="1"/>
    <col min="14103" max="14103" width="18" style="1" customWidth="1"/>
    <col min="14104" max="14104" width="20.85546875" style="1" customWidth="1"/>
    <col min="14105" max="14105" width="13.5703125" style="1" customWidth="1"/>
    <col min="14106" max="14106" width="14.140625" style="1" customWidth="1"/>
    <col min="14107" max="14109" width="8.85546875" style="1" customWidth="1"/>
    <col min="14110" max="14110" width="9.28515625" style="1" customWidth="1"/>
    <col min="14111" max="14111" width="14" style="1" customWidth="1"/>
    <col min="14112" max="14113" width="8.85546875" style="1" customWidth="1"/>
    <col min="14114" max="14114" width="10.140625" style="1" customWidth="1"/>
    <col min="14115" max="14116" width="9.5703125" style="1" customWidth="1"/>
    <col min="14117" max="14117" width="9.85546875" style="1" customWidth="1"/>
    <col min="14118" max="14119" width="10.140625" style="1" customWidth="1"/>
    <col min="14120" max="14122" width="9.28515625" style="1" customWidth="1"/>
    <col min="14123" max="14123" width="9.85546875" style="1" customWidth="1"/>
    <col min="14124" max="14125" width="8.5703125" style="1" customWidth="1"/>
    <col min="14126" max="14128" width="8.85546875" style="1" customWidth="1"/>
    <col min="14129" max="14129" width="9.28515625" style="1" customWidth="1"/>
    <col min="14130" max="14131" width="8.85546875" style="1" customWidth="1"/>
    <col min="14132" max="14132" width="10" style="1" customWidth="1"/>
    <col min="14133" max="14134" width="8.85546875" style="1" customWidth="1"/>
    <col min="14135" max="14135" width="11" style="1" customWidth="1"/>
    <col min="14136" max="14137" width="9.5703125" style="1" customWidth="1"/>
    <col min="14138" max="14140" width="8.85546875" style="1" customWidth="1"/>
    <col min="14141" max="14141" width="10.42578125" style="1" customWidth="1"/>
    <col min="14142" max="14143" width="8.85546875" style="1" customWidth="1"/>
    <col min="14144" max="14144" width="9.7109375" style="1" customWidth="1"/>
    <col min="14145" max="14146" width="8.85546875" style="1" customWidth="1"/>
    <col min="14147" max="14147" width="9.28515625" style="1" customWidth="1"/>
    <col min="14148" max="14168" width="8.85546875" style="1" customWidth="1"/>
    <col min="14169" max="14169" width="9.85546875" style="1" customWidth="1"/>
    <col min="14170" max="14170" width="8.85546875" style="1" customWidth="1"/>
    <col min="14171" max="14171" width="10" style="1" customWidth="1"/>
    <col min="14172" max="14188" width="8.85546875" style="1" customWidth="1"/>
    <col min="14189" max="14189" width="9.42578125" style="1" customWidth="1"/>
    <col min="14190" max="14190" width="8.85546875" style="1" customWidth="1"/>
    <col min="14191" max="14191" width="12" style="1" customWidth="1"/>
    <col min="14192" max="14192" width="11.140625" style="1" customWidth="1"/>
    <col min="14193" max="14193" width="28.7109375" style="1" customWidth="1"/>
    <col min="14194" max="14194" width="5.85546875" style="1" customWidth="1"/>
    <col min="14195" max="14344" width="9.140625" style="1"/>
    <col min="14345" max="14345" width="3.42578125" style="1" customWidth="1"/>
    <col min="14346" max="14346" width="27.85546875" style="1" customWidth="1"/>
    <col min="14347" max="14347" width="11.85546875" style="1" customWidth="1"/>
    <col min="14348" max="14348" width="15.140625" style="1" customWidth="1"/>
    <col min="14349" max="14349" width="10.28515625" style="1" customWidth="1"/>
    <col min="14350" max="14351" width="9.7109375" style="1" customWidth="1"/>
    <col min="14352" max="14352" width="10.42578125" style="1" customWidth="1"/>
    <col min="14353" max="14353" width="10.42578125" style="1" bestFit="1" customWidth="1"/>
    <col min="14354" max="14354" width="16.28515625" style="1" customWidth="1"/>
    <col min="14355" max="14355" width="15.140625" style="1" customWidth="1"/>
    <col min="14356" max="14356" width="13.5703125" style="1" customWidth="1"/>
    <col min="14357" max="14357" width="10.5703125" style="1" customWidth="1"/>
    <col min="14358" max="14358" width="10.85546875" style="1" customWidth="1"/>
    <col min="14359" max="14359" width="18" style="1" customWidth="1"/>
    <col min="14360" max="14360" width="20.85546875" style="1" customWidth="1"/>
    <col min="14361" max="14361" width="13.5703125" style="1" customWidth="1"/>
    <col min="14362" max="14362" width="14.140625" style="1" customWidth="1"/>
    <col min="14363" max="14365" width="8.85546875" style="1" customWidth="1"/>
    <col min="14366" max="14366" width="9.28515625" style="1" customWidth="1"/>
    <col min="14367" max="14367" width="14" style="1" customWidth="1"/>
    <col min="14368" max="14369" width="8.85546875" style="1" customWidth="1"/>
    <col min="14370" max="14370" width="10.140625" style="1" customWidth="1"/>
    <col min="14371" max="14372" width="9.5703125" style="1" customWidth="1"/>
    <col min="14373" max="14373" width="9.85546875" style="1" customWidth="1"/>
    <col min="14374" max="14375" width="10.140625" style="1" customWidth="1"/>
    <col min="14376" max="14378" width="9.28515625" style="1" customWidth="1"/>
    <col min="14379" max="14379" width="9.85546875" style="1" customWidth="1"/>
    <col min="14380" max="14381" width="8.5703125" style="1" customWidth="1"/>
    <col min="14382" max="14384" width="8.85546875" style="1" customWidth="1"/>
    <col min="14385" max="14385" width="9.28515625" style="1" customWidth="1"/>
    <col min="14386" max="14387" width="8.85546875" style="1" customWidth="1"/>
    <col min="14388" max="14388" width="10" style="1" customWidth="1"/>
    <col min="14389" max="14390" width="8.85546875" style="1" customWidth="1"/>
    <col min="14391" max="14391" width="11" style="1" customWidth="1"/>
    <col min="14392" max="14393" width="9.5703125" style="1" customWidth="1"/>
    <col min="14394" max="14396" width="8.85546875" style="1" customWidth="1"/>
    <col min="14397" max="14397" width="10.42578125" style="1" customWidth="1"/>
    <col min="14398" max="14399" width="8.85546875" style="1" customWidth="1"/>
    <col min="14400" max="14400" width="9.7109375" style="1" customWidth="1"/>
    <col min="14401" max="14402" width="8.85546875" style="1" customWidth="1"/>
    <col min="14403" max="14403" width="9.28515625" style="1" customWidth="1"/>
    <col min="14404" max="14424" width="8.85546875" style="1" customWidth="1"/>
    <col min="14425" max="14425" width="9.85546875" style="1" customWidth="1"/>
    <col min="14426" max="14426" width="8.85546875" style="1" customWidth="1"/>
    <col min="14427" max="14427" width="10" style="1" customWidth="1"/>
    <col min="14428" max="14444" width="8.85546875" style="1" customWidth="1"/>
    <col min="14445" max="14445" width="9.42578125" style="1" customWidth="1"/>
    <col min="14446" max="14446" width="8.85546875" style="1" customWidth="1"/>
    <col min="14447" max="14447" width="12" style="1" customWidth="1"/>
    <col min="14448" max="14448" width="11.140625" style="1" customWidth="1"/>
    <col min="14449" max="14449" width="28.7109375" style="1" customWidth="1"/>
    <col min="14450" max="14450" width="5.85546875" style="1" customWidth="1"/>
    <col min="14451" max="14600" width="9.140625" style="1"/>
    <col min="14601" max="14601" width="3.42578125" style="1" customWidth="1"/>
    <col min="14602" max="14602" width="27.85546875" style="1" customWidth="1"/>
    <col min="14603" max="14603" width="11.85546875" style="1" customWidth="1"/>
    <col min="14604" max="14604" width="15.140625" style="1" customWidth="1"/>
    <col min="14605" max="14605" width="10.28515625" style="1" customWidth="1"/>
    <col min="14606" max="14607" width="9.7109375" style="1" customWidth="1"/>
    <col min="14608" max="14608" width="10.42578125" style="1" customWidth="1"/>
    <col min="14609" max="14609" width="10.42578125" style="1" bestFit="1" customWidth="1"/>
    <col min="14610" max="14610" width="16.28515625" style="1" customWidth="1"/>
    <col min="14611" max="14611" width="15.140625" style="1" customWidth="1"/>
    <col min="14612" max="14612" width="13.5703125" style="1" customWidth="1"/>
    <col min="14613" max="14613" width="10.5703125" style="1" customWidth="1"/>
    <col min="14614" max="14614" width="10.85546875" style="1" customWidth="1"/>
    <col min="14615" max="14615" width="18" style="1" customWidth="1"/>
    <col min="14616" max="14616" width="20.85546875" style="1" customWidth="1"/>
    <col min="14617" max="14617" width="13.5703125" style="1" customWidth="1"/>
    <col min="14618" max="14618" width="14.140625" style="1" customWidth="1"/>
    <col min="14619" max="14621" width="8.85546875" style="1" customWidth="1"/>
    <col min="14622" max="14622" width="9.28515625" style="1" customWidth="1"/>
    <col min="14623" max="14623" width="14" style="1" customWidth="1"/>
    <col min="14624" max="14625" width="8.85546875" style="1" customWidth="1"/>
    <col min="14626" max="14626" width="10.140625" style="1" customWidth="1"/>
    <col min="14627" max="14628" width="9.5703125" style="1" customWidth="1"/>
    <col min="14629" max="14629" width="9.85546875" style="1" customWidth="1"/>
    <col min="14630" max="14631" width="10.140625" style="1" customWidth="1"/>
    <col min="14632" max="14634" width="9.28515625" style="1" customWidth="1"/>
    <col min="14635" max="14635" width="9.85546875" style="1" customWidth="1"/>
    <col min="14636" max="14637" width="8.5703125" style="1" customWidth="1"/>
    <col min="14638" max="14640" width="8.85546875" style="1" customWidth="1"/>
    <col min="14641" max="14641" width="9.28515625" style="1" customWidth="1"/>
    <col min="14642" max="14643" width="8.85546875" style="1" customWidth="1"/>
    <col min="14644" max="14644" width="10" style="1" customWidth="1"/>
    <col min="14645" max="14646" width="8.85546875" style="1" customWidth="1"/>
    <col min="14647" max="14647" width="11" style="1" customWidth="1"/>
    <col min="14648" max="14649" width="9.5703125" style="1" customWidth="1"/>
    <col min="14650" max="14652" width="8.85546875" style="1" customWidth="1"/>
    <col min="14653" max="14653" width="10.42578125" style="1" customWidth="1"/>
    <col min="14654" max="14655" width="8.85546875" style="1" customWidth="1"/>
    <col min="14656" max="14656" width="9.7109375" style="1" customWidth="1"/>
    <col min="14657" max="14658" width="8.85546875" style="1" customWidth="1"/>
    <col min="14659" max="14659" width="9.28515625" style="1" customWidth="1"/>
    <col min="14660" max="14680" width="8.85546875" style="1" customWidth="1"/>
    <col min="14681" max="14681" width="9.85546875" style="1" customWidth="1"/>
    <col min="14682" max="14682" width="8.85546875" style="1" customWidth="1"/>
    <col min="14683" max="14683" width="10" style="1" customWidth="1"/>
    <col min="14684" max="14700" width="8.85546875" style="1" customWidth="1"/>
    <col min="14701" max="14701" width="9.42578125" style="1" customWidth="1"/>
    <col min="14702" max="14702" width="8.85546875" style="1" customWidth="1"/>
    <col min="14703" max="14703" width="12" style="1" customWidth="1"/>
    <col min="14704" max="14704" width="11.140625" style="1" customWidth="1"/>
    <col min="14705" max="14705" width="28.7109375" style="1" customWidth="1"/>
    <col min="14706" max="14706" width="5.85546875" style="1" customWidth="1"/>
    <col min="14707" max="14856" width="9.140625" style="1"/>
    <col min="14857" max="14857" width="3.42578125" style="1" customWidth="1"/>
    <col min="14858" max="14858" width="27.85546875" style="1" customWidth="1"/>
    <col min="14859" max="14859" width="11.85546875" style="1" customWidth="1"/>
    <col min="14860" max="14860" width="15.140625" style="1" customWidth="1"/>
    <col min="14861" max="14861" width="10.28515625" style="1" customWidth="1"/>
    <col min="14862" max="14863" width="9.7109375" style="1" customWidth="1"/>
    <col min="14864" max="14864" width="10.42578125" style="1" customWidth="1"/>
    <col min="14865" max="14865" width="10.42578125" style="1" bestFit="1" customWidth="1"/>
    <col min="14866" max="14866" width="16.28515625" style="1" customWidth="1"/>
    <col min="14867" max="14867" width="15.140625" style="1" customWidth="1"/>
    <col min="14868" max="14868" width="13.5703125" style="1" customWidth="1"/>
    <col min="14869" max="14869" width="10.5703125" style="1" customWidth="1"/>
    <col min="14870" max="14870" width="10.85546875" style="1" customWidth="1"/>
    <col min="14871" max="14871" width="18" style="1" customWidth="1"/>
    <col min="14872" max="14872" width="20.85546875" style="1" customWidth="1"/>
    <col min="14873" max="14873" width="13.5703125" style="1" customWidth="1"/>
    <col min="14874" max="14874" width="14.140625" style="1" customWidth="1"/>
    <col min="14875" max="14877" width="8.85546875" style="1" customWidth="1"/>
    <col min="14878" max="14878" width="9.28515625" style="1" customWidth="1"/>
    <col min="14879" max="14879" width="14" style="1" customWidth="1"/>
    <col min="14880" max="14881" width="8.85546875" style="1" customWidth="1"/>
    <col min="14882" max="14882" width="10.140625" style="1" customWidth="1"/>
    <col min="14883" max="14884" width="9.5703125" style="1" customWidth="1"/>
    <col min="14885" max="14885" width="9.85546875" style="1" customWidth="1"/>
    <col min="14886" max="14887" width="10.140625" style="1" customWidth="1"/>
    <col min="14888" max="14890" width="9.28515625" style="1" customWidth="1"/>
    <col min="14891" max="14891" width="9.85546875" style="1" customWidth="1"/>
    <col min="14892" max="14893" width="8.5703125" style="1" customWidth="1"/>
    <col min="14894" max="14896" width="8.85546875" style="1" customWidth="1"/>
    <col min="14897" max="14897" width="9.28515625" style="1" customWidth="1"/>
    <col min="14898" max="14899" width="8.85546875" style="1" customWidth="1"/>
    <col min="14900" max="14900" width="10" style="1" customWidth="1"/>
    <col min="14901" max="14902" width="8.85546875" style="1" customWidth="1"/>
    <col min="14903" max="14903" width="11" style="1" customWidth="1"/>
    <col min="14904" max="14905" width="9.5703125" style="1" customWidth="1"/>
    <col min="14906" max="14908" width="8.85546875" style="1" customWidth="1"/>
    <col min="14909" max="14909" width="10.42578125" style="1" customWidth="1"/>
    <col min="14910" max="14911" width="8.85546875" style="1" customWidth="1"/>
    <col min="14912" max="14912" width="9.7109375" style="1" customWidth="1"/>
    <col min="14913" max="14914" width="8.85546875" style="1" customWidth="1"/>
    <col min="14915" max="14915" width="9.28515625" style="1" customWidth="1"/>
    <col min="14916" max="14936" width="8.85546875" style="1" customWidth="1"/>
    <col min="14937" max="14937" width="9.85546875" style="1" customWidth="1"/>
    <col min="14938" max="14938" width="8.85546875" style="1" customWidth="1"/>
    <col min="14939" max="14939" width="10" style="1" customWidth="1"/>
    <col min="14940" max="14956" width="8.85546875" style="1" customWidth="1"/>
    <col min="14957" max="14957" width="9.42578125" style="1" customWidth="1"/>
    <col min="14958" max="14958" width="8.85546875" style="1" customWidth="1"/>
    <col min="14959" max="14959" width="12" style="1" customWidth="1"/>
    <col min="14960" max="14960" width="11.140625" style="1" customWidth="1"/>
    <col min="14961" max="14961" width="28.7109375" style="1" customWidth="1"/>
    <col min="14962" max="14962" width="5.85546875" style="1" customWidth="1"/>
    <col min="14963" max="15112" width="9.140625" style="1"/>
    <col min="15113" max="15113" width="3.42578125" style="1" customWidth="1"/>
    <col min="15114" max="15114" width="27.85546875" style="1" customWidth="1"/>
    <col min="15115" max="15115" width="11.85546875" style="1" customWidth="1"/>
    <col min="15116" max="15116" width="15.140625" style="1" customWidth="1"/>
    <col min="15117" max="15117" width="10.28515625" style="1" customWidth="1"/>
    <col min="15118" max="15119" width="9.7109375" style="1" customWidth="1"/>
    <col min="15120" max="15120" width="10.42578125" style="1" customWidth="1"/>
    <col min="15121" max="15121" width="10.42578125" style="1" bestFit="1" customWidth="1"/>
    <col min="15122" max="15122" width="16.28515625" style="1" customWidth="1"/>
    <col min="15123" max="15123" width="15.140625" style="1" customWidth="1"/>
    <col min="15124" max="15124" width="13.5703125" style="1" customWidth="1"/>
    <col min="15125" max="15125" width="10.5703125" style="1" customWidth="1"/>
    <col min="15126" max="15126" width="10.85546875" style="1" customWidth="1"/>
    <col min="15127" max="15127" width="18" style="1" customWidth="1"/>
    <col min="15128" max="15128" width="20.85546875" style="1" customWidth="1"/>
    <col min="15129" max="15129" width="13.5703125" style="1" customWidth="1"/>
    <col min="15130" max="15130" width="14.140625" style="1" customWidth="1"/>
    <col min="15131" max="15133" width="8.85546875" style="1" customWidth="1"/>
    <col min="15134" max="15134" width="9.28515625" style="1" customWidth="1"/>
    <col min="15135" max="15135" width="14" style="1" customWidth="1"/>
    <col min="15136" max="15137" width="8.85546875" style="1" customWidth="1"/>
    <col min="15138" max="15138" width="10.140625" style="1" customWidth="1"/>
    <col min="15139" max="15140" width="9.5703125" style="1" customWidth="1"/>
    <col min="15141" max="15141" width="9.85546875" style="1" customWidth="1"/>
    <col min="15142" max="15143" width="10.140625" style="1" customWidth="1"/>
    <col min="15144" max="15146" width="9.28515625" style="1" customWidth="1"/>
    <col min="15147" max="15147" width="9.85546875" style="1" customWidth="1"/>
    <col min="15148" max="15149" width="8.5703125" style="1" customWidth="1"/>
    <col min="15150" max="15152" width="8.85546875" style="1" customWidth="1"/>
    <col min="15153" max="15153" width="9.28515625" style="1" customWidth="1"/>
    <col min="15154" max="15155" width="8.85546875" style="1" customWidth="1"/>
    <col min="15156" max="15156" width="10" style="1" customWidth="1"/>
    <col min="15157" max="15158" width="8.85546875" style="1" customWidth="1"/>
    <col min="15159" max="15159" width="11" style="1" customWidth="1"/>
    <col min="15160" max="15161" width="9.5703125" style="1" customWidth="1"/>
    <col min="15162" max="15164" width="8.85546875" style="1" customWidth="1"/>
    <col min="15165" max="15165" width="10.42578125" style="1" customWidth="1"/>
    <col min="15166" max="15167" width="8.85546875" style="1" customWidth="1"/>
    <col min="15168" max="15168" width="9.7109375" style="1" customWidth="1"/>
    <col min="15169" max="15170" width="8.85546875" style="1" customWidth="1"/>
    <col min="15171" max="15171" width="9.28515625" style="1" customWidth="1"/>
    <col min="15172" max="15192" width="8.85546875" style="1" customWidth="1"/>
    <col min="15193" max="15193" width="9.85546875" style="1" customWidth="1"/>
    <col min="15194" max="15194" width="8.85546875" style="1" customWidth="1"/>
    <col min="15195" max="15195" width="10" style="1" customWidth="1"/>
    <col min="15196" max="15212" width="8.85546875" style="1" customWidth="1"/>
    <col min="15213" max="15213" width="9.42578125" style="1" customWidth="1"/>
    <col min="15214" max="15214" width="8.85546875" style="1" customWidth="1"/>
    <col min="15215" max="15215" width="12" style="1" customWidth="1"/>
    <col min="15216" max="15216" width="11.140625" style="1" customWidth="1"/>
    <col min="15217" max="15217" width="28.7109375" style="1" customWidth="1"/>
    <col min="15218" max="15218" width="5.85546875" style="1" customWidth="1"/>
    <col min="15219" max="15368" width="9.140625" style="1"/>
    <col min="15369" max="15369" width="3.42578125" style="1" customWidth="1"/>
    <col min="15370" max="15370" width="27.85546875" style="1" customWidth="1"/>
    <col min="15371" max="15371" width="11.85546875" style="1" customWidth="1"/>
    <col min="15372" max="15372" width="15.140625" style="1" customWidth="1"/>
    <col min="15373" max="15373" width="10.28515625" style="1" customWidth="1"/>
    <col min="15374" max="15375" width="9.7109375" style="1" customWidth="1"/>
    <col min="15376" max="15376" width="10.42578125" style="1" customWidth="1"/>
    <col min="15377" max="15377" width="10.42578125" style="1" bestFit="1" customWidth="1"/>
    <col min="15378" max="15378" width="16.28515625" style="1" customWidth="1"/>
    <col min="15379" max="15379" width="15.140625" style="1" customWidth="1"/>
    <col min="15380" max="15380" width="13.5703125" style="1" customWidth="1"/>
    <col min="15381" max="15381" width="10.5703125" style="1" customWidth="1"/>
    <col min="15382" max="15382" width="10.85546875" style="1" customWidth="1"/>
    <col min="15383" max="15383" width="18" style="1" customWidth="1"/>
    <col min="15384" max="15384" width="20.85546875" style="1" customWidth="1"/>
    <col min="15385" max="15385" width="13.5703125" style="1" customWidth="1"/>
    <col min="15386" max="15386" width="14.140625" style="1" customWidth="1"/>
    <col min="15387" max="15389" width="8.85546875" style="1" customWidth="1"/>
    <col min="15390" max="15390" width="9.28515625" style="1" customWidth="1"/>
    <col min="15391" max="15391" width="14" style="1" customWidth="1"/>
    <col min="15392" max="15393" width="8.85546875" style="1" customWidth="1"/>
    <col min="15394" max="15394" width="10.140625" style="1" customWidth="1"/>
    <col min="15395" max="15396" width="9.5703125" style="1" customWidth="1"/>
    <col min="15397" max="15397" width="9.85546875" style="1" customWidth="1"/>
    <col min="15398" max="15399" width="10.140625" style="1" customWidth="1"/>
    <col min="15400" max="15402" width="9.28515625" style="1" customWidth="1"/>
    <col min="15403" max="15403" width="9.85546875" style="1" customWidth="1"/>
    <col min="15404" max="15405" width="8.5703125" style="1" customWidth="1"/>
    <col min="15406" max="15408" width="8.85546875" style="1" customWidth="1"/>
    <col min="15409" max="15409" width="9.28515625" style="1" customWidth="1"/>
    <col min="15410" max="15411" width="8.85546875" style="1" customWidth="1"/>
    <col min="15412" max="15412" width="10" style="1" customWidth="1"/>
    <col min="15413" max="15414" width="8.85546875" style="1" customWidth="1"/>
    <col min="15415" max="15415" width="11" style="1" customWidth="1"/>
    <col min="15416" max="15417" width="9.5703125" style="1" customWidth="1"/>
    <col min="15418" max="15420" width="8.85546875" style="1" customWidth="1"/>
    <col min="15421" max="15421" width="10.42578125" style="1" customWidth="1"/>
    <col min="15422" max="15423" width="8.85546875" style="1" customWidth="1"/>
    <col min="15424" max="15424" width="9.7109375" style="1" customWidth="1"/>
    <col min="15425" max="15426" width="8.85546875" style="1" customWidth="1"/>
    <col min="15427" max="15427" width="9.28515625" style="1" customWidth="1"/>
    <col min="15428" max="15448" width="8.85546875" style="1" customWidth="1"/>
    <col min="15449" max="15449" width="9.85546875" style="1" customWidth="1"/>
    <col min="15450" max="15450" width="8.85546875" style="1" customWidth="1"/>
    <col min="15451" max="15451" width="10" style="1" customWidth="1"/>
    <col min="15452" max="15468" width="8.85546875" style="1" customWidth="1"/>
    <col min="15469" max="15469" width="9.42578125" style="1" customWidth="1"/>
    <col min="15470" max="15470" width="8.85546875" style="1" customWidth="1"/>
    <col min="15471" max="15471" width="12" style="1" customWidth="1"/>
    <col min="15472" max="15472" width="11.140625" style="1" customWidth="1"/>
    <col min="15473" max="15473" width="28.7109375" style="1" customWidth="1"/>
    <col min="15474" max="15474" width="5.85546875" style="1" customWidth="1"/>
    <col min="15475" max="15624" width="9.140625" style="1"/>
    <col min="15625" max="15625" width="3.42578125" style="1" customWidth="1"/>
    <col min="15626" max="15626" width="27.85546875" style="1" customWidth="1"/>
    <col min="15627" max="15627" width="11.85546875" style="1" customWidth="1"/>
    <col min="15628" max="15628" width="15.140625" style="1" customWidth="1"/>
    <col min="15629" max="15629" width="10.28515625" style="1" customWidth="1"/>
    <col min="15630" max="15631" width="9.7109375" style="1" customWidth="1"/>
    <col min="15632" max="15632" width="10.42578125" style="1" customWidth="1"/>
    <col min="15633" max="15633" width="10.42578125" style="1" bestFit="1" customWidth="1"/>
    <col min="15634" max="15634" width="16.28515625" style="1" customWidth="1"/>
    <col min="15635" max="15635" width="15.140625" style="1" customWidth="1"/>
    <col min="15636" max="15636" width="13.5703125" style="1" customWidth="1"/>
    <col min="15637" max="15637" width="10.5703125" style="1" customWidth="1"/>
    <col min="15638" max="15638" width="10.85546875" style="1" customWidth="1"/>
    <col min="15639" max="15639" width="18" style="1" customWidth="1"/>
    <col min="15640" max="15640" width="20.85546875" style="1" customWidth="1"/>
    <col min="15641" max="15641" width="13.5703125" style="1" customWidth="1"/>
    <col min="15642" max="15642" width="14.140625" style="1" customWidth="1"/>
    <col min="15643" max="15645" width="8.85546875" style="1" customWidth="1"/>
    <col min="15646" max="15646" width="9.28515625" style="1" customWidth="1"/>
    <col min="15647" max="15647" width="14" style="1" customWidth="1"/>
    <col min="15648" max="15649" width="8.85546875" style="1" customWidth="1"/>
    <col min="15650" max="15650" width="10.140625" style="1" customWidth="1"/>
    <col min="15651" max="15652" width="9.5703125" style="1" customWidth="1"/>
    <col min="15653" max="15653" width="9.85546875" style="1" customWidth="1"/>
    <col min="15654" max="15655" width="10.140625" style="1" customWidth="1"/>
    <col min="15656" max="15658" width="9.28515625" style="1" customWidth="1"/>
    <col min="15659" max="15659" width="9.85546875" style="1" customWidth="1"/>
    <col min="15660" max="15661" width="8.5703125" style="1" customWidth="1"/>
    <col min="15662" max="15664" width="8.85546875" style="1" customWidth="1"/>
    <col min="15665" max="15665" width="9.28515625" style="1" customWidth="1"/>
    <col min="15666" max="15667" width="8.85546875" style="1" customWidth="1"/>
    <col min="15668" max="15668" width="10" style="1" customWidth="1"/>
    <col min="15669" max="15670" width="8.85546875" style="1" customWidth="1"/>
    <col min="15671" max="15671" width="11" style="1" customWidth="1"/>
    <col min="15672" max="15673" width="9.5703125" style="1" customWidth="1"/>
    <col min="15674" max="15676" width="8.85546875" style="1" customWidth="1"/>
    <col min="15677" max="15677" width="10.42578125" style="1" customWidth="1"/>
    <col min="15678" max="15679" width="8.85546875" style="1" customWidth="1"/>
    <col min="15680" max="15680" width="9.7109375" style="1" customWidth="1"/>
    <col min="15681" max="15682" width="8.85546875" style="1" customWidth="1"/>
    <col min="15683" max="15683" width="9.28515625" style="1" customWidth="1"/>
    <col min="15684" max="15704" width="8.85546875" style="1" customWidth="1"/>
    <col min="15705" max="15705" width="9.85546875" style="1" customWidth="1"/>
    <col min="15706" max="15706" width="8.85546875" style="1" customWidth="1"/>
    <col min="15707" max="15707" width="10" style="1" customWidth="1"/>
    <col min="15708" max="15724" width="8.85546875" style="1" customWidth="1"/>
    <col min="15725" max="15725" width="9.42578125" style="1" customWidth="1"/>
    <col min="15726" max="15726" width="8.85546875" style="1" customWidth="1"/>
    <col min="15727" max="15727" width="12" style="1" customWidth="1"/>
    <col min="15728" max="15728" width="11.140625" style="1" customWidth="1"/>
    <col min="15729" max="15729" width="28.7109375" style="1" customWidth="1"/>
    <col min="15730" max="15730" width="5.85546875" style="1" customWidth="1"/>
    <col min="15731" max="15880" width="9.140625" style="1"/>
    <col min="15881" max="15881" width="3.42578125" style="1" customWidth="1"/>
    <col min="15882" max="15882" width="27.85546875" style="1" customWidth="1"/>
    <col min="15883" max="15883" width="11.85546875" style="1" customWidth="1"/>
    <col min="15884" max="15884" width="15.140625" style="1" customWidth="1"/>
    <col min="15885" max="15885" width="10.28515625" style="1" customWidth="1"/>
    <col min="15886" max="15887" width="9.7109375" style="1" customWidth="1"/>
    <col min="15888" max="15888" width="10.42578125" style="1" customWidth="1"/>
    <col min="15889" max="15889" width="10.42578125" style="1" bestFit="1" customWidth="1"/>
    <col min="15890" max="15890" width="16.28515625" style="1" customWidth="1"/>
    <col min="15891" max="15891" width="15.140625" style="1" customWidth="1"/>
    <col min="15892" max="15892" width="13.5703125" style="1" customWidth="1"/>
    <col min="15893" max="15893" width="10.5703125" style="1" customWidth="1"/>
    <col min="15894" max="15894" width="10.85546875" style="1" customWidth="1"/>
    <col min="15895" max="15895" width="18" style="1" customWidth="1"/>
    <col min="15896" max="15896" width="20.85546875" style="1" customWidth="1"/>
    <col min="15897" max="15897" width="13.5703125" style="1" customWidth="1"/>
    <col min="15898" max="15898" width="14.140625" style="1" customWidth="1"/>
    <col min="15899" max="15901" width="8.85546875" style="1" customWidth="1"/>
    <col min="15902" max="15902" width="9.28515625" style="1" customWidth="1"/>
    <col min="15903" max="15903" width="14" style="1" customWidth="1"/>
    <col min="15904" max="15905" width="8.85546875" style="1" customWidth="1"/>
    <col min="15906" max="15906" width="10.140625" style="1" customWidth="1"/>
    <col min="15907" max="15908" width="9.5703125" style="1" customWidth="1"/>
    <col min="15909" max="15909" width="9.85546875" style="1" customWidth="1"/>
    <col min="15910" max="15911" width="10.140625" style="1" customWidth="1"/>
    <col min="15912" max="15914" width="9.28515625" style="1" customWidth="1"/>
    <col min="15915" max="15915" width="9.85546875" style="1" customWidth="1"/>
    <col min="15916" max="15917" width="8.5703125" style="1" customWidth="1"/>
    <col min="15918" max="15920" width="8.85546875" style="1" customWidth="1"/>
    <col min="15921" max="15921" width="9.28515625" style="1" customWidth="1"/>
    <col min="15922" max="15923" width="8.85546875" style="1" customWidth="1"/>
    <col min="15924" max="15924" width="10" style="1" customWidth="1"/>
    <col min="15925" max="15926" width="8.85546875" style="1" customWidth="1"/>
    <col min="15927" max="15927" width="11" style="1" customWidth="1"/>
    <col min="15928" max="15929" width="9.5703125" style="1" customWidth="1"/>
    <col min="15930" max="15932" width="8.85546875" style="1" customWidth="1"/>
    <col min="15933" max="15933" width="10.42578125" style="1" customWidth="1"/>
    <col min="15934" max="15935" width="8.85546875" style="1" customWidth="1"/>
    <col min="15936" max="15936" width="9.7109375" style="1" customWidth="1"/>
    <col min="15937" max="15938" width="8.85546875" style="1" customWidth="1"/>
    <col min="15939" max="15939" width="9.28515625" style="1" customWidth="1"/>
    <col min="15940" max="15960" width="8.85546875" style="1" customWidth="1"/>
    <col min="15961" max="15961" width="9.85546875" style="1" customWidth="1"/>
    <col min="15962" max="15962" width="8.85546875" style="1" customWidth="1"/>
    <col min="15963" max="15963" width="10" style="1" customWidth="1"/>
    <col min="15964" max="15980" width="8.85546875" style="1" customWidth="1"/>
    <col min="15981" max="15981" width="9.42578125" style="1" customWidth="1"/>
    <col min="15982" max="15982" width="8.85546875" style="1" customWidth="1"/>
    <col min="15983" max="15983" width="12" style="1" customWidth="1"/>
    <col min="15984" max="15984" width="11.140625" style="1" customWidth="1"/>
    <col min="15985" max="15985" width="28.7109375" style="1" customWidth="1"/>
    <col min="15986" max="15986" width="5.85546875" style="1" customWidth="1"/>
    <col min="15987" max="16136" width="9.140625" style="1"/>
    <col min="16137" max="16137" width="3.42578125" style="1" customWidth="1"/>
    <col min="16138" max="16138" width="27.85546875" style="1" customWidth="1"/>
    <col min="16139" max="16139" width="11.85546875" style="1" customWidth="1"/>
    <col min="16140" max="16140" width="15.140625" style="1" customWidth="1"/>
    <col min="16141" max="16141" width="10.28515625" style="1" customWidth="1"/>
    <col min="16142" max="16143" width="9.7109375" style="1" customWidth="1"/>
    <col min="16144" max="16144" width="10.42578125" style="1" customWidth="1"/>
    <col min="16145" max="16145" width="10.42578125" style="1" bestFit="1" customWidth="1"/>
    <col min="16146" max="16146" width="16.28515625" style="1" customWidth="1"/>
    <col min="16147" max="16147" width="15.140625" style="1" customWidth="1"/>
    <col min="16148" max="16148" width="13.5703125" style="1" customWidth="1"/>
    <col min="16149" max="16149" width="10.5703125" style="1" customWidth="1"/>
    <col min="16150" max="16150" width="10.85546875" style="1" customWidth="1"/>
    <col min="16151" max="16151" width="18" style="1" customWidth="1"/>
    <col min="16152" max="16152" width="20.85546875" style="1" customWidth="1"/>
    <col min="16153" max="16153" width="13.5703125" style="1" customWidth="1"/>
    <col min="16154" max="16154" width="14.140625" style="1" customWidth="1"/>
    <col min="16155" max="16157" width="8.85546875" style="1" customWidth="1"/>
    <col min="16158" max="16158" width="9.28515625" style="1" customWidth="1"/>
    <col min="16159" max="16159" width="14" style="1" customWidth="1"/>
    <col min="16160" max="16161" width="8.85546875" style="1" customWidth="1"/>
    <col min="16162" max="16162" width="10.140625" style="1" customWidth="1"/>
    <col min="16163" max="16164" width="9.5703125" style="1" customWidth="1"/>
    <col min="16165" max="16165" width="9.85546875" style="1" customWidth="1"/>
    <col min="16166" max="16167" width="10.140625" style="1" customWidth="1"/>
    <col min="16168" max="16170" width="9.28515625" style="1" customWidth="1"/>
    <col min="16171" max="16171" width="9.85546875" style="1" customWidth="1"/>
    <col min="16172" max="16173" width="8.5703125" style="1" customWidth="1"/>
    <col min="16174" max="16176" width="8.85546875" style="1" customWidth="1"/>
    <col min="16177" max="16177" width="9.28515625" style="1" customWidth="1"/>
    <col min="16178" max="16179" width="8.85546875" style="1" customWidth="1"/>
    <col min="16180" max="16180" width="10" style="1" customWidth="1"/>
    <col min="16181" max="16182" width="8.85546875" style="1" customWidth="1"/>
    <col min="16183" max="16183" width="11" style="1" customWidth="1"/>
    <col min="16184" max="16185" width="9.5703125" style="1" customWidth="1"/>
    <col min="16186" max="16188" width="8.85546875" style="1" customWidth="1"/>
    <col min="16189" max="16189" width="10.42578125" style="1" customWidth="1"/>
    <col min="16190" max="16191" width="8.85546875" style="1" customWidth="1"/>
    <col min="16192" max="16192" width="9.7109375" style="1" customWidth="1"/>
    <col min="16193" max="16194" width="8.85546875" style="1" customWidth="1"/>
    <col min="16195" max="16195" width="9.28515625" style="1" customWidth="1"/>
    <col min="16196" max="16216" width="8.85546875" style="1" customWidth="1"/>
    <col min="16217" max="16217" width="9.85546875" style="1" customWidth="1"/>
    <col min="16218" max="16218" width="8.85546875" style="1" customWidth="1"/>
    <col min="16219" max="16219" width="10" style="1" customWidth="1"/>
    <col min="16220" max="16236" width="8.85546875" style="1" customWidth="1"/>
    <col min="16237" max="16237" width="9.42578125" style="1" customWidth="1"/>
    <col min="16238" max="16238" width="8.85546875" style="1" customWidth="1"/>
    <col min="16239" max="16239" width="12" style="1" customWidth="1"/>
    <col min="16240" max="16240" width="11.140625" style="1" customWidth="1"/>
    <col min="16241" max="16241" width="28.7109375" style="1" customWidth="1"/>
    <col min="16242" max="16242" width="5.85546875" style="1" customWidth="1"/>
    <col min="16243" max="16384" width="9.140625" style="1"/>
  </cols>
  <sheetData>
    <row r="1" spans="1:114">
      <c r="W1" s="869"/>
      <c r="X1" s="869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8"/>
      <c r="AJ1" s="240"/>
      <c r="AK1" s="846"/>
      <c r="AL1" s="847"/>
      <c r="AM1" s="847"/>
      <c r="AN1" s="847"/>
      <c r="AO1" s="847"/>
      <c r="AP1" s="847"/>
      <c r="AQ1" s="847"/>
      <c r="AR1" s="847"/>
      <c r="AS1" s="847"/>
      <c r="AT1" s="847"/>
      <c r="AU1" s="847"/>
      <c r="AV1" s="847"/>
      <c r="AW1" s="847"/>
      <c r="AX1" s="847"/>
      <c r="AY1" s="847"/>
      <c r="AZ1" s="847"/>
      <c r="BA1" s="847"/>
      <c r="BB1" s="847"/>
      <c r="BC1" s="847"/>
      <c r="BD1" s="847"/>
      <c r="BE1" s="847"/>
      <c r="BF1" s="847"/>
      <c r="BG1" s="847"/>
      <c r="BH1" s="847"/>
      <c r="BI1" s="847"/>
      <c r="BJ1" s="847"/>
      <c r="BK1" s="847"/>
      <c r="BL1" s="847"/>
      <c r="BM1" s="847"/>
      <c r="BN1" s="847"/>
      <c r="BO1" s="847"/>
      <c r="BP1" s="847"/>
      <c r="BQ1" s="847"/>
      <c r="BR1" s="847"/>
      <c r="BS1" s="847"/>
      <c r="BT1" s="847"/>
      <c r="BU1" s="847"/>
      <c r="BV1" s="847"/>
      <c r="BW1" s="847"/>
      <c r="BX1" s="847"/>
      <c r="BY1" s="847"/>
      <c r="BZ1" s="847"/>
      <c r="CA1" s="847"/>
      <c r="CB1" s="847"/>
      <c r="CC1" s="847"/>
      <c r="CD1" s="847"/>
      <c r="CE1" s="847"/>
      <c r="CF1" s="847"/>
      <c r="CG1" s="847"/>
      <c r="CH1" s="847"/>
      <c r="CI1" s="847"/>
      <c r="CJ1" s="847"/>
      <c r="CK1" s="847"/>
      <c r="CL1" s="847"/>
      <c r="CM1" s="847"/>
      <c r="CN1" s="847"/>
      <c r="CO1" s="847"/>
      <c r="CP1" s="847"/>
      <c r="CQ1" s="847"/>
      <c r="CR1" s="847"/>
      <c r="CS1" s="847"/>
      <c r="CT1" s="847"/>
      <c r="CU1" s="847"/>
      <c r="CV1" s="847"/>
      <c r="CW1" s="847"/>
      <c r="CX1" s="847"/>
      <c r="CY1" s="847"/>
      <c r="CZ1" s="847"/>
      <c r="DA1" s="847"/>
      <c r="DB1" s="847"/>
      <c r="DC1" s="847"/>
      <c r="DD1" s="847"/>
      <c r="DE1" s="847"/>
      <c r="DF1" s="847"/>
      <c r="DG1" s="847"/>
      <c r="DH1" s="847"/>
      <c r="DI1" s="847"/>
      <c r="DJ1" s="847"/>
    </row>
    <row r="2" spans="1:114" ht="18.75"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AK2" s="847"/>
      <c r="AL2" s="847"/>
      <c r="AM2" s="847"/>
      <c r="AN2" s="847"/>
      <c r="AO2" s="847"/>
      <c r="AP2" s="847"/>
      <c r="AQ2" s="847"/>
      <c r="AR2" s="847"/>
      <c r="AS2" s="847"/>
      <c r="AT2" s="847"/>
      <c r="AU2" s="847"/>
      <c r="AV2" s="847"/>
      <c r="AW2" s="847"/>
      <c r="AX2" s="847"/>
      <c r="AY2" s="847"/>
      <c r="AZ2" s="847"/>
      <c r="BA2" s="847"/>
      <c r="BB2" s="847"/>
      <c r="BC2" s="847"/>
      <c r="BD2" s="847"/>
      <c r="BE2" s="847"/>
      <c r="BF2" s="847"/>
      <c r="BG2" s="847"/>
      <c r="BH2" s="847"/>
      <c r="BI2" s="847"/>
      <c r="BJ2" s="847"/>
      <c r="BK2" s="847"/>
      <c r="BL2" s="847"/>
      <c r="BM2" s="847"/>
      <c r="BN2" s="847"/>
      <c r="BO2" s="847"/>
      <c r="BP2" s="847"/>
      <c r="BQ2" s="847"/>
      <c r="BR2" s="847"/>
      <c r="BS2" s="847"/>
      <c r="BT2" s="847"/>
      <c r="BU2" s="847"/>
      <c r="BV2" s="847"/>
      <c r="BW2" s="847"/>
      <c r="BX2" s="847"/>
      <c r="BY2" s="847"/>
      <c r="BZ2" s="847"/>
      <c r="CA2" s="847"/>
      <c r="CB2" s="847"/>
      <c r="CC2" s="847"/>
      <c r="CD2" s="847"/>
      <c r="CE2" s="847"/>
      <c r="CF2" s="847"/>
      <c r="CG2" s="847"/>
      <c r="CH2" s="847"/>
      <c r="CI2" s="847"/>
      <c r="CJ2" s="847"/>
      <c r="CK2" s="847"/>
      <c r="CL2" s="847"/>
      <c r="CM2" s="847"/>
      <c r="CN2" s="847"/>
      <c r="CO2" s="847"/>
      <c r="CP2" s="847"/>
      <c r="CQ2" s="847"/>
      <c r="CR2" s="847"/>
      <c r="CS2" s="847"/>
      <c r="CT2" s="847"/>
      <c r="CU2" s="847"/>
      <c r="CV2" s="847"/>
      <c r="CW2" s="847"/>
      <c r="CX2" s="847"/>
      <c r="CY2" s="847"/>
      <c r="CZ2" s="847"/>
      <c r="DA2" s="847"/>
      <c r="DB2" s="847"/>
      <c r="DC2" s="847"/>
      <c r="DD2" s="847"/>
      <c r="DE2" s="847"/>
      <c r="DF2" s="847"/>
      <c r="DG2" s="847"/>
      <c r="DH2" s="847"/>
      <c r="DI2" s="847"/>
      <c r="DJ2" s="847"/>
    </row>
    <row r="3" spans="1:114" ht="19.5" thickBot="1">
      <c r="A3" s="850"/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C3" s="239"/>
      <c r="AD3" s="239"/>
      <c r="AE3" s="239"/>
      <c r="AF3" s="13"/>
      <c r="AG3" s="13"/>
      <c r="AH3" s="13"/>
      <c r="AI3" s="13"/>
      <c r="AJ3" s="13"/>
      <c r="AK3" s="847"/>
      <c r="AL3" s="847"/>
      <c r="AM3" s="847"/>
      <c r="AN3" s="847"/>
      <c r="AO3" s="847"/>
      <c r="AP3" s="847"/>
      <c r="AQ3" s="847"/>
      <c r="AR3" s="847"/>
      <c r="AS3" s="847"/>
      <c r="AT3" s="847"/>
      <c r="AU3" s="847"/>
      <c r="AV3" s="847"/>
      <c r="AW3" s="847"/>
      <c r="AX3" s="847"/>
      <c r="AY3" s="847"/>
      <c r="AZ3" s="847"/>
      <c r="BA3" s="847"/>
      <c r="BB3" s="847"/>
      <c r="BC3" s="847"/>
      <c r="BD3" s="847"/>
      <c r="BE3" s="847"/>
      <c r="BF3" s="847"/>
      <c r="BG3" s="847"/>
      <c r="BH3" s="847"/>
      <c r="BI3" s="847"/>
      <c r="BJ3" s="847"/>
      <c r="BK3" s="847"/>
      <c r="BL3" s="847"/>
      <c r="BM3" s="847"/>
      <c r="BN3" s="847"/>
      <c r="BO3" s="847"/>
      <c r="BP3" s="847"/>
      <c r="BQ3" s="847"/>
      <c r="BR3" s="847"/>
      <c r="BS3" s="847"/>
      <c r="BT3" s="847"/>
      <c r="BU3" s="847"/>
      <c r="BV3" s="847"/>
      <c r="BW3" s="847"/>
      <c r="BX3" s="847"/>
      <c r="BY3" s="847"/>
      <c r="BZ3" s="847"/>
      <c r="CA3" s="847"/>
      <c r="CB3" s="847"/>
      <c r="CC3" s="847"/>
      <c r="CD3" s="847"/>
      <c r="CE3" s="847"/>
      <c r="CF3" s="847"/>
      <c r="CG3" s="847"/>
      <c r="CH3" s="847"/>
      <c r="CI3" s="847"/>
      <c r="CJ3" s="847"/>
      <c r="CK3" s="847"/>
      <c r="CL3" s="847"/>
      <c r="CM3" s="847"/>
      <c r="CN3" s="847"/>
      <c r="CO3" s="847"/>
      <c r="CP3" s="847"/>
      <c r="CQ3" s="847"/>
      <c r="CR3" s="847"/>
      <c r="CS3" s="847"/>
      <c r="CT3" s="847"/>
      <c r="CU3" s="847"/>
      <c r="CV3" s="847"/>
      <c r="CW3" s="847"/>
      <c r="CX3" s="847"/>
      <c r="CY3" s="847"/>
      <c r="CZ3" s="847"/>
      <c r="DA3" s="847"/>
      <c r="DB3" s="847"/>
      <c r="DC3" s="847"/>
      <c r="DD3" s="847"/>
      <c r="DE3" s="847"/>
      <c r="DF3" s="847"/>
      <c r="DG3" s="847"/>
      <c r="DH3" s="847"/>
      <c r="DI3" s="847"/>
      <c r="DJ3" s="847"/>
    </row>
    <row r="4" spans="1:114" ht="28.5" customHeight="1">
      <c r="A4" s="851" t="s">
        <v>23</v>
      </c>
      <c r="B4" s="861" t="s">
        <v>0</v>
      </c>
      <c r="C4" s="861" t="s">
        <v>29</v>
      </c>
      <c r="D4" s="861" t="s">
        <v>30</v>
      </c>
      <c r="E4" s="854" t="s">
        <v>24</v>
      </c>
      <c r="F4" s="854"/>
      <c r="G4" s="854"/>
      <c r="H4" s="854"/>
      <c r="I4" s="854"/>
      <c r="J4" s="854"/>
      <c r="K4" s="854"/>
      <c r="L4" s="854" t="s">
        <v>25</v>
      </c>
      <c r="M4" s="854"/>
      <c r="N4" s="854"/>
      <c r="O4" s="854"/>
      <c r="P4" s="854"/>
      <c r="Q4" s="854"/>
      <c r="R4" s="854"/>
      <c r="S4" s="854"/>
      <c r="T4" s="854"/>
      <c r="U4" s="854"/>
      <c r="V4" s="854"/>
      <c r="W4" s="854" t="s">
        <v>26</v>
      </c>
      <c r="X4" s="855"/>
      <c r="Y4" s="854" t="s">
        <v>27</v>
      </c>
      <c r="Z4" s="855"/>
      <c r="AA4" s="870"/>
      <c r="AB4" s="871"/>
      <c r="AC4" s="873" t="s">
        <v>28</v>
      </c>
      <c r="AD4" s="874"/>
      <c r="AE4" s="875"/>
      <c r="AF4" s="871"/>
      <c r="AG4" s="871"/>
      <c r="AH4" s="876"/>
      <c r="AI4" s="256"/>
      <c r="AJ4" s="866" t="s">
        <v>74</v>
      </c>
      <c r="AK4" s="847"/>
      <c r="AL4" s="847"/>
      <c r="AM4" s="847"/>
      <c r="AN4" s="847"/>
      <c r="AO4" s="847"/>
      <c r="AP4" s="847"/>
      <c r="AQ4" s="847"/>
      <c r="AR4" s="847"/>
      <c r="AS4" s="847"/>
      <c r="AT4" s="847"/>
      <c r="AU4" s="847"/>
      <c r="AV4" s="847"/>
      <c r="AW4" s="847"/>
      <c r="AX4" s="847"/>
      <c r="AY4" s="847"/>
      <c r="AZ4" s="847"/>
      <c r="BA4" s="847"/>
      <c r="BB4" s="847"/>
      <c r="BC4" s="847"/>
      <c r="BD4" s="847"/>
      <c r="BE4" s="847"/>
      <c r="BF4" s="847"/>
      <c r="BG4" s="847"/>
      <c r="BH4" s="847"/>
      <c r="BI4" s="847"/>
      <c r="BJ4" s="847"/>
      <c r="BK4" s="847"/>
      <c r="BL4" s="847"/>
      <c r="BM4" s="847"/>
      <c r="BN4" s="847"/>
      <c r="BO4" s="847"/>
      <c r="BP4" s="847"/>
      <c r="BQ4" s="847"/>
      <c r="BR4" s="847"/>
      <c r="BS4" s="847"/>
      <c r="BT4" s="847"/>
      <c r="BU4" s="847"/>
      <c r="BV4" s="847"/>
      <c r="BW4" s="847"/>
      <c r="BX4" s="847"/>
      <c r="BY4" s="847"/>
      <c r="BZ4" s="847"/>
      <c r="CA4" s="847"/>
      <c r="CB4" s="847"/>
      <c r="CC4" s="847"/>
      <c r="CD4" s="847"/>
      <c r="CE4" s="847"/>
      <c r="CF4" s="847"/>
      <c r="CG4" s="847"/>
      <c r="CH4" s="847"/>
      <c r="CI4" s="847"/>
      <c r="CJ4" s="847"/>
      <c r="CK4" s="847"/>
      <c r="CL4" s="847"/>
      <c r="CM4" s="847"/>
      <c r="CN4" s="847"/>
      <c r="CO4" s="847"/>
      <c r="CP4" s="847"/>
      <c r="CQ4" s="847"/>
      <c r="CR4" s="847"/>
      <c r="CS4" s="847"/>
      <c r="CT4" s="847"/>
      <c r="CU4" s="847"/>
      <c r="CV4" s="847"/>
      <c r="CW4" s="847"/>
      <c r="CX4" s="847"/>
      <c r="CY4" s="847"/>
      <c r="CZ4" s="847"/>
      <c r="DA4" s="847"/>
      <c r="DB4" s="847"/>
      <c r="DC4" s="847"/>
      <c r="DD4" s="847"/>
      <c r="DE4" s="847"/>
      <c r="DF4" s="847"/>
      <c r="DG4" s="847"/>
      <c r="DH4" s="847"/>
      <c r="DI4" s="847"/>
      <c r="DJ4" s="847"/>
    </row>
    <row r="5" spans="1:114" ht="15.75" customHeight="1">
      <c r="A5" s="852"/>
      <c r="B5" s="862"/>
      <c r="C5" s="841"/>
      <c r="D5" s="841"/>
      <c r="E5" s="864"/>
      <c r="F5" s="864"/>
      <c r="G5" s="864"/>
      <c r="H5" s="864"/>
      <c r="I5" s="864"/>
      <c r="J5" s="864"/>
      <c r="K5" s="864"/>
      <c r="L5" s="841" t="s">
        <v>1</v>
      </c>
      <c r="M5" s="841"/>
      <c r="N5" s="841"/>
      <c r="O5" s="841" t="s">
        <v>2</v>
      </c>
      <c r="P5" s="841" t="s">
        <v>33</v>
      </c>
      <c r="Q5" s="841" t="s">
        <v>34</v>
      </c>
      <c r="R5" s="841" t="s">
        <v>35</v>
      </c>
      <c r="S5" s="841" t="s">
        <v>36</v>
      </c>
      <c r="T5" s="841" t="s">
        <v>37</v>
      </c>
      <c r="U5" s="841" t="s">
        <v>38</v>
      </c>
      <c r="V5" s="841" t="s">
        <v>39</v>
      </c>
      <c r="W5" s="856"/>
      <c r="X5" s="856"/>
      <c r="Y5" s="856"/>
      <c r="Z5" s="856"/>
      <c r="AA5" s="872"/>
      <c r="AB5" s="843"/>
      <c r="AC5" s="877"/>
      <c r="AD5" s="877"/>
      <c r="AE5" s="878"/>
      <c r="AF5" s="843"/>
      <c r="AG5" s="843"/>
      <c r="AH5" s="879"/>
      <c r="AI5" s="257"/>
      <c r="AJ5" s="867"/>
      <c r="AK5" s="847"/>
      <c r="AL5" s="847"/>
      <c r="AM5" s="847"/>
      <c r="AN5" s="847"/>
      <c r="AO5" s="847"/>
      <c r="AP5" s="847"/>
      <c r="AQ5" s="847"/>
      <c r="AR5" s="847"/>
      <c r="AS5" s="847"/>
      <c r="AT5" s="847"/>
      <c r="AU5" s="847"/>
      <c r="AV5" s="847"/>
      <c r="AW5" s="847"/>
      <c r="AX5" s="847"/>
      <c r="AY5" s="847"/>
      <c r="AZ5" s="847"/>
      <c r="BA5" s="847"/>
      <c r="BB5" s="847"/>
      <c r="BC5" s="847"/>
      <c r="BD5" s="847"/>
      <c r="BE5" s="847"/>
      <c r="BF5" s="847"/>
      <c r="BG5" s="847"/>
      <c r="BH5" s="847"/>
      <c r="BI5" s="847"/>
      <c r="BJ5" s="847"/>
      <c r="BK5" s="847"/>
      <c r="BL5" s="847"/>
      <c r="BM5" s="847"/>
      <c r="BN5" s="847"/>
      <c r="BO5" s="847"/>
      <c r="BP5" s="847"/>
      <c r="BQ5" s="847"/>
      <c r="BR5" s="847"/>
      <c r="BS5" s="847"/>
      <c r="BT5" s="847"/>
      <c r="BU5" s="847"/>
      <c r="BV5" s="847"/>
      <c r="BW5" s="847"/>
      <c r="BX5" s="847"/>
      <c r="BY5" s="847"/>
      <c r="BZ5" s="847"/>
      <c r="CA5" s="847"/>
      <c r="CB5" s="847"/>
      <c r="CC5" s="847"/>
      <c r="CD5" s="847"/>
      <c r="CE5" s="847"/>
      <c r="CF5" s="847"/>
      <c r="CG5" s="847"/>
      <c r="CH5" s="847"/>
      <c r="CI5" s="847"/>
      <c r="CJ5" s="847"/>
      <c r="CK5" s="847"/>
      <c r="CL5" s="847"/>
      <c r="CM5" s="847"/>
      <c r="CN5" s="847"/>
      <c r="CO5" s="847"/>
      <c r="CP5" s="847"/>
      <c r="CQ5" s="847"/>
      <c r="CR5" s="847"/>
      <c r="CS5" s="847"/>
      <c r="CT5" s="847"/>
      <c r="CU5" s="847"/>
      <c r="CV5" s="847"/>
      <c r="CW5" s="847"/>
      <c r="CX5" s="847"/>
      <c r="CY5" s="847"/>
      <c r="CZ5" s="847"/>
      <c r="DA5" s="847"/>
      <c r="DB5" s="847"/>
      <c r="DC5" s="847"/>
      <c r="DD5" s="847"/>
      <c r="DE5" s="847"/>
      <c r="DF5" s="847"/>
      <c r="DG5" s="847"/>
      <c r="DH5" s="847"/>
      <c r="DI5" s="847"/>
      <c r="DJ5" s="847"/>
    </row>
    <row r="6" spans="1:114" ht="45.75" customHeight="1">
      <c r="A6" s="852"/>
      <c r="B6" s="862"/>
      <c r="C6" s="841"/>
      <c r="D6" s="841"/>
      <c r="E6" s="841" t="s">
        <v>31</v>
      </c>
      <c r="F6" s="530"/>
      <c r="G6" s="841" t="s">
        <v>3</v>
      </c>
      <c r="H6" s="520"/>
      <c r="I6" s="841" t="s">
        <v>32</v>
      </c>
      <c r="J6" s="520"/>
      <c r="K6" s="841" t="s">
        <v>21</v>
      </c>
      <c r="L6" s="844" t="s">
        <v>3</v>
      </c>
      <c r="M6" s="844" t="s">
        <v>4</v>
      </c>
      <c r="N6" s="844" t="s">
        <v>22</v>
      </c>
      <c r="O6" s="841"/>
      <c r="P6" s="841"/>
      <c r="Q6" s="841"/>
      <c r="R6" s="841"/>
      <c r="S6" s="841"/>
      <c r="T6" s="841"/>
      <c r="U6" s="841"/>
      <c r="V6" s="841"/>
      <c r="W6" s="841" t="s">
        <v>40</v>
      </c>
      <c r="X6" s="841" t="s">
        <v>82</v>
      </c>
      <c r="Y6" s="841" t="s">
        <v>42</v>
      </c>
      <c r="Z6" s="841" t="s">
        <v>5</v>
      </c>
      <c r="AA6" s="841" t="s">
        <v>43</v>
      </c>
      <c r="AB6" s="841" t="s">
        <v>44</v>
      </c>
      <c r="AC6" s="841" t="s">
        <v>45</v>
      </c>
      <c r="AD6" s="841" t="s">
        <v>46</v>
      </c>
      <c r="AE6" s="843"/>
      <c r="AF6" s="843"/>
      <c r="AG6" s="841" t="s">
        <v>47</v>
      </c>
      <c r="AH6" s="880" t="s">
        <v>48</v>
      </c>
      <c r="AI6" s="258"/>
      <c r="AJ6" s="867"/>
      <c r="AK6" s="847"/>
      <c r="AL6" s="847"/>
      <c r="AM6" s="847"/>
      <c r="AN6" s="847"/>
      <c r="AO6" s="847"/>
      <c r="AP6" s="847"/>
      <c r="AQ6" s="847"/>
      <c r="AR6" s="847"/>
      <c r="AS6" s="847"/>
      <c r="AT6" s="847"/>
      <c r="AU6" s="847"/>
      <c r="AV6" s="847"/>
      <c r="AW6" s="847"/>
      <c r="AX6" s="847"/>
      <c r="AY6" s="847"/>
      <c r="AZ6" s="847"/>
      <c r="BA6" s="847"/>
      <c r="BB6" s="847"/>
      <c r="BC6" s="847"/>
      <c r="BD6" s="847"/>
      <c r="BE6" s="847"/>
      <c r="BF6" s="847"/>
      <c r="BG6" s="847"/>
      <c r="BH6" s="847"/>
      <c r="BI6" s="847"/>
      <c r="BJ6" s="847"/>
      <c r="BK6" s="847"/>
      <c r="BL6" s="847"/>
      <c r="BM6" s="847"/>
      <c r="BN6" s="847"/>
      <c r="BO6" s="847"/>
      <c r="BP6" s="847"/>
      <c r="BQ6" s="847"/>
      <c r="BR6" s="847"/>
      <c r="BS6" s="847"/>
      <c r="BT6" s="847"/>
      <c r="BU6" s="847"/>
      <c r="BV6" s="847"/>
      <c r="BW6" s="847"/>
      <c r="BX6" s="847"/>
      <c r="BY6" s="847"/>
      <c r="BZ6" s="847"/>
      <c r="CA6" s="847"/>
      <c r="CB6" s="847"/>
      <c r="CC6" s="847"/>
      <c r="CD6" s="847"/>
      <c r="CE6" s="847"/>
      <c r="CF6" s="847"/>
      <c r="CG6" s="847"/>
      <c r="CH6" s="847"/>
      <c r="CI6" s="847"/>
      <c r="CJ6" s="847"/>
      <c r="CK6" s="847"/>
      <c r="CL6" s="847"/>
      <c r="CM6" s="847"/>
      <c r="CN6" s="847"/>
      <c r="CO6" s="847"/>
      <c r="CP6" s="847"/>
      <c r="CQ6" s="847"/>
      <c r="CR6" s="847"/>
      <c r="CS6" s="847"/>
      <c r="CT6" s="847"/>
      <c r="CU6" s="847"/>
      <c r="CV6" s="847"/>
      <c r="CW6" s="847"/>
      <c r="CX6" s="847"/>
      <c r="CY6" s="847"/>
      <c r="CZ6" s="847"/>
      <c r="DA6" s="847"/>
      <c r="DB6" s="847"/>
      <c r="DC6" s="847"/>
      <c r="DD6" s="847"/>
      <c r="DE6" s="847"/>
      <c r="DF6" s="847"/>
      <c r="DG6" s="847"/>
      <c r="DH6" s="847"/>
      <c r="DI6" s="847"/>
      <c r="DJ6" s="847"/>
    </row>
    <row r="7" spans="1:114" ht="111" customHeight="1" thickBot="1">
      <c r="A7" s="853"/>
      <c r="B7" s="863"/>
      <c r="C7" s="842"/>
      <c r="D7" s="842"/>
      <c r="E7" s="842"/>
      <c r="F7" s="531"/>
      <c r="G7" s="842"/>
      <c r="H7" s="521"/>
      <c r="I7" s="865"/>
      <c r="J7" s="540"/>
      <c r="K7" s="842"/>
      <c r="L7" s="845"/>
      <c r="M7" s="845"/>
      <c r="N7" s="845"/>
      <c r="O7" s="842"/>
      <c r="P7" s="842"/>
      <c r="Q7" s="842"/>
      <c r="R7" s="842"/>
      <c r="S7" s="842"/>
      <c r="T7" s="842"/>
      <c r="U7" s="842"/>
      <c r="V7" s="842"/>
      <c r="W7" s="842"/>
      <c r="X7" s="865"/>
      <c r="Y7" s="842"/>
      <c r="Z7" s="842"/>
      <c r="AA7" s="865"/>
      <c r="AB7" s="842"/>
      <c r="AC7" s="842"/>
      <c r="AD7" s="238" t="s">
        <v>49</v>
      </c>
      <c r="AE7" s="238" t="s">
        <v>50</v>
      </c>
      <c r="AF7" s="238" t="s">
        <v>51</v>
      </c>
      <c r="AG7" s="842"/>
      <c r="AH7" s="881"/>
      <c r="AI7" s="259"/>
      <c r="AJ7" s="868"/>
      <c r="AK7" s="847"/>
      <c r="AL7" s="847"/>
      <c r="AM7" s="847"/>
      <c r="AN7" s="847"/>
      <c r="AO7" s="847"/>
      <c r="AP7" s="847"/>
      <c r="AQ7" s="847"/>
      <c r="AR7" s="847"/>
      <c r="AS7" s="847"/>
      <c r="AT7" s="847"/>
      <c r="AU7" s="847"/>
      <c r="AV7" s="847"/>
      <c r="AW7" s="847"/>
      <c r="AX7" s="847"/>
      <c r="AY7" s="847"/>
      <c r="AZ7" s="847"/>
      <c r="BA7" s="847"/>
      <c r="BB7" s="847"/>
      <c r="BC7" s="847"/>
      <c r="BD7" s="847"/>
      <c r="BE7" s="847"/>
      <c r="BF7" s="847"/>
      <c r="BG7" s="847"/>
      <c r="BH7" s="847"/>
      <c r="BI7" s="847"/>
      <c r="BJ7" s="847"/>
      <c r="BK7" s="847"/>
      <c r="BL7" s="847"/>
      <c r="BM7" s="847"/>
      <c r="BN7" s="847"/>
      <c r="BO7" s="847"/>
      <c r="BP7" s="847"/>
      <c r="BQ7" s="847"/>
      <c r="BR7" s="847"/>
      <c r="BS7" s="847"/>
      <c r="BT7" s="847"/>
      <c r="BU7" s="847"/>
      <c r="BV7" s="847"/>
      <c r="BW7" s="847"/>
      <c r="BX7" s="847"/>
      <c r="BY7" s="847"/>
      <c r="BZ7" s="847"/>
      <c r="CA7" s="847"/>
      <c r="CB7" s="847"/>
      <c r="CC7" s="847"/>
      <c r="CD7" s="847"/>
      <c r="CE7" s="847"/>
      <c r="CF7" s="847"/>
      <c r="CG7" s="847"/>
      <c r="CH7" s="847"/>
      <c r="CI7" s="847"/>
      <c r="CJ7" s="847"/>
      <c r="CK7" s="847"/>
      <c r="CL7" s="847"/>
      <c r="CM7" s="847"/>
      <c r="CN7" s="847"/>
      <c r="CO7" s="847"/>
      <c r="CP7" s="847"/>
      <c r="CQ7" s="847"/>
      <c r="CR7" s="847"/>
      <c r="CS7" s="847"/>
      <c r="CT7" s="847"/>
      <c r="CU7" s="847"/>
      <c r="CV7" s="847"/>
      <c r="CW7" s="847"/>
      <c r="CX7" s="847"/>
      <c r="CY7" s="847"/>
      <c r="CZ7" s="847"/>
      <c r="DA7" s="847"/>
      <c r="DB7" s="847"/>
      <c r="DC7" s="847"/>
      <c r="DD7" s="847"/>
      <c r="DE7" s="847"/>
      <c r="DF7" s="847"/>
      <c r="DG7" s="847"/>
      <c r="DH7" s="847"/>
      <c r="DI7" s="847"/>
      <c r="DJ7" s="847"/>
    </row>
    <row r="8" spans="1:114" s="5" customFormat="1" ht="15" thickBot="1">
      <c r="A8" s="84"/>
      <c r="B8" s="85"/>
      <c r="C8" s="86" t="s">
        <v>52</v>
      </c>
      <c r="D8" s="86" t="s">
        <v>53</v>
      </c>
      <c r="E8" s="86" t="s">
        <v>52</v>
      </c>
      <c r="F8" s="532"/>
      <c r="G8" s="86" t="s">
        <v>52</v>
      </c>
      <c r="H8" s="522"/>
      <c r="I8" s="86" t="s">
        <v>52</v>
      </c>
      <c r="J8" s="522"/>
      <c r="K8" s="86"/>
      <c r="L8" s="86" t="s">
        <v>52</v>
      </c>
      <c r="M8" s="86" t="s">
        <v>52</v>
      </c>
      <c r="N8" s="86"/>
      <c r="O8" s="86" t="s">
        <v>52</v>
      </c>
      <c r="P8" s="86" t="s">
        <v>52</v>
      </c>
      <c r="Q8" s="86" t="s">
        <v>54</v>
      </c>
      <c r="R8" s="86" t="s">
        <v>55</v>
      </c>
      <c r="S8" s="86" t="s">
        <v>55</v>
      </c>
      <c r="T8" s="86" t="s">
        <v>54</v>
      </c>
      <c r="U8" s="86" t="s">
        <v>54</v>
      </c>
      <c r="V8" s="86" t="s">
        <v>54</v>
      </c>
      <c r="W8" s="86" t="s">
        <v>54</v>
      </c>
      <c r="X8" s="86" t="s">
        <v>54</v>
      </c>
      <c r="Y8" s="86" t="s">
        <v>54</v>
      </c>
      <c r="Z8" s="86" t="s">
        <v>54</v>
      </c>
      <c r="AA8" s="86" t="s">
        <v>54</v>
      </c>
      <c r="AB8" s="86" t="s">
        <v>54</v>
      </c>
      <c r="AC8" s="86"/>
      <c r="AD8" s="86"/>
      <c r="AE8" s="86"/>
      <c r="AF8" s="86"/>
      <c r="AG8" s="86"/>
      <c r="AH8" s="87"/>
      <c r="AI8" s="260"/>
      <c r="AJ8" s="88"/>
      <c r="AK8" s="847"/>
      <c r="AL8" s="847"/>
      <c r="AM8" s="847"/>
      <c r="AN8" s="847"/>
      <c r="AO8" s="847"/>
      <c r="AP8" s="847"/>
      <c r="AQ8" s="847"/>
      <c r="AR8" s="847"/>
      <c r="AS8" s="847"/>
      <c r="AT8" s="847"/>
      <c r="AU8" s="847"/>
      <c r="AV8" s="847"/>
      <c r="AW8" s="847"/>
      <c r="AX8" s="847"/>
      <c r="AY8" s="847"/>
      <c r="AZ8" s="847"/>
      <c r="BA8" s="847"/>
      <c r="BB8" s="847"/>
      <c r="BC8" s="847"/>
      <c r="BD8" s="847"/>
      <c r="BE8" s="847"/>
      <c r="BF8" s="847"/>
      <c r="BG8" s="847"/>
      <c r="BH8" s="847"/>
      <c r="BI8" s="847"/>
      <c r="BJ8" s="847"/>
      <c r="BK8" s="847"/>
      <c r="BL8" s="847"/>
      <c r="BM8" s="847"/>
      <c r="BN8" s="847"/>
      <c r="BO8" s="847"/>
      <c r="BP8" s="847"/>
      <c r="BQ8" s="847"/>
      <c r="BR8" s="847"/>
      <c r="BS8" s="847"/>
      <c r="BT8" s="847"/>
      <c r="BU8" s="847"/>
      <c r="BV8" s="847"/>
      <c r="BW8" s="847"/>
      <c r="BX8" s="847"/>
      <c r="BY8" s="847"/>
      <c r="BZ8" s="847"/>
      <c r="CA8" s="847"/>
      <c r="CB8" s="847"/>
      <c r="CC8" s="847"/>
      <c r="CD8" s="847"/>
      <c r="CE8" s="847"/>
      <c r="CF8" s="847"/>
      <c r="CG8" s="847"/>
      <c r="CH8" s="847"/>
      <c r="CI8" s="847"/>
      <c r="CJ8" s="847"/>
      <c r="CK8" s="847"/>
      <c r="CL8" s="847"/>
      <c r="CM8" s="847"/>
      <c r="CN8" s="847"/>
      <c r="CO8" s="847"/>
      <c r="CP8" s="847"/>
      <c r="CQ8" s="847"/>
      <c r="CR8" s="847"/>
      <c r="CS8" s="847"/>
      <c r="CT8" s="847"/>
      <c r="CU8" s="847"/>
      <c r="CV8" s="847"/>
      <c r="CW8" s="847"/>
      <c r="CX8" s="847"/>
      <c r="CY8" s="847"/>
      <c r="CZ8" s="847"/>
      <c r="DA8" s="847"/>
      <c r="DB8" s="847"/>
      <c r="DC8" s="847"/>
      <c r="DD8" s="847"/>
      <c r="DE8" s="847"/>
      <c r="DF8" s="847"/>
      <c r="DG8" s="847"/>
      <c r="DH8" s="847"/>
      <c r="DI8" s="847"/>
      <c r="DJ8" s="847"/>
    </row>
    <row r="9" spans="1:114" s="99" customFormat="1" ht="19.5" thickBot="1">
      <c r="A9" s="89">
        <v>1</v>
      </c>
      <c r="B9" s="90" t="s">
        <v>7</v>
      </c>
      <c r="C9" s="91">
        <v>384</v>
      </c>
      <c r="D9" s="92">
        <v>1086589</v>
      </c>
      <c r="E9" s="91">
        <v>0</v>
      </c>
      <c r="F9" s="533">
        <f>E9/AI9*100</f>
        <v>0</v>
      </c>
      <c r="G9" s="93">
        <v>166</v>
      </c>
      <c r="H9" s="523">
        <f>G9/AI9*100</f>
        <v>0.40476945209821757</v>
      </c>
      <c r="I9" s="93"/>
      <c r="J9" s="523">
        <f>I9/AI9*100</f>
        <v>0</v>
      </c>
      <c r="K9" s="242"/>
      <c r="L9" s="93">
        <v>26</v>
      </c>
      <c r="M9" s="91">
        <v>0</v>
      </c>
      <c r="N9" s="91"/>
      <c r="O9" s="91" t="s">
        <v>296</v>
      </c>
      <c r="P9" s="91"/>
      <c r="Q9" s="93">
        <v>71</v>
      </c>
      <c r="R9" s="91" t="s">
        <v>81</v>
      </c>
      <c r="S9" s="91" t="s">
        <v>81</v>
      </c>
      <c r="T9" s="91">
        <v>36.24</v>
      </c>
      <c r="U9" s="96">
        <f>26*100/C9</f>
        <v>6.770833333333333</v>
      </c>
      <c r="V9" s="91">
        <v>5.73</v>
      </c>
      <c r="W9" s="91"/>
      <c r="X9" s="94"/>
      <c r="Y9" s="95">
        <v>5.6</v>
      </c>
      <c r="Z9" s="96">
        <v>6</v>
      </c>
      <c r="AA9" s="96">
        <v>11.3</v>
      </c>
      <c r="AB9" s="96">
        <v>7</v>
      </c>
      <c r="AC9" s="97"/>
      <c r="AD9" s="91"/>
      <c r="AE9" s="91"/>
      <c r="AF9" s="98"/>
      <c r="AG9" s="91"/>
      <c r="AH9" s="94"/>
      <c r="AI9" s="265">
        <v>41011</v>
      </c>
      <c r="AJ9" s="542">
        <f>SUM(C10:AH10)</f>
        <v>33</v>
      </c>
      <c r="AK9" s="847"/>
      <c r="AL9" s="847"/>
      <c r="AM9" s="847"/>
      <c r="AN9" s="847"/>
      <c r="AO9" s="847"/>
      <c r="AP9" s="847"/>
      <c r="AQ9" s="847"/>
      <c r="AR9" s="847"/>
      <c r="AS9" s="847"/>
      <c r="AT9" s="847"/>
      <c r="AU9" s="847"/>
      <c r="AV9" s="847"/>
      <c r="AW9" s="847"/>
      <c r="AX9" s="847"/>
      <c r="AY9" s="847"/>
      <c r="AZ9" s="847"/>
      <c r="BA9" s="847"/>
      <c r="BB9" s="847"/>
      <c r="BC9" s="847"/>
      <c r="BD9" s="847"/>
      <c r="BE9" s="847"/>
      <c r="BF9" s="847"/>
      <c r="BG9" s="847"/>
      <c r="BH9" s="847"/>
      <c r="BI9" s="847"/>
      <c r="BJ9" s="847"/>
      <c r="BK9" s="847"/>
      <c r="BL9" s="847"/>
      <c r="BM9" s="847"/>
      <c r="BN9" s="847"/>
      <c r="BO9" s="847"/>
      <c r="BP9" s="847"/>
      <c r="BQ9" s="847"/>
      <c r="BR9" s="847"/>
      <c r="BS9" s="847"/>
      <c r="BT9" s="847"/>
      <c r="BU9" s="847"/>
      <c r="BV9" s="847"/>
      <c r="BW9" s="847"/>
      <c r="BX9" s="847"/>
      <c r="BY9" s="847"/>
      <c r="BZ9" s="847"/>
      <c r="CA9" s="847"/>
      <c r="CB9" s="847"/>
      <c r="CC9" s="847"/>
      <c r="CD9" s="847"/>
      <c r="CE9" s="847"/>
      <c r="CF9" s="847"/>
      <c r="CG9" s="847"/>
      <c r="CH9" s="847"/>
      <c r="CI9" s="847"/>
      <c r="CJ9" s="847"/>
      <c r="CK9" s="847"/>
      <c r="CL9" s="847"/>
      <c r="CM9" s="847"/>
      <c r="CN9" s="847"/>
      <c r="CO9" s="847"/>
      <c r="CP9" s="847"/>
      <c r="CQ9" s="847"/>
      <c r="CR9" s="847"/>
      <c r="CS9" s="847"/>
      <c r="CT9" s="847"/>
      <c r="CU9" s="847"/>
      <c r="CV9" s="847"/>
      <c r="CW9" s="847"/>
      <c r="CX9" s="847"/>
      <c r="CY9" s="847"/>
      <c r="CZ9" s="847"/>
      <c r="DA9" s="847"/>
      <c r="DB9" s="847"/>
      <c r="DC9" s="847"/>
      <c r="DD9" s="847"/>
      <c r="DE9" s="847"/>
      <c r="DF9" s="847"/>
      <c r="DG9" s="847"/>
      <c r="DH9" s="847"/>
      <c r="DI9" s="847"/>
      <c r="DJ9" s="847"/>
    </row>
    <row r="10" spans="1:114" s="27" customFormat="1" ht="15" customHeight="1" thickBot="1">
      <c r="A10" s="203"/>
      <c r="B10" s="204"/>
      <c r="C10" s="205"/>
      <c r="D10" s="206"/>
      <c r="E10" s="205"/>
      <c r="F10" s="207">
        <v>0</v>
      </c>
      <c r="G10" s="207"/>
      <c r="H10" s="207">
        <v>0</v>
      </c>
      <c r="I10" s="207"/>
      <c r="J10" s="207">
        <v>2</v>
      </c>
      <c r="K10" s="205"/>
      <c r="L10" s="207"/>
      <c r="M10" s="205">
        <v>10</v>
      </c>
      <c r="N10" s="205"/>
      <c r="O10" s="205">
        <v>7</v>
      </c>
      <c r="P10" s="205"/>
      <c r="Q10" s="207">
        <v>8</v>
      </c>
      <c r="R10" s="205">
        <v>0</v>
      </c>
      <c r="S10" s="205">
        <v>0</v>
      </c>
      <c r="T10" s="205">
        <v>6</v>
      </c>
      <c r="U10" s="249">
        <v>0</v>
      </c>
      <c r="V10" s="205">
        <v>0</v>
      </c>
      <c r="W10" s="205"/>
      <c r="X10" s="208"/>
      <c r="Y10" s="209"/>
      <c r="Z10" s="205"/>
      <c r="AA10" s="205"/>
      <c r="AB10" s="205"/>
      <c r="AC10" s="210"/>
      <c r="AD10" s="205"/>
      <c r="AE10" s="205"/>
      <c r="AF10" s="211"/>
      <c r="AG10" s="205"/>
      <c r="AH10" s="208"/>
      <c r="AI10" s="266"/>
      <c r="AJ10" s="108"/>
      <c r="AK10" s="847"/>
      <c r="AL10" s="847"/>
      <c r="AM10" s="847"/>
      <c r="AN10" s="847"/>
      <c r="AO10" s="847"/>
      <c r="AP10" s="847"/>
      <c r="AQ10" s="847"/>
      <c r="AR10" s="847"/>
      <c r="AS10" s="847"/>
      <c r="AT10" s="847"/>
      <c r="AU10" s="847"/>
      <c r="AV10" s="847"/>
      <c r="AW10" s="847"/>
      <c r="AX10" s="847"/>
      <c r="AY10" s="847"/>
      <c r="AZ10" s="847"/>
      <c r="BA10" s="847"/>
      <c r="BB10" s="847"/>
      <c r="BC10" s="847"/>
      <c r="BD10" s="847"/>
      <c r="BE10" s="847"/>
      <c r="BF10" s="847"/>
      <c r="BG10" s="847"/>
      <c r="BH10" s="847"/>
      <c r="BI10" s="847"/>
      <c r="BJ10" s="847"/>
      <c r="BK10" s="847"/>
      <c r="BL10" s="847"/>
      <c r="BM10" s="847"/>
      <c r="BN10" s="847"/>
      <c r="BO10" s="847"/>
      <c r="BP10" s="847"/>
      <c r="BQ10" s="847"/>
      <c r="BR10" s="847"/>
      <c r="BS10" s="847"/>
      <c r="BT10" s="847"/>
      <c r="BU10" s="847"/>
      <c r="BV10" s="847"/>
      <c r="BW10" s="847"/>
      <c r="BX10" s="847"/>
      <c r="BY10" s="847"/>
      <c r="BZ10" s="847"/>
      <c r="CA10" s="847"/>
      <c r="CB10" s="847"/>
      <c r="CC10" s="847"/>
      <c r="CD10" s="847"/>
      <c r="CE10" s="847"/>
      <c r="CF10" s="847"/>
      <c r="CG10" s="847"/>
      <c r="CH10" s="847"/>
      <c r="CI10" s="847"/>
      <c r="CJ10" s="847"/>
      <c r="CK10" s="847"/>
      <c r="CL10" s="847"/>
      <c r="CM10" s="847"/>
      <c r="CN10" s="847"/>
      <c r="CO10" s="847"/>
      <c r="CP10" s="847"/>
      <c r="CQ10" s="847"/>
      <c r="CR10" s="847"/>
      <c r="CS10" s="847"/>
      <c r="CT10" s="847"/>
      <c r="CU10" s="847"/>
      <c r="CV10" s="847"/>
      <c r="CW10" s="847"/>
      <c r="CX10" s="847"/>
      <c r="CY10" s="847"/>
      <c r="CZ10" s="847"/>
      <c r="DA10" s="847"/>
      <c r="DB10" s="847"/>
      <c r="DC10" s="847"/>
      <c r="DD10" s="847"/>
      <c r="DE10" s="847"/>
      <c r="DF10" s="847"/>
      <c r="DG10" s="847"/>
      <c r="DH10" s="847"/>
      <c r="DI10" s="847"/>
      <c r="DJ10" s="847"/>
    </row>
    <row r="11" spans="1:114" ht="18.75">
      <c r="A11" s="19">
        <v>2</v>
      </c>
      <c r="B11" s="20" t="s">
        <v>6</v>
      </c>
      <c r="C11" s="34">
        <v>291</v>
      </c>
      <c r="D11" s="44">
        <v>674255</v>
      </c>
      <c r="E11" s="34">
        <v>0</v>
      </c>
      <c r="F11" s="533">
        <f t="shared" ref="F11" si="0">E11/AI11*100</f>
        <v>0</v>
      </c>
      <c r="G11" s="56">
        <v>43</v>
      </c>
      <c r="H11" s="523">
        <f t="shared" ref="H11" si="1">G11/AI11*100</f>
        <v>0.12001786312381378</v>
      </c>
      <c r="I11" s="56"/>
      <c r="J11" s="523">
        <f t="shared" ref="J11" si="2">I11/AI11*100</f>
        <v>0</v>
      </c>
      <c r="K11" s="243"/>
      <c r="L11" s="56">
        <v>19</v>
      </c>
      <c r="M11" s="34">
        <v>0</v>
      </c>
      <c r="N11" s="109"/>
      <c r="O11" s="34">
        <v>0</v>
      </c>
      <c r="P11" s="34"/>
      <c r="Q11" s="56">
        <v>127</v>
      </c>
      <c r="R11" s="34" t="s">
        <v>81</v>
      </c>
      <c r="S11" s="34" t="s">
        <v>81</v>
      </c>
      <c r="T11" s="34">
        <v>50.23</v>
      </c>
      <c r="U11" s="250">
        <f>107*100/C11</f>
        <v>36.769759450171819</v>
      </c>
      <c r="V11" s="34">
        <v>0</v>
      </c>
      <c r="W11" s="34"/>
      <c r="X11" s="45"/>
      <c r="Y11" s="68">
        <v>19</v>
      </c>
      <c r="Z11" s="69">
        <v>16</v>
      </c>
      <c r="AA11" s="69">
        <v>20</v>
      </c>
      <c r="AB11" s="69">
        <v>40</v>
      </c>
      <c r="AC11" s="59"/>
      <c r="AD11" s="34"/>
      <c r="AE11" s="34"/>
      <c r="AF11" s="21"/>
      <c r="AG11" s="34"/>
      <c r="AH11" s="45"/>
      <c r="AI11" s="267">
        <v>35828</v>
      </c>
      <c r="AJ11" s="542">
        <f>SUM(C12:AH12)</f>
        <v>60.3</v>
      </c>
      <c r="AK11" s="847"/>
      <c r="AL11" s="847"/>
      <c r="AM11" s="847"/>
      <c r="AN11" s="847"/>
      <c r="AO11" s="847"/>
      <c r="AP11" s="847"/>
      <c r="AQ11" s="847"/>
      <c r="AR11" s="847"/>
      <c r="AS11" s="847"/>
      <c r="AT11" s="847"/>
      <c r="AU11" s="847"/>
      <c r="AV11" s="847"/>
      <c r="AW11" s="847"/>
      <c r="AX11" s="847"/>
      <c r="AY11" s="847"/>
      <c r="AZ11" s="847"/>
      <c r="BA11" s="847"/>
      <c r="BB11" s="847"/>
      <c r="BC11" s="847"/>
      <c r="BD11" s="847"/>
      <c r="BE11" s="847"/>
      <c r="BF11" s="847"/>
      <c r="BG11" s="847"/>
      <c r="BH11" s="847"/>
      <c r="BI11" s="847"/>
      <c r="BJ11" s="847"/>
      <c r="BK11" s="847"/>
      <c r="BL11" s="847"/>
      <c r="BM11" s="847"/>
      <c r="BN11" s="847"/>
      <c r="BO11" s="847"/>
      <c r="BP11" s="847"/>
      <c r="BQ11" s="847"/>
      <c r="BR11" s="847"/>
      <c r="BS11" s="847"/>
      <c r="BT11" s="847"/>
      <c r="BU11" s="847"/>
      <c r="BV11" s="847"/>
      <c r="BW11" s="847"/>
      <c r="BX11" s="847"/>
      <c r="BY11" s="847"/>
      <c r="BZ11" s="847"/>
      <c r="CA11" s="847"/>
      <c r="CB11" s="847"/>
      <c r="CC11" s="847"/>
      <c r="CD11" s="847"/>
      <c r="CE11" s="847"/>
      <c r="CF11" s="847"/>
      <c r="CG11" s="847"/>
      <c r="CH11" s="847"/>
      <c r="CI11" s="847"/>
      <c r="CJ11" s="847"/>
      <c r="CK11" s="847"/>
      <c r="CL11" s="847"/>
      <c r="CM11" s="847"/>
      <c r="CN11" s="847"/>
      <c r="CO11" s="847"/>
      <c r="CP11" s="847"/>
      <c r="CQ11" s="847"/>
      <c r="CR11" s="847"/>
      <c r="CS11" s="847"/>
      <c r="CT11" s="847"/>
      <c r="CU11" s="847"/>
      <c r="CV11" s="847"/>
      <c r="CW11" s="847"/>
      <c r="CX11" s="847"/>
      <c r="CY11" s="847"/>
      <c r="CZ11" s="847"/>
      <c r="DA11" s="847"/>
      <c r="DB11" s="847"/>
      <c r="DC11" s="847"/>
      <c r="DD11" s="847"/>
      <c r="DE11" s="847"/>
      <c r="DF11" s="847"/>
      <c r="DG11" s="847"/>
      <c r="DH11" s="847"/>
      <c r="DI11" s="847"/>
      <c r="DJ11" s="847"/>
    </row>
    <row r="12" spans="1:114" s="27" customFormat="1" ht="16.5" customHeight="1" thickBot="1">
      <c r="A12" s="203"/>
      <c r="B12" s="204"/>
      <c r="C12" s="205"/>
      <c r="D12" s="206"/>
      <c r="E12" s="205"/>
      <c r="F12" s="207">
        <v>8</v>
      </c>
      <c r="G12" s="207"/>
      <c r="H12" s="207">
        <f>7</f>
        <v>7</v>
      </c>
      <c r="I12" s="207"/>
      <c r="J12" s="207">
        <v>6</v>
      </c>
      <c r="K12" s="205">
        <v>-0.7</v>
      </c>
      <c r="L12" s="207"/>
      <c r="M12" s="205">
        <v>10</v>
      </c>
      <c r="N12" s="205"/>
      <c r="O12" s="205">
        <v>10</v>
      </c>
      <c r="P12" s="205"/>
      <c r="Q12" s="207">
        <v>10</v>
      </c>
      <c r="R12" s="205">
        <v>0</v>
      </c>
      <c r="S12" s="205">
        <v>0</v>
      </c>
      <c r="T12" s="205">
        <v>6</v>
      </c>
      <c r="U12" s="249">
        <v>4</v>
      </c>
      <c r="V12" s="205">
        <v>0</v>
      </c>
      <c r="W12" s="205"/>
      <c r="X12" s="208"/>
      <c r="Y12" s="209"/>
      <c r="Z12" s="205"/>
      <c r="AA12" s="205"/>
      <c r="AB12" s="205"/>
      <c r="AC12" s="210"/>
      <c r="AD12" s="205"/>
      <c r="AE12" s="205"/>
      <c r="AF12" s="211"/>
      <c r="AG12" s="205"/>
      <c r="AH12" s="208"/>
      <c r="AI12" s="268"/>
      <c r="AJ12" s="104"/>
      <c r="AK12" s="847"/>
      <c r="AL12" s="847"/>
      <c r="AM12" s="847"/>
      <c r="AN12" s="847"/>
      <c r="AO12" s="847"/>
      <c r="AP12" s="847"/>
      <c r="AQ12" s="847"/>
      <c r="AR12" s="847"/>
      <c r="AS12" s="847"/>
      <c r="AT12" s="847"/>
      <c r="AU12" s="847"/>
      <c r="AV12" s="847"/>
      <c r="AW12" s="847"/>
      <c r="AX12" s="847"/>
      <c r="AY12" s="847"/>
      <c r="AZ12" s="847"/>
      <c r="BA12" s="847"/>
      <c r="BB12" s="847"/>
      <c r="BC12" s="847"/>
      <c r="BD12" s="847"/>
      <c r="BE12" s="847"/>
      <c r="BF12" s="847"/>
      <c r="BG12" s="847"/>
      <c r="BH12" s="847"/>
      <c r="BI12" s="847"/>
      <c r="BJ12" s="847"/>
      <c r="BK12" s="847"/>
      <c r="BL12" s="847"/>
      <c r="BM12" s="847"/>
      <c r="BN12" s="847"/>
      <c r="BO12" s="847"/>
      <c r="BP12" s="847"/>
      <c r="BQ12" s="847"/>
      <c r="BR12" s="847"/>
      <c r="BS12" s="847"/>
      <c r="BT12" s="847"/>
      <c r="BU12" s="847"/>
      <c r="BV12" s="847"/>
      <c r="BW12" s="847"/>
      <c r="BX12" s="847"/>
      <c r="BY12" s="847"/>
      <c r="BZ12" s="847"/>
      <c r="CA12" s="847"/>
      <c r="CB12" s="847"/>
      <c r="CC12" s="847"/>
      <c r="CD12" s="847"/>
      <c r="CE12" s="847"/>
      <c r="CF12" s="847"/>
      <c r="CG12" s="847"/>
      <c r="CH12" s="847"/>
      <c r="CI12" s="847"/>
      <c r="CJ12" s="847"/>
      <c r="CK12" s="847"/>
      <c r="CL12" s="847"/>
      <c r="CM12" s="847"/>
      <c r="CN12" s="847"/>
      <c r="CO12" s="847"/>
      <c r="CP12" s="847"/>
      <c r="CQ12" s="847"/>
      <c r="CR12" s="847"/>
      <c r="CS12" s="847"/>
      <c r="CT12" s="847"/>
      <c r="CU12" s="847"/>
      <c r="CV12" s="847"/>
      <c r="CW12" s="847"/>
      <c r="CX12" s="847"/>
      <c r="CY12" s="847"/>
      <c r="CZ12" s="847"/>
      <c r="DA12" s="847"/>
      <c r="DB12" s="847"/>
      <c r="DC12" s="847"/>
      <c r="DD12" s="847"/>
      <c r="DE12" s="847"/>
      <c r="DF12" s="847"/>
      <c r="DG12" s="847"/>
      <c r="DH12" s="847"/>
      <c r="DI12" s="847"/>
      <c r="DJ12" s="847"/>
    </row>
    <row r="13" spans="1:114" ht="19.5" thickBot="1">
      <c r="A13" s="19">
        <v>3</v>
      </c>
      <c r="B13" s="20" t="s">
        <v>56</v>
      </c>
      <c r="C13" s="48">
        <v>526</v>
      </c>
      <c r="D13" s="40">
        <v>1269182</v>
      </c>
      <c r="E13" s="56">
        <v>0</v>
      </c>
      <c r="F13" s="533">
        <f t="shared" ref="F13" si="3">E13/AI13*100</f>
        <v>0</v>
      </c>
      <c r="G13" s="56">
        <v>234</v>
      </c>
      <c r="H13" s="523">
        <f t="shared" ref="H13" si="4">G13/AI13*100</f>
        <v>0.36255461559914476</v>
      </c>
      <c r="I13" s="56"/>
      <c r="J13" s="523">
        <f t="shared" ref="J13" si="5">I13/AI13*100</f>
        <v>0</v>
      </c>
      <c r="K13" s="244"/>
      <c r="L13" s="56">
        <v>30</v>
      </c>
      <c r="M13" s="44">
        <v>0</v>
      </c>
      <c r="N13" s="116"/>
      <c r="O13" s="40">
        <v>0</v>
      </c>
      <c r="P13" s="40"/>
      <c r="Q13" s="56">
        <v>141</v>
      </c>
      <c r="R13" s="40" t="s">
        <v>81</v>
      </c>
      <c r="S13" s="40" t="s">
        <v>81</v>
      </c>
      <c r="T13" s="40">
        <v>14.82</v>
      </c>
      <c r="U13" s="250">
        <f>10*100/C13</f>
        <v>1.9011406844106464</v>
      </c>
      <c r="V13" s="40">
        <v>0</v>
      </c>
      <c r="W13" s="40"/>
      <c r="X13" s="49"/>
      <c r="Y13" s="68">
        <v>32.619999999999997</v>
      </c>
      <c r="Z13" s="69">
        <v>49.36</v>
      </c>
      <c r="AA13" s="69">
        <v>50.65</v>
      </c>
      <c r="AB13" s="69">
        <v>64.510000000000005</v>
      </c>
      <c r="AC13" s="59"/>
      <c r="AD13" s="40"/>
      <c r="AE13" s="40"/>
      <c r="AF13" s="21"/>
      <c r="AG13" s="40"/>
      <c r="AH13" s="49"/>
      <c r="AI13" s="269">
        <v>64542</v>
      </c>
      <c r="AJ13" s="542">
        <f>SUM(C14:AH14)</f>
        <v>39</v>
      </c>
      <c r="AK13" s="847"/>
      <c r="AL13" s="847"/>
      <c r="AM13" s="847"/>
      <c r="AN13" s="847"/>
      <c r="AO13" s="847"/>
      <c r="AP13" s="847"/>
      <c r="AQ13" s="847"/>
      <c r="AR13" s="847"/>
      <c r="AS13" s="847"/>
      <c r="AT13" s="847"/>
      <c r="AU13" s="847"/>
      <c r="AV13" s="847"/>
      <c r="AW13" s="847"/>
      <c r="AX13" s="847"/>
      <c r="AY13" s="847"/>
      <c r="AZ13" s="847"/>
      <c r="BA13" s="847"/>
      <c r="BB13" s="847"/>
      <c r="BC13" s="847"/>
      <c r="BD13" s="847"/>
      <c r="BE13" s="847"/>
      <c r="BF13" s="847"/>
      <c r="BG13" s="847"/>
      <c r="BH13" s="847"/>
      <c r="BI13" s="847"/>
      <c r="BJ13" s="847"/>
      <c r="BK13" s="847"/>
      <c r="BL13" s="847"/>
      <c r="BM13" s="847"/>
      <c r="BN13" s="847"/>
      <c r="BO13" s="847"/>
      <c r="BP13" s="847"/>
      <c r="BQ13" s="847"/>
      <c r="BR13" s="847"/>
      <c r="BS13" s="847"/>
      <c r="BT13" s="847"/>
      <c r="BU13" s="847"/>
      <c r="BV13" s="847"/>
      <c r="BW13" s="847"/>
      <c r="BX13" s="847"/>
      <c r="BY13" s="847"/>
      <c r="BZ13" s="847"/>
      <c r="CA13" s="847"/>
      <c r="CB13" s="847"/>
      <c r="CC13" s="847"/>
      <c r="CD13" s="847"/>
      <c r="CE13" s="847"/>
      <c r="CF13" s="847"/>
      <c r="CG13" s="847"/>
      <c r="CH13" s="847"/>
      <c r="CI13" s="847"/>
      <c r="CJ13" s="847"/>
      <c r="CK13" s="847"/>
      <c r="CL13" s="847"/>
      <c r="CM13" s="847"/>
      <c r="CN13" s="847"/>
      <c r="CO13" s="847"/>
      <c r="CP13" s="847"/>
      <c r="CQ13" s="847"/>
      <c r="CR13" s="847"/>
      <c r="CS13" s="847"/>
      <c r="CT13" s="847"/>
      <c r="CU13" s="847"/>
      <c r="CV13" s="847"/>
      <c r="CW13" s="847"/>
      <c r="CX13" s="847"/>
      <c r="CY13" s="847"/>
      <c r="CZ13" s="847"/>
      <c r="DA13" s="847"/>
      <c r="DB13" s="847"/>
      <c r="DC13" s="847"/>
      <c r="DD13" s="847"/>
      <c r="DE13" s="847"/>
      <c r="DF13" s="847"/>
      <c r="DG13" s="847"/>
      <c r="DH13" s="847"/>
      <c r="DI13" s="847"/>
      <c r="DJ13" s="847"/>
    </row>
    <row r="14" spans="1:114" s="27" customFormat="1" ht="15.75" customHeight="1" thickBot="1">
      <c r="A14" s="203"/>
      <c r="B14" s="204"/>
      <c r="C14" s="214"/>
      <c r="D14" s="215"/>
      <c r="E14" s="207"/>
      <c r="F14" s="207">
        <v>4</v>
      </c>
      <c r="G14" s="207"/>
      <c r="H14" s="207">
        <v>0</v>
      </c>
      <c r="I14" s="207"/>
      <c r="J14" s="207">
        <v>3</v>
      </c>
      <c r="K14" s="215"/>
      <c r="L14" s="207">
        <v>0</v>
      </c>
      <c r="M14" s="206">
        <v>10</v>
      </c>
      <c r="N14" s="206"/>
      <c r="O14" s="215">
        <v>10</v>
      </c>
      <c r="P14" s="215"/>
      <c r="Q14" s="207">
        <v>10</v>
      </c>
      <c r="R14" s="215">
        <v>0</v>
      </c>
      <c r="S14" s="215">
        <v>0</v>
      </c>
      <c r="T14" s="215">
        <v>2</v>
      </c>
      <c r="U14" s="249">
        <v>0</v>
      </c>
      <c r="V14" s="215">
        <v>0</v>
      </c>
      <c r="W14" s="215"/>
      <c r="X14" s="216"/>
      <c r="Y14" s="209"/>
      <c r="Z14" s="215"/>
      <c r="AA14" s="215"/>
      <c r="AB14" s="215"/>
      <c r="AC14" s="217"/>
      <c r="AD14" s="215"/>
      <c r="AE14" s="215"/>
      <c r="AF14" s="211"/>
      <c r="AG14" s="215"/>
      <c r="AH14" s="216"/>
      <c r="AI14" s="266"/>
      <c r="AJ14" s="108"/>
      <c r="AK14" s="847"/>
      <c r="AL14" s="847"/>
      <c r="AM14" s="847"/>
      <c r="AN14" s="847"/>
      <c r="AO14" s="847"/>
      <c r="AP14" s="847"/>
      <c r="AQ14" s="847"/>
      <c r="AR14" s="847"/>
      <c r="AS14" s="847"/>
      <c r="AT14" s="847"/>
      <c r="AU14" s="847"/>
      <c r="AV14" s="847"/>
      <c r="AW14" s="847"/>
      <c r="AX14" s="847"/>
      <c r="AY14" s="847"/>
      <c r="AZ14" s="847"/>
      <c r="BA14" s="847"/>
      <c r="BB14" s="847"/>
      <c r="BC14" s="847"/>
      <c r="BD14" s="847"/>
      <c r="BE14" s="847"/>
      <c r="BF14" s="847"/>
      <c r="BG14" s="847"/>
      <c r="BH14" s="847"/>
      <c r="BI14" s="847"/>
      <c r="BJ14" s="847"/>
      <c r="BK14" s="847"/>
      <c r="BL14" s="847"/>
      <c r="BM14" s="847"/>
      <c r="BN14" s="847"/>
      <c r="BO14" s="847"/>
      <c r="BP14" s="847"/>
      <c r="BQ14" s="847"/>
      <c r="BR14" s="847"/>
      <c r="BS14" s="847"/>
      <c r="BT14" s="847"/>
      <c r="BU14" s="847"/>
      <c r="BV14" s="847"/>
      <c r="BW14" s="847"/>
      <c r="BX14" s="847"/>
      <c r="BY14" s="847"/>
      <c r="BZ14" s="847"/>
      <c r="CA14" s="847"/>
      <c r="CB14" s="847"/>
      <c r="CC14" s="847"/>
      <c r="CD14" s="847"/>
      <c r="CE14" s="847"/>
      <c r="CF14" s="847"/>
      <c r="CG14" s="847"/>
      <c r="CH14" s="847"/>
      <c r="CI14" s="847"/>
      <c r="CJ14" s="847"/>
      <c r="CK14" s="847"/>
      <c r="CL14" s="847"/>
      <c r="CM14" s="847"/>
      <c r="CN14" s="847"/>
      <c r="CO14" s="847"/>
      <c r="CP14" s="847"/>
      <c r="CQ14" s="847"/>
      <c r="CR14" s="847"/>
      <c r="CS14" s="847"/>
      <c r="CT14" s="847"/>
      <c r="CU14" s="847"/>
      <c r="CV14" s="847"/>
      <c r="CW14" s="847"/>
      <c r="CX14" s="847"/>
      <c r="CY14" s="847"/>
      <c r="CZ14" s="847"/>
      <c r="DA14" s="847"/>
      <c r="DB14" s="847"/>
      <c r="DC14" s="847"/>
      <c r="DD14" s="847"/>
      <c r="DE14" s="847"/>
      <c r="DF14" s="847"/>
      <c r="DG14" s="847"/>
      <c r="DH14" s="847"/>
      <c r="DI14" s="847"/>
      <c r="DJ14" s="847"/>
    </row>
    <row r="15" spans="1:114" ht="19.5" thickBot="1">
      <c r="A15" s="19">
        <v>4</v>
      </c>
      <c r="B15" s="20" t="s">
        <v>8</v>
      </c>
      <c r="C15" s="48">
        <v>561</v>
      </c>
      <c r="D15" s="40">
        <v>1190658</v>
      </c>
      <c r="E15" s="56">
        <v>0</v>
      </c>
      <c r="F15" s="533">
        <f t="shared" ref="F15" si="6">E15/AI15*100</f>
        <v>0</v>
      </c>
      <c r="G15" s="56">
        <v>167</v>
      </c>
      <c r="H15" s="523">
        <f t="shared" ref="H15" si="7">G15/AI15*100</f>
        <v>0.29155027932960892</v>
      </c>
      <c r="I15" s="56"/>
      <c r="J15" s="523">
        <f t="shared" ref="J15" si="8">I15/AI15*100</f>
        <v>0</v>
      </c>
      <c r="K15" s="245"/>
      <c r="L15" s="56">
        <v>17</v>
      </c>
      <c r="M15" s="110">
        <v>0</v>
      </c>
      <c r="N15" s="118"/>
      <c r="O15" s="34" t="s">
        <v>298</v>
      </c>
      <c r="P15" s="37"/>
      <c r="Q15" s="56">
        <v>179</v>
      </c>
      <c r="R15" s="40" t="s">
        <v>81</v>
      </c>
      <c r="S15" s="40" t="s">
        <v>81</v>
      </c>
      <c r="T15" s="40">
        <v>87.14</v>
      </c>
      <c r="U15" s="250">
        <f>23*100/C15</f>
        <v>4.0998217468805702</v>
      </c>
      <c r="V15" s="40">
        <v>16.22</v>
      </c>
      <c r="W15" s="34"/>
      <c r="X15" s="45"/>
      <c r="Y15" s="68">
        <v>7.3</v>
      </c>
      <c r="Z15" s="69">
        <v>6.8</v>
      </c>
      <c r="AA15" s="69">
        <v>6.8</v>
      </c>
      <c r="AB15" s="69">
        <v>59.3</v>
      </c>
      <c r="AC15" s="59"/>
      <c r="AD15" s="34"/>
      <c r="AE15" s="34"/>
      <c r="AF15" s="21"/>
      <c r="AG15" s="34"/>
      <c r="AH15" s="45"/>
      <c r="AI15" s="267">
        <v>57280</v>
      </c>
      <c r="AJ15" s="543">
        <f>SUM(C16:AH16)</f>
        <v>56.6</v>
      </c>
      <c r="AK15" s="847"/>
      <c r="AL15" s="847"/>
      <c r="AM15" s="847"/>
      <c r="AN15" s="847"/>
      <c r="AO15" s="847"/>
      <c r="AP15" s="847"/>
      <c r="AQ15" s="847"/>
      <c r="AR15" s="847"/>
      <c r="AS15" s="847"/>
      <c r="AT15" s="847"/>
      <c r="AU15" s="847"/>
      <c r="AV15" s="847"/>
      <c r="AW15" s="847"/>
      <c r="AX15" s="847"/>
      <c r="AY15" s="847"/>
      <c r="AZ15" s="847"/>
      <c r="BA15" s="847"/>
      <c r="BB15" s="847"/>
      <c r="BC15" s="847"/>
      <c r="BD15" s="847"/>
      <c r="BE15" s="847"/>
      <c r="BF15" s="847"/>
      <c r="BG15" s="847"/>
      <c r="BH15" s="847"/>
      <c r="BI15" s="847"/>
      <c r="BJ15" s="847"/>
      <c r="BK15" s="847"/>
      <c r="BL15" s="847"/>
      <c r="BM15" s="847"/>
      <c r="BN15" s="847"/>
      <c r="BO15" s="847"/>
      <c r="BP15" s="847"/>
      <c r="BQ15" s="847"/>
      <c r="BR15" s="847"/>
      <c r="BS15" s="847"/>
      <c r="BT15" s="847"/>
      <c r="BU15" s="847"/>
      <c r="BV15" s="847"/>
      <c r="BW15" s="847"/>
      <c r="BX15" s="847"/>
      <c r="BY15" s="847"/>
      <c r="BZ15" s="847"/>
      <c r="CA15" s="847"/>
      <c r="CB15" s="847"/>
      <c r="CC15" s="847"/>
      <c r="CD15" s="847"/>
      <c r="CE15" s="847"/>
      <c r="CF15" s="847"/>
      <c r="CG15" s="847"/>
      <c r="CH15" s="847"/>
      <c r="CI15" s="847"/>
      <c r="CJ15" s="847"/>
      <c r="CK15" s="847"/>
      <c r="CL15" s="847"/>
      <c r="CM15" s="847"/>
      <c r="CN15" s="847"/>
      <c r="CO15" s="847"/>
      <c r="CP15" s="847"/>
      <c r="CQ15" s="847"/>
      <c r="CR15" s="847"/>
      <c r="CS15" s="847"/>
      <c r="CT15" s="847"/>
      <c r="CU15" s="847"/>
      <c r="CV15" s="847"/>
      <c r="CW15" s="847"/>
      <c r="CX15" s="847"/>
      <c r="CY15" s="847"/>
      <c r="CZ15" s="847"/>
      <c r="DA15" s="847"/>
      <c r="DB15" s="847"/>
      <c r="DC15" s="847"/>
      <c r="DD15" s="847"/>
      <c r="DE15" s="847"/>
      <c r="DF15" s="847"/>
      <c r="DG15" s="847"/>
      <c r="DH15" s="847"/>
      <c r="DI15" s="847"/>
      <c r="DJ15" s="847"/>
    </row>
    <row r="16" spans="1:114" s="76" customFormat="1" ht="19.5" thickBot="1">
      <c r="A16" s="218"/>
      <c r="B16" s="219"/>
      <c r="C16" s="220"/>
      <c r="D16" s="221"/>
      <c r="E16" s="222"/>
      <c r="F16" s="207">
        <v>5</v>
      </c>
      <c r="G16" s="222"/>
      <c r="H16" s="207">
        <v>4</v>
      </c>
      <c r="I16" s="222"/>
      <c r="J16" s="207">
        <v>6</v>
      </c>
      <c r="K16" s="221">
        <v>-0.4</v>
      </c>
      <c r="L16" s="222">
        <v>1</v>
      </c>
      <c r="M16" s="223">
        <v>10</v>
      </c>
      <c r="N16" s="223"/>
      <c r="O16" s="224">
        <v>10</v>
      </c>
      <c r="P16" s="224"/>
      <c r="Q16" s="222">
        <v>10</v>
      </c>
      <c r="R16" s="221">
        <v>0</v>
      </c>
      <c r="S16" s="221">
        <v>0</v>
      </c>
      <c r="T16" s="221">
        <v>9</v>
      </c>
      <c r="U16" s="251">
        <v>0</v>
      </c>
      <c r="V16" s="221">
        <v>2</v>
      </c>
      <c r="W16" s="224"/>
      <c r="X16" s="225"/>
      <c r="Y16" s="226"/>
      <c r="Z16" s="224"/>
      <c r="AA16" s="224"/>
      <c r="AB16" s="224"/>
      <c r="AC16" s="227"/>
      <c r="AD16" s="224"/>
      <c r="AE16" s="224"/>
      <c r="AF16" s="228"/>
      <c r="AG16" s="224"/>
      <c r="AH16" s="225"/>
      <c r="AI16" s="270"/>
      <c r="AJ16" s="104"/>
      <c r="AK16" s="847"/>
      <c r="AL16" s="847"/>
      <c r="AM16" s="847"/>
      <c r="AN16" s="847"/>
      <c r="AO16" s="847"/>
      <c r="AP16" s="847"/>
      <c r="AQ16" s="847"/>
      <c r="AR16" s="847"/>
      <c r="AS16" s="847"/>
      <c r="AT16" s="847"/>
      <c r="AU16" s="847"/>
      <c r="AV16" s="847"/>
      <c r="AW16" s="847"/>
      <c r="AX16" s="847"/>
      <c r="AY16" s="847"/>
      <c r="AZ16" s="847"/>
      <c r="BA16" s="847"/>
      <c r="BB16" s="847"/>
      <c r="BC16" s="847"/>
      <c r="BD16" s="847"/>
      <c r="BE16" s="847"/>
      <c r="BF16" s="847"/>
      <c r="BG16" s="847"/>
      <c r="BH16" s="847"/>
      <c r="BI16" s="847"/>
      <c r="BJ16" s="847"/>
      <c r="BK16" s="847"/>
      <c r="BL16" s="847"/>
      <c r="BM16" s="847"/>
      <c r="BN16" s="847"/>
      <c r="BO16" s="847"/>
      <c r="BP16" s="847"/>
      <c r="BQ16" s="847"/>
      <c r="BR16" s="847"/>
      <c r="BS16" s="847"/>
      <c r="BT16" s="847"/>
      <c r="BU16" s="847"/>
      <c r="BV16" s="847"/>
      <c r="BW16" s="847"/>
      <c r="BX16" s="847"/>
      <c r="BY16" s="847"/>
      <c r="BZ16" s="847"/>
      <c r="CA16" s="847"/>
      <c r="CB16" s="847"/>
      <c r="CC16" s="847"/>
      <c r="CD16" s="847"/>
      <c r="CE16" s="847"/>
      <c r="CF16" s="847"/>
      <c r="CG16" s="847"/>
      <c r="CH16" s="847"/>
      <c r="CI16" s="847"/>
      <c r="CJ16" s="847"/>
      <c r="CK16" s="847"/>
      <c r="CL16" s="847"/>
      <c r="CM16" s="847"/>
      <c r="CN16" s="847"/>
      <c r="CO16" s="847"/>
      <c r="CP16" s="847"/>
      <c r="CQ16" s="847"/>
      <c r="CR16" s="847"/>
      <c r="CS16" s="847"/>
      <c r="CT16" s="847"/>
      <c r="CU16" s="847"/>
      <c r="CV16" s="847"/>
      <c r="CW16" s="847"/>
      <c r="CX16" s="847"/>
      <c r="CY16" s="847"/>
      <c r="CZ16" s="847"/>
      <c r="DA16" s="847"/>
      <c r="DB16" s="847"/>
      <c r="DC16" s="847"/>
      <c r="DD16" s="847"/>
      <c r="DE16" s="847"/>
      <c r="DF16" s="847"/>
      <c r="DG16" s="847"/>
      <c r="DH16" s="847"/>
      <c r="DI16" s="847"/>
      <c r="DJ16" s="847"/>
    </row>
    <row r="17" spans="1:114" ht="19.5" thickBot="1">
      <c r="A17" s="19">
        <v>5</v>
      </c>
      <c r="B17" s="20" t="s">
        <v>57</v>
      </c>
      <c r="C17" s="34">
        <v>12</v>
      </c>
      <c r="D17" s="34"/>
      <c r="E17" s="56">
        <v>0</v>
      </c>
      <c r="F17" s="533">
        <f t="shared" ref="F17" si="9">E17/AI17*100</f>
        <v>0</v>
      </c>
      <c r="G17" s="56">
        <v>4</v>
      </c>
      <c r="H17" s="523">
        <f t="shared" ref="H17" si="10">G17/AI17*100</f>
        <v>0.16611295681063123</v>
      </c>
      <c r="I17" s="56"/>
      <c r="J17" s="523">
        <f t="shared" ref="J17" si="11">I17/AI17*100</f>
        <v>0</v>
      </c>
      <c r="K17" s="674"/>
      <c r="L17" s="56">
        <v>4</v>
      </c>
      <c r="M17" s="44">
        <v>0</v>
      </c>
      <c r="N17" s="116"/>
      <c r="O17" s="34">
        <v>0</v>
      </c>
      <c r="P17" s="34"/>
      <c r="Q17" s="56">
        <v>0</v>
      </c>
      <c r="R17" s="34" t="s">
        <v>81</v>
      </c>
      <c r="S17" s="34" t="s">
        <v>81</v>
      </c>
      <c r="T17" s="34">
        <v>0</v>
      </c>
      <c r="U17" s="250">
        <v>0</v>
      </c>
      <c r="V17" s="34">
        <v>0</v>
      </c>
      <c r="W17" s="34"/>
      <c r="X17" s="45"/>
      <c r="Y17" s="68"/>
      <c r="Z17" s="69"/>
      <c r="AA17" s="69"/>
      <c r="AB17" s="69"/>
      <c r="AC17" s="59"/>
      <c r="AD17" s="34"/>
      <c r="AE17" s="34"/>
      <c r="AF17" s="21"/>
      <c r="AG17" s="34"/>
      <c r="AH17" s="45"/>
      <c r="AI17" s="269">
        <v>2408</v>
      </c>
      <c r="AJ17" s="542">
        <f>SUM(C18:AH18)</f>
        <v>49</v>
      </c>
      <c r="AK17" s="847"/>
      <c r="AL17" s="847"/>
      <c r="AM17" s="847"/>
      <c r="AN17" s="847"/>
      <c r="AO17" s="847"/>
      <c r="AP17" s="847"/>
      <c r="AQ17" s="847"/>
      <c r="AR17" s="847"/>
      <c r="AS17" s="847"/>
      <c r="AT17" s="847"/>
      <c r="AU17" s="847"/>
      <c r="AV17" s="847"/>
      <c r="AW17" s="847"/>
      <c r="AX17" s="847"/>
      <c r="AY17" s="847"/>
      <c r="AZ17" s="847"/>
      <c r="BA17" s="847"/>
      <c r="BB17" s="847"/>
      <c r="BC17" s="847"/>
      <c r="BD17" s="847"/>
      <c r="BE17" s="847"/>
      <c r="BF17" s="847"/>
      <c r="BG17" s="847"/>
      <c r="BH17" s="847"/>
      <c r="BI17" s="847"/>
      <c r="BJ17" s="847"/>
      <c r="BK17" s="847"/>
      <c r="BL17" s="847"/>
      <c r="BM17" s="847"/>
      <c r="BN17" s="847"/>
      <c r="BO17" s="847"/>
      <c r="BP17" s="847"/>
      <c r="BQ17" s="847"/>
      <c r="BR17" s="847"/>
      <c r="BS17" s="847"/>
      <c r="BT17" s="847"/>
      <c r="BU17" s="847"/>
      <c r="BV17" s="847"/>
      <c r="BW17" s="847"/>
      <c r="BX17" s="847"/>
      <c r="BY17" s="847"/>
      <c r="BZ17" s="847"/>
      <c r="CA17" s="847"/>
      <c r="CB17" s="847"/>
      <c r="CC17" s="847"/>
      <c r="CD17" s="847"/>
      <c r="CE17" s="847"/>
      <c r="CF17" s="847"/>
      <c r="CG17" s="847"/>
      <c r="CH17" s="847"/>
      <c r="CI17" s="847"/>
      <c r="CJ17" s="847"/>
      <c r="CK17" s="847"/>
      <c r="CL17" s="847"/>
      <c r="CM17" s="847"/>
      <c r="CN17" s="847"/>
      <c r="CO17" s="847"/>
      <c r="CP17" s="847"/>
      <c r="CQ17" s="847"/>
      <c r="CR17" s="847"/>
      <c r="CS17" s="847"/>
      <c r="CT17" s="847"/>
      <c r="CU17" s="847"/>
      <c r="CV17" s="847"/>
      <c r="CW17" s="847"/>
      <c r="CX17" s="847"/>
      <c r="CY17" s="847"/>
      <c r="CZ17" s="847"/>
      <c r="DA17" s="847"/>
      <c r="DB17" s="847"/>
      <c r="DC17" s="847"/>
      <c r="DD17" s="847"/>
      <c r="DE17" s="847"/>
      <c r="DF17" s="847"/>
      <c r="DG17" s="847"/>
      <c r="DH17" s="847"/>
      <c r="DI17" s="847"/>
      <c r="DJ17" s="847"/>
    </row>
    <row r="18" spans="1:114" s="27" customFormat="1" ht="19.5" thickBot="1">
      <c r="A18" s="218"/>
      <c r="B18" s="229"/>
      <c r="C18" s="224"/>
      <c r="D18" s="224"/>
      <c r="E18" s="222"/>
      <c r="F18" s="207">
        <v>10</v>
      </c>
      <c r="G18" s="222"/>
      <c r="H18" s="207">
        <v>0</v>
      </c>
      <c r="I18" s="222"/>
      <c r="J18" s="207">
        <v>9</v>
      </c>
      <c r="K18" s="224"/>
      <c r="L18" s="222">
        <v>10</v>
      </c>
      <c r="M18" s="223">
        <v>10</v>
      </c>
      <c r="N18" s="223"/>
      <c r="O18" s="224">
        <v>10</v>
      </c>
      <c r="P18" s="224"/>
      <c r="Q18" s="222">
        <v>0</v>
      </c>
      <c r="R18" s="224">
        <v>0</v>
      </c>
      <c r="S18" s="224">
        <v>0</v>
      </c>
      <c r="T18" s="224">
        <v>0</v>
      </c>
      <c r="U18" s="251">
        <v>0</v>
      </c>
      <c r="V18" s="224">
        <v>0</v>
      </c>
      <c r="W18" s="224"/>
      <c r="X18" s="225"/>
      <c r="Y18" s="226"/>
      <c r="Z18" s="224"/>
      <c r="AA18" s="224"/>
      <c r="AB18" s="224"/>
      <c r="AC18" s="227"/>
      <c r="AD18" s="224"/>
      <c r="AE18" s="224"/>
      <c r="AF18" s="228"/>
      <c r="AG18" s="224"/>
      <c r="AH18" s="225"/>
      <c r="AI18" s="271"/>
      <c r="AJ18" s="108"/>
      <c r="AK18" s="847"/>
      <c r="AL18" s="847"/>
      <c r="AM18" s="847"/>
      <c r="AN18" s="847"/>
      <c r="AO18" s="847"/>
      <c r="AP18" s="847"/>
      <c r="AQ18" s="847"/>
      <c r="AR18" s="847"/>
      <c r="AS18" s="847"/>
      <c r="AT18" s="847"/>
      <c r="AU18" s="847"/>
      <c r="AV18" s="847"/>
      <c r="AW18" s="847"/>
      <c r="AX18" s="847"/>
      <c r="AY18" s="847"/>
      <c r="AZ18" s="847"/>
      <c r="BA18" s="847"/>
      <c r="BB18" s="847"/>
      <c r="BC18" s="847"/>
      <c r="BD18" s="847"/>
      <c r="BE18" s="847"/>
      <c r="BF18" s="847"/>
      <c r="BG18" s="847"/>
      <c r="BH18" s="847"/>
      <c r="BI18" s="847"/>
      <c r="BJ18" s="847"/>
      <c r="BK18" s="847"/>
      <c r="BL18" s="847"/>
      <c r="BM18" s="847"/>
      <c r="BN18" s="847"/>
      <c r="BO18" s="847"/>
      <c r="BP18" s="847"/>
      <c r="BQ18" s="847"/>
      <c r="BR18" s="847"/>
      <c r="BS18" s="847"/>
      <c r="BT18" s="847"/>
      <c r="BU18" s="847"/>
      <c r="BV18" s="847"/>
      <c r="BW18" s="847"/>
      <c r="BX18" s="847"/>
      <c r="BY18" s="847"/>
      <c r="BZ18" s="847"/>
      <c r="CA18" s="847"/>
      <c r="CB18" s="847"/>
      <c r="CC18" s="847"/>
      <c r="CD18" s="847"/>
      <c r="CE18" s="847"/>
      <c r="CF18" s="847"/>
      <c r="CG18" s="847"/>
      <c r="CH18" s="847"/>
      <c r="CI18" s="847"/>
      <c r="CJ18" s="847"/>
      <c r="CK18" s="847"/>
      <c r="CL18" s="847"/>
      <c r="CM18" s="847"/>
      <c r="CN18" s="847"/>
      <c r="CO18" s="847"/>
      <c r="CP18" s="847"/>
      <c r="CQ18" s="847"/>
      <c r="CR18" s="847"/>
      <c r="CS18" s="847"/>
      <c r="CT18" s="847"/>
      <c r="CU18" s="847"/>
      <c r="CV18" s="847"/>
      <c r="CW18" s="847"/>
      <c r="CX18" s="847"/>
      <c r="CY18" s="847"/>
      <c r="CZ18" s="847"/>
      <c r="DA18" s="847"/>
      <c r="DB18" s="847"/>
      <c r="DC18" s="847"/>
      <c r="DD18" s="847"/>
      <c r="DE18" s="847"/>
      <c r="DF18" s="847"/>
      <c r="DG18" s="847"/>
      <c r="DH18" s="847"/>
      <c r="DI18" s="847"/>
      <c r="DJ18" s="847"/>
    </row>
    <row r="19" spans="1:114" ht="19.5" thickBot="1">
      <c r="A19" s="19">
        <v>6</v>
      </c>
      <c r="B19" s="20" t="s">
        <v>9</v>
      </c>
      <c r="C19" s="34">
        <v>120</v>
      </c>
      <c r="D19" s="34"/>
      <c r="E19" s="56">
        <v>0</v>
      </c>
      <c r="F19" s="533">
        <f t="shared" ref="F19" si="12">E19/AI19*100</f>
        <v>0</v>
      </c>
      <c r="G19" s="56">
        <v>23</v>
      </c>
      <c r="H19" s="523">
        <f t="shared" ref="H19" si="13">G19/AI19*100</f>
        <v>0.10532100009158349</v>
      </c>
      <c r="I19" s="56"/>
      <c r="J19" s="523">
        <f t="shared" ref="J19" si="14">I19/AI19*100</f>
        <v>0</v>
      </c>
      <c r="K19" s="674"/>
      <c r="L19" s="56">
        <v>1</v>
      </c>
      <c r="M19" s="44">
        <v>0</v>
      </c>
      <c r="N19" s="116"/>
      <c r="O19" s="40">
        <v>0</v>
      </c>
      <c r="P19" s="40"/>
      <c r="Q19" s="56">
        <v>110</v>
      </c>
      <c r="R19" s="40" t="s">
        <v>81</v>
      </c>
      <c r="S19" s="40" t="s">
        <v>81</v>
      </c>
      <c r="T19" s="40">
        <v>65.319999999999993</v>
      </c>
      <c r="U19" s="250">
        <f>117*100/C19</f>
        <v>97.5</v>
      </c>
      <c r="V19" s="40">
        <v>0</v>
      </c>
      <c r="W19" s="34"/>
      <c r="X19" s="45"/>
      <c r="Y19" s="68">
        <v>80.56</v>
      </c>
      <c r="Z19" s="69">
        <v>77.78</v>
      </c>
      <c r="AA19" s="69">
        <v>77.78</v>
      </c>
      <c r="AB19" s="69">
        <v>100</v>
      </c>
      <c r="AC19" s="59"/>
      <c r="AD19" s="34"/>
      <c r="AE19" s="34"/>
      <c r="AF19" s="21"/>
      <c r="AG19" s="34"/>
      <c r="AH19" s="45"/>
      <c r="AI19" s="267">
        <f>21838</f>
        <v>21838</v>
      </c>
      <c r="AJ19" s="543">
        <f>SUM(C20:AH20)</f>
        <v>96.2</v>
      </c>
      <c r="AK19" s="847"/>
      <c r="AL19" s="847"/>
      <c r="AM19" s="847"/>
      <c r="AN19" s="847"/>
      <c r="AO19" s="847"/>
      <c r="AP19" s="847"/>
      <c r="AQ19" s="847"/>
      <c r="AR19" s="847"/>
      <c r="AS19" s="847"/>
      <c r="AT19" s="847"/>
      <c r="AU19" s="847"/>
      <c r="AV19" s="847"/>
      <c r="AW19" s="847"/>
      <c r="AX19" s="847"/>
      <c r="AY19" s="847"/>
      <c r="AZ19" s="847"/>
      <c r="BA19" s="847"/>
      <c r="BB19" s="847"/>
      <c r="BC19" s="847"/>
      <c r="BD19" s="847"/>
      <c r="BE19" s="847"/>
      <c r="BF19" s="847"/>
      <c r="BG19" s="847"/>
      <c r="BH19" s="847"/>
      <c r="BI19" s="847"/>
      <c r="BJ19" s="847"/>
      <c r="BK19" s="847"/>
      <c r="BL19" s="847"/>
      <c r="BM19" s="847"/>
      <c r="BN19" s="847"/>
      <c r="BO19" s="847"/>
      <c r="BP19" s="847"/>
      <c r="BQ19" s="847"/>
      <c r="BR19" s="847"/>
      <c r="BS19" s="847"/>
      <c r="BT19" s="847"/>
      <c r="BU19" s="847"/>
      <c r="BV19" s="847"/>
      <c r="BW19" s="847"/>
      <c r="BX19" s="847"/>
      <c r="BY19" s="847"/>
      <c r="BZ19" s="847"/>
      <c r="CA19" s="847"/>
      <c r="CB19" s="847"/>
      <c r="CC19" s="847"/>
      <c r="CD19" s="847"/>
      <c r="CE19" s="847"/>
      <c r="CF19" s="847"/>
      <c r="CG19" s="847"/>
      <c r="CH19" s="847"/>
      <c r="CI19" s="847"/>
      <c r="CJ19" s="847"/>
      <c r="CK19" s="847"/>
      <c r="CL19" s="847"/>
      <c r="CM19" s="847"/>
      <c r="CN19" s="847"/>
      <c r="CO19" s="847"/>
      <c r="CP19" s="847"/>
      <c r="CQ19" s="847"/>
      <c r="CR19" s="847"/>
      <c r="CS19" s="847"/>
      <c r="CT19" s="847"/>
      <c r="CU19" s="847"/>
      <c r="CV19" s="847"/>
      <c r="CW19" s="847"/>
      <c r="CX19" s="847"/>
      <c r="CY19" s="847"/>
      <c r="CZ19" s="847"/>
      <c r="DA19" s="847"/>
      <c r="DB19" s="847"/>
      <c r="DC19" s="847"/>
      <c r="DD19" s="847"/>
      <c r="DE19" s="847"/>
      <c r="DF19" s="847"/>
      <c r="DG19" s="847"/>
      <c r="DH19" s="847"/>
      <c r="DI19" s="847"/>
      <c r="DJ19" s="847"/>
    </row>
    <row r="20" spans="1:114" s="27" customFormat="1" ht="19.5" thickBot="1">
      <c r="A20" s="203"/>
      <c r="B20" s="204"/>
      <c r="C20" s="205"/>
      <c r="D20" s="205"/>
      <c r="E20" s="207"/>
      <c r="F20" s="207">
        <v>0</v>
      </c>
      <c r="G20" s="207"/>
      <c r="H20" s="207">
        <v>5</v>
      </c>
      <c r="I20" s="207"/>
      <c r="J20" s="207">
        <v>0</v>
      </c>
      <c r="K20" s="205">
        <v>-0.8</v>
      </c>
      <c r="L20" s="207">
        <v>10</v>
      </c>
      <c r="M20" s="206">
        <v>10</v>
      </c>
      <c r="N20" s="206"/>
      <c r="O20" s="215">
        <v>10</v>
      </c>
      <c r="P20" s="215"/>
      <c r="Q20" s="207">
        <v>10</v>
      </c>
      <c r="R20" s="215">
        <v>0</v>
      </c>
      <c r="S20" s="215">
        <v>0</v>
      </c>
      <c r="T20" s="215">
        <v>7</v>
      </c>
      <c r="U20" s="249">
        <v>10</v>
      </c>
      <c r="V20" s="215">
        <v>0</v>
      </c>
      <c r="W20" s="205"/>
      <c r="X20" s="208"/>
      <c r="Y20" s="209">
        <v>9</v>
      </c>
      <c r="Z20" s="205">
        <v>8</v>
      </c>
      <c r="AA20" s="205">
        <v>8</v>
      </c>
      <c r="AB20" s="205">
        <v>10</v>
      </c>
      <c r="AC20" s="210"/>
      <c r="AD20" s="205"/>
      <c r="AE20" s="205"/>
      <c r="AF20" s="211"/>
      <c r="AG20" s="205"/>
      <c r="AH20" s="208"/>
      <c r="AI20" s="268"/>
      <c r="AJ20" s="104"/>
      <c r="AK20" s="847"/>
      <c r="AL20" s="847"/>
      <c r="AM20" s="847"/>
      <c r="AN20" s="847"/>
      <c r="AO20" s="847"/>
      <c r="AP20" s="847"/>
      <c r="AQ20" s="847"/>
      <c r="AR20" s="847"/>
      <c r="AS20" s="847"/>
      <c r="AT20" s="847"/>
      <c r="AU20" s="847"/>
      <c r="AV20" s="847"/>
      <c r="AW20" s="847"/>
      <c r="AX20" s="847"/>
      <c r="AY20" s="847"/>
      <c r="AZ20" s="847"/>
      <c r="BA20" s="847"/>
      <c r="BB20" s="847"/>
      <c r="BC20" s="847"/>
      <c r="BD20" s="847"/>
      <c r="BE20" s="847"/>
      <c r="BF20" s="847"/>
      <c r="BG20" s="847"/>
      <c r="BH20" s="847"/>
      <c r="BI20" s="847"/>
      <c r="BJ20" s="847"/>
      <c r="BK20" s="847"/>
      <c r="BL20" s="847"/>
      <c r="BM20" s="847"/>
      <c r="BN20" s="847"/>
      <c r="BO20" s="847"/>
      <c r="BP20" s="847"/>
      <c r="BQ20" s="847"/>
      <c r="BR20" s="847"/>
      <c r="BS20" s="847"/>
      <c r="BT20" s="847"/>
      <c r="BU20" s="847"/>
      <c r="BV20" s="847"/>
      <c r="BW20" s="847"/>
      <c r="BX20" s="847"/>
      <c r="BY20" s="847"/>
      <c r="BZ20" s="847"/>
      <c r="CA20" s="847"/>
      <c r="CB20" s="847"/>
      <c r="CC20" s="847"/>
      <c r="CD20" s="847"/>
      <c r="CE20" s="847"/>
      <c r="CF20" s="847"/>
      <c r="CG20" s="847"/>
      <c r="CH20" s="847"/>
      <c r="CI20" s="847"/>
      <c r="CJ20" s="847"/>
      <c r="CK20" s="847"/>
      <c r="CL20" s="847"/>
      <c r="CM20" s="847"/>
      <c r="CN20" s="847"/>
      <c r="CO20" s="847"/>
      <c r="CP20" s="847"/>
      <c r="CQ20" s="847"/>
      <c r="CR20" s="847"/>
      <c r="CS20" s="847"/>
      <c r="CT20" s="847"/>
      <c r="CU20" s="847"/>
      <c r="CV20" s="847"/>
      <c r="CW20" s="847"/>
      <c r="CX20" s="847"/>
      <c r="CY20" s="847"/>
      <c r="CZ20" s="847"/>
      <c r="DA20" s="847"/>
      <c r="DB20" s="847"/>
      <c r="DC20" s="847"/>
      <c r="DD20" s="847"/>
      <c r="DE20" s="847"/>
      <c r="DF20" s="847"/>
      <c r="DG20" s="847"/>
      <c r="DH20" s="847"/>
      <c r="DI20" s="847"/>
      <c r="DJ20" s="847"/>
    </row>
    <row r="21" spans="1:114" s="3" customFormat="1" ht="19.5" thickBot="1">
      <c r="A21" s="19">
        <v>7</v>
      </c>
      <c r="B21" s="20" t="s">
        <v>10</v>
      </c>
      <c r="C21" s="48">
        <v>20</v>
      </c>
      <c r="D21" s="42"/>
      <c r="E21" s="56">
        <v>0</v>
      </c>
      <c r="F21" s="533">
        <f t="shared" ref="F21" si="15">E21/AI21*100</f>
        <v>0</v>
      </c>
      <c r="G21" s="56">
        <v>6</v>
      </c>
      <c r="H21" s="523">
        <f t="shared" ref="H21" si="16">G21/AI21*100</f>
        <v>4.6634540649774597E-2</v>
      </c>
      <c r="I21" s="56"/>
      <c r="J21" s="523">
        <f t="shared" ref="J21" si="17">I21/AI21*100</f>
        <v>0</v>
      </c>
      <c r="K21" s="675"/>
      <c r="L21" s="74">
        <v>0</v>
      </c>
      <c r="M21" s="246">
        <v>0</v>
      </c>
      <c r="N21" s="247"/>
      <c r="O21" s="34">
        <v>0</v>
      </c>
      <c r="P21" s="34"/>
      <c r="Q21" s="56">
        <v>18</v>
      </c>
      <c r="R21" s="34" t="s">
        <v>81</v>
      </c>
      <c r="S21" s="34" t="s">
        <v>81</v>
      </c>
      <c r="T21" s="40">
        <v>40.5</v>
      </c>
      <c r="U21" s="250">
        <f>17*100/C21</f>
        <v>85</v>
      </c>
      <c r="V21" s="40">
        <v>0</v>
      </c>
      <c r="W21" s="34"/>
      <c r="X21" s="45"/>
      <c r="Y21" s="68">
        <v>95</v>
      </c>
      <c r="Z21" s="69">
        <v>85</v>
      </c>
      <c r="AA21" s="69">
        <v>85</v>
      </c>
      <c r="AB21" s="69">
        <v>100</v>
      </c>
      <c r="AC21" s="59"/>
      <c r="AD21" s="34"/>
      <c r="AE21" s="34"/>
      <c r="AF21" s="21"/>
      <c r="AG21" s="34"/>
      <c r="AH21" s="45"/>
      <c r="AI21" s="269">
        <v>12866</v>
      </c>
      <c r="AJ21" s="542">
        <f>SUM(C22:AH22)</f>
        <v>105.2</v>
      </c>
      <c r="AK21" s="847"/>
      <c r="AL21" s="847"/>
      <c r="AM21" s="847"/>
      <c r="AN21" s="847"/>
      <c r="AO21" s="847"/>
      <c r="AP21" s="847"/>
      <c r="AQ21" s="847"/>
      <c r="AR21" s="847"/>
      <c r="AS21" s="847"/>
      <c r="AT21" s="847"/>
      <c r="AU21" s="847"/>
      <c r="AV21" s="847"/>
      <c r="AW21" s="847"/>
      <c r="AX21" s="847"/>
      <c r="AY21" s="847"/>
      <c r="AZ21" s="847"/>
      <c r="BA21" s="847"/>
      <c r="BB21" s="847"/>
      <c r="BC21" s="847"/>
      <c r="BD21" s="847"/>
      <c r="BE21" s="847"/>
      <c r="BF21" s="847"/>
      <c r="BG21" s="847"/>
      <c r="BH21" s="847"/>
      <c r="BI21" s="847"/>
      <c r="BJ21" s="847"/>
      <c r="BK21" s="847"/>
      <c r="BL21" s="847"/>
      <c r="BM21" s="847"/>
      <c r="BN21" s="847"/>
      <c r="BO21" s="847"/>
      <c r="BP21" s="847"/>
      <c r="BQ21" s="847"/>
      <c r="BR21" s="847"/>
      <c r="BS21" s="847"/>
      <c r="BT21" s="847"/>
      <c r="BU21" s="847"/>
      <c r="BV21" s="847"/>
      <c r="BW21" s="847"/>
      <c r="BX21" s="847"/>
      <c r="BY21" s="847"/>
      <c r="BZ21" s="847"/>
      <c r="CA21" s="847"/>
      <c r="CB21" s="847"/>
      <c r="CC21" s="847"/>
      <c r="CD21" s="847"/>
      <c r="CE21" s="847"/>
      <c r="CF21" s="847"/>
      <c r="CG21" s="847"/>
      <c r="CH21" s="847"/>
      <c r="CI21" s="847"/>
      <c r="CJ21" s="847"/>
      <c r="CK21" s="847"/>
      <c r="CL21" s="847"/>
      <c r="CM21" s="847"/>
      <c r="CN21" s="847"/>
      <c r="CO21" s="847"/>
      <c r="CP21" s="847"/>
      <c r="CQ21" s="847"/>
      <c r="CR21" s="847"/>
      <c r="CS21" s="847"/>
      <c r="CT21" s="847"/>
      <c r="CU21" s="847"/>
      <c r="CV21" s="847"/>
      <c r="CW21" s="847"/>
      <c r="CX21" s="847"/>
      <c r="CY21" s="847"/>
      <c r="CZ21" s="847"/>
      <c r="DA21" s="847"/>
      <c r="DB21" s="847"/>
      <c r="DC21" s="847"/>
      <c r="DD21" s="847"/>
      <c r="DE21" s="847"/>
      <c r="DF21" s="847"/>
      <c r="DG21" s="847"/>
      <c r="DH21" s="847"/>
      <c r="DI21" s="847"/>
      <c r="DJ21" s="847"/>
    </row>
    <row r="22" spans="1:114" s="76" customFormat="1" ht="19.5" thickBot="1">
      <c r="A22" s="203"/>
      <c r="B22" s="230"/>
      <c r="C22" s="214"/>
      <c r="D22" s="215"/>
      <c r="E22" s="207"/>
      <c r="F22" s="207">
        <v>8</v>
      </c>
      <c r="G22" s="207"/>
      <c r="H22" s="207">
        <v>8</v>
      </c>
      <c r="I22" s="207"/>
      <c r="J22" s="207">
        <v>8</v>
      </c>
      <c r="K22" s="215">
        <v>-0.8</v>
      </c>
      <c r="L22" s="231">
        <v>8</v>
      </c>
      <c r="M22" s="232">
        <v>10</v>
      </c>
      <c r="N22" s="232"/>
      <c r="O22" s="205">
        <v>10</v>
      </c>
      <c r="P22" s="205"/>
      <c r="Q22" s="207">
        <v>2</v>
      </c>
      <c r="R22" s="205">
        <v>0</v>
      </c>
      <c r="S22" s="205">
        <v>0</v>
      </c>
      <c r="T22" s="215">
        <v>5</v>
      </c>
      <c r="U22" s="249">
        <v>9</v>
      </c>
      <c r="V22" s="215">
        <v>0</v>
      </c>
      <c r="W22" s="205"/>
      <c r="X22" s="208"/>
      <c r="Y22" s="209">
        <v>10</v>
      </c>
      <c r="Z22" s="205">
        <v>9</v>
      </c>
      <c r="AA22" s="205">
        <v>9</v>
      </c>
      <c r="AB22" s="205">
        <v>10</v>
      </c>
      <c r="AC22" s="210"/>
      <c r="AD22" s="205"/>
      <c r="AE22" s="205"/>
      <c r="AF22" s="211"/>
      <c r="AG22" s="205"/>
      <c r="AH22" s="208"/>
      <c r="AI22" s="266"/>
      <c r="AJ22" s="108"/>
      <c r="AK22" s="847"/>
      <c r="AL22" s="847"/>
      <c r="AM22" s="847"/>
      <c r="AN22" s="847"/>
      <c r="AO22" s="847"/>
      <c r="AP22" s="847"/>
      <c r="AQ22" s="847"/>
      <c r="AR22" s="847"/>
      <c r="AS22" s="847"/>
      <c r="AT22" s="847"/>
      <c r="AU22" s="847"/>
      <c r="AV22" s="847"/>
      <c r="AW22" s="847"/>
      <c r="AX22" s="847"/>
      <c r="AY22" s="847"/>
      <c r="AZ22" s="847"/>
      <c r="BA22" s="847"/>
      <c r="BB22" s="847"/>
      <c r="BC22" s="847"/>
      <c r="BD22" s="847"/>
      <c r="BE22" s="847"/>
      <c r="BF22" s="847"/>
      <c r="BG22" s="847"/>
      <c r="BH22" s="847"/>
      <c r="BI22" s="847"/>
      <c r="BJ22" s="847"/>
      <c r="BK22" s="847"/>
      <c r="BL22" s="847"/>
      <c r="BM22" s="847"/>
      <c r="BN22" s="847"/>
      <c r="BO22" s="847"/>
      <c r="BP22" s="847"/>
      <c r="BQ22" s="847"/>
      <c r="BR22" s="847"/>
      <c r="BS22" s="847"/>
      <c r="BT22" s="847"/>
      <c r="BU22" s="847"/>
      <c r="BV22" s="847"/>
      <c r="BW22" s="847"/>
      <c r="BX22" s="847"/>
      <c r="BY22" s="847"/>
      <c r="BZ22" s="847"/>
      <c r="CA22" s="847"/>
      <c r="CB22" s="847"/>
      <c r="CC22" s="847"/>
      <c r="CD22" s="847"/>
      <c r="CE22" s="847"/>
      <c r="CF22" s="847"/>
      <c r="CG22" s="847"/>
      <c r="CH22" s="847"/>
      <c r="CI22" s="847"/>
      <c r="CJ22" s="847"/>
      <c r="CK22" s="847"/>
      <c r="CL22" s="847"/>
      <c r="CM22" s="847"/>
      <c r="CN22" s="847"/>
      <c r="CO22" s="847"/>
      <c r="CP22" s="847"/>
      <c r="CQ22" s="847"/>
      <c r="CR22" s="847"/>
      <c r="CS22" s="847"/>
      <c r="CT22" s="847"/>
      <c r="CU22" s="847"/>
      <c r="CV22" s="847"/>
      <c r="CW22" s="847"/>
      <c r="CX22" s="847"/>
      <c r="CY22" s="847"/>
      <c r="CZ22" s="847"/>
      <c r="DA22" s="847"/>
      <c r="DB22" s="847"/>
      <c r="DC22" s="847"/>
      <c r="DD22" s="847"/>
      <c r="DE22" s="847"/>
      <c r="DF22" s="847"/>
      <c r="DG22" s="847"/>
      <c r="DH22" s="847"/>
      <c r="DI22" s="847"/>
      <c r="DJ22" s="847"/>
    </row>
    <row r="23" spans="1:114" ht="19.5" thickBot="1">
      <c r="A23" s="19">
        <v>8</v>
      </c>
      <c r="B23" s="20" t="s">
        <v>58</v>
      </c>
      <c r="C23" s="48">
        <v>158</v>
      </c>
      <c r="D23" s="34"/>
      <c r="E23" s="56">
        <v>0</v>
      </c>
      <c r="F23" s="533">
        <f t="shared" ref="F23" si="18">E23/AI23*100</f>
        <v>0</v>
      </c>
      <c r="G23" s="56">
        <v>37</v>
      </c>
      <c r="H23" s="523">
        <f t="shared" ref="H23" si="19">G23/AI23*100</f>
        <v>6.9049174209200342E-2</v>
      </c>
      <c r="I23" s="56"/>
      <c r="J23" s="523">
        <f t="shared" ref="J23" si="20">I23/AI23*100</f>
        <v>0</v>
      </c>
      <c r="K23" s="676"/>
      <c r="L23" s="56">
        <v>31</v>
      </c>
      <c r="M23" s="44">
        <v>0</v>
      </c>
      <c r="N23" s="116"/>
      <c r="O23" s="34" t="s">
        <v>297</v>
      </c>
      <c r="P23" s="34"/>
      <c r="Q23" s="56">
        <v>80</v>
      </c>
      <c r="R23" s="34" t="s">
        <v>81</v>
      </c>
      <c r="S23" s="34" t="s">
        <v>81</v>
      </c>
      <c r="T23" s="34">
        <v>0.69</v>
      </c>
      <c r="U23" s="250">
        <f>66*100/C23</f>
        <v>41.77215189873418</v>
      </c>
      <c r="V23" s="34">
        <v>0</v>
      </c>
      <c r="W23" s="34"/>
      <c r="X23" s="45"/>
      <c r="Y23" s="69"/>
      <c r="Z23" s="69"/>
      <c r="AA23" s="69"/>
      <c r="AB23" s="69"/>
      <c r="AC23" s="59"/>
      <c r="AD23" s="34"/>
      <c r="AE23" s="34"/>
      <c r="AF23" s="21"/>
      <c r="AG23" s="34"/>
      <c r="AH23" s="45"/>
      <c r="AI23" s="267">
        <v>53585</v>
      </c>
      <c r="AJ23" s="543">
        <f>SUM(C24:AH24)</f>
        <v>57</v>
      </c>
      <c r="AK23" s="847"/>
      <c r="AL23" s="847"/>
      <c r="AM23" s="847"/>
      <c r="AN23" s="847"/>
      <c r="AO23" s="847"/>
      <c r="AP23" s="847"/>
      <c r="AQ23" s="847"/>
      <c r="AR23" s="847"/>
      <c r="AS23" s="847"/>
      <c r="AT23" s="847"/>
      <c r="AU23" s="847"/>
      <c r="AV23" s="847"/>
      <c r="AW23" s="847"/>
      <c r="AX23" s="847"/>
      <c r="AY23" s="847"/>
      <c r="AZ23" s="847"/>
      <c r="BA23" s="847"/>
      <c r="BB23" s="847"/>
      <c r="BC23" s="847"/>
      <c r="BD23" s="847"/>
      <c r="BE23" s="847"/>
      <c r="BF23" s="847"/>
      <c r="BG23" s="847"/>
      <c r="BH23" s="847"/>
      <c r="BI23" s="847"/>
      <c r="BJ23" s="847"/>
      <c r="BK23" s="847"/>
      <c r="BL23" s="847"/>
      <c r="BM23" s="847"/>
      <c r="BN23" s="847"/>
      <c r="BO23" s="847"/>
      <c r="BP23" s="847"/>
      <c r="BQ23" s="847"/>
      <c r="BR23" s="847"/>
      <c r="BS23" s="847"/>
      <c r="BT23" s="847"/>
      <c r="BU23" s="847"/>
      <c r="BV23" s="847"/>
      <c r="BW23" s="847"/>
      <c r="BX23" s="847"/>
      <c r="BY23" s="847"/>
      <c r="BZ23" s="847"/>
      <c r="CA23" s="847"/>
      <c r="CB23" s="847"/>
      <c r="CC23" s="847"/>
      <c r="CD23" s="847"/>
      <c r="CE23" s="847"/>
      <c r="CF23" s="847"/>
      <c r="CG23" s="847"/>
      <c r="CH23" s="847"/>
      <c r="CI23" s="847"/>
      <c r="CJ23" s="847"/>
      <c r="CK23" s="847"/>
      <c r="CL23" s="847"/>
      <c r="CM23" s="847"/>
      <c r="CN23" s="847"/>
      <c r="CO23" s="847"/>
      <c r="CP23" s="847"/>
      <c r="CQ23" s="847"/>
      <c r="CR23" s="847"/>
      <c r="CS23" s="847"/>
      <c r="CT23" s="847"/>
      <c r="CU23" s="847"/>
      <c r="CV23" s="847"/>
      <c r="CW23" s="847"/>
      <c r="CX23" s="847"/>
      <c r="CY23" s="847"/>
      <c r="CZ23" s="847"/>
      <c r="DA23" s="847"/>
      <c r="DB23" s="847"/>
      <c r="DC23" s="847"/>
      <c r="DD23" s="847"/>
      <c r="DE23" s="847"/>
      <c r="DF23" s="847"/>
      <c r="DG23" s="847"/>
      <c r="DH23" s="847"/>
      <c r="DI23" s="847"/>
      <c r="DJ23" s="847"/>
    </row>
    <row r="24" spans="1:114" s="27" customFormat="1" ht="19.5" thickBot="1">
      <c r="A24" s="218"/>
      <c r="B24" s="229"/>
      <c r="C24" s="220"/>
      <c r="D24" s="224"/>
      <c r="E24" s="222"/>
      <c r="F24" s="207">
        <v>7</v>
      </c>
      <c r="G24" s="222"/>
      <c r="H24" s="207">
        <v>9</v>
      </c>
      <c r="I24" s="222"/>
      <c r="J24" s="207">
        <v>4</v>
      </c>
      <c r="K24" s="224"/>
      <c r="L24" s="222">
        <v>3</v>
      </c>
      <c r="M24" s="223">
        <v>10</v>
      </c>
      <c r="N24" s="223"/>
      <c r="O24" s="224">
        <v>10</v>
      </c>
      <c r="P24" s="224"/>
      <c r="Q24" s="222">
        <v>9</v>
      </c>
      <c r="R24" s="224">
        <v>0</v>
      </c>
      <c r="S24" s="224">
        <v>0</v>
      </c>
      <c r="T24" s="224">
        <v>0</v>
      </c>
      <c r="U24" s="251">
        <v>5</v>
      </c>
      <c r="V24" s="224">
        <v>0</v>
      </c>
      <c r="W24" s="224"/>
      <c r="X24" s="225"/>
      <c r="Y24" s="224"/>
      <c r="Z24" s="224"/>
      <c r="AA24" s="224"/>
      <c r="AB24" s="224"/>
      <c r="AC24" s="227"/>
      <c r="AD24" s="224"/>
      <c r="AE24" s="224"/>
      <c r="AF24" s="228"/>
      <c r="AG24" s="224"/>
      <c r="AH24" s="225"/>
      <c r="AI24" s="270"/>
      <c r="AJ24" s="104"/>
      <c r="AK24" s="847"/>
      <c r="AL24" s="847"/>
      <c r="AM24" s="847"/>
      <c r="AN24" s="847"/>
      <c r="AO24" s="847"/>
      <c r="AP24" s="847"/>
      <c r="AQ24" s="847"/>
      <c r="AR24" s="847"/>
      <c r="AS24" s="847"/>
      <c r="AT24" s="847"/>
      <c r="AU24" s="847"/>
      <c r="AV24" s="847"/>
      <c r="AW24" s="847"/>
      <c r="AX24" s="847"/>
      <c r="AY24" s="847"/>
      <c r="AZ24" s="847"/>
      <c r="BA24" s="847"/>
      <c r="BB24" s="847"/>
      <c r="BC24" s="847"/>
      <c r="BD24" s="847"/>
      <c r="BE24" s="847"/>
      <c r="BF24" s="847"/>
      <c r="BG24" s="847"/>
      <c r="BH24" s="847"/>
      <c r="BI24" s="847"/>
      <c r="BJ24" s="847"/>
      <c r="BK24" s="847"/>
      <c r="BL24" s="847"/>
      <c r="BM24" s="847"/>
      <c r="BN24" s="847"/>
      <c r="BO24" s="847"/>
      <c r="BP24" s="847"/>
      <c r="BQ24" s="847"/>
      <c r="BR24" s="847"/>
      <c r="BS24" s="847"/>
      <c r="BT24" s="847"/>
      <c r="BU24" s="847"/>
      <c r="BV24" s="847"/>
      <c r="BW24" s="847"/>
      <c r="BX24" s="847"/>
      <c r="BY24" s="847"/>
      <c r="BZ24" s="847"/>
      <c r="CA24" s="847"/>
      <c r="CB24" s="847"/>
      <c r="CC24" s="847"/>
      <c r="CD24" s="847"/>
      <c r="CE24" s="847"/>
      <c r="CF24" s="847"/>
      <c r="CG24" s="847"/>
      <c r="CH24" s="847"/>
      <c r="CI24" s="847"/>
      <c r="CJ24" s="847"/>
      <c r="CK24" s="847"/>
      <c r="CL24" s="847"/>
      <c r="CM24" s="847"/>
      <c r="CN24" s="847"/>
      <c r="CO24" s="847"/>
      <c r="CP24" s="847"/>
      <c r="CQ24" s="847"/>
      <c r="CR24" s="847"/>
      <c r="CS24" s="847"/>
      <c r="CT24" s="847"/>
      <c r="CU24" s="847"/>
      <c r="CV24" s="847"/>
      <c r="CW24" s="847"/>
      <c r="CX24" s="847"/>
      <c r="CY24" s="847"/>
      <c r="CZ24" s="847"/>
      <c r="DA24" s="847"/>
      <c r="DB24" s="847"/>
      <c r="DC24" s="847"/>
      <c r="DD24" s="847"/>
      <c r="DE24" s="847"/>
      <c r="DF24" s="847"/>
      <c r="DG24" s="847"/>
      <c r="DH24" s="847"/>
      <c r="DI24" s="847"/>
      <c r="DJ24" s="847"/>
    </row>
    <row r="25" spans="1:114" ht="19.5" thickBot="1">
      <c r="A25" s="19">
        <v>9</v>
      </c>
      <c r="B25" s="20" t="s">
        <v>14</v>
      </c>
      <c r="C25" s="48">
        <v>34</v>
      </c>
      <c r="D25" s="34"/>
      <c r="E25" s="56">
        <v>0</v>
      </c>
      <c r="F25" s="533">
        <f t="shared" ref="F25" si="21">E25/AI25*100</f>
        <v>0</v>
      </c>
      <c r="G25" s="56">
        <v>0</v>
      </c>
      <c r="H25" s="523">
        <f t="shared" ref="H25" si="22">G25/AI25*100</f>
        <v>0</v>
      </c>
      <c r="I25" s="56"/>
      <c r="J25" s="523">
        <f t="shared" ref="J25" si="23">I25/AI25*100</f>
        <v>0</v>
      </c>
      <c r="K25" s="109"/>
      <c r="L25" s="56">
        <v>0</v>
      </c>
      <c r="M25" s="44">
        <v>0</v>
      </c>
      <c r="N25" s="116"/>
      <c r="O25" s="40">
        <v>0</v>
      </c>
      <c r="P25" s="40"/>
      <c r="Q25" s="56">
        <v>27</v>
      </c>
      <c r="R25" s="40" t="s">
        <v>81</v>
      </c>
      <c r="S25" s="40" t="s">
        <v>81</v>
      </c>
      <c r="T25" s="40">
        <v>0</v>
      </c>
      <c r="U25" s="250">
        <f>27*100/C25</f>
        <v>79.411764705882348</v>
      </c>
      <c r="V25" s="40">
        <v>0</v>
      </c>
      <c r="W25" s="34"/>
      <c r="X25" s="45"/>
      <c r="Y25" s="69">
        <v>96.67</v>
      </c>
      <c r="Z25" s="69">
        <v>93.33</v>
      </c>
      <c r="AA25" s="69">
        <v>93.33</v>
      </c>
      <c r="AB25" s="69">
        <v>66.900000000000006</v>
      </c>
      <c r="AC25" s="59"/>
      <c r="AD25" s="34"/>
      <c r="AE25" s="34"/>
      <c r="AF25" s="21"/>
      <c r="AG25" s="34"/>
      <c r="AH25" s="45"/>
      <c r="AI25" s="269">
        <v>21864</v>
      </c>
      <c r="AJ25" s="542">
        <f>SUM(C26:AH26)</f>
        <v>104</v>
      </c>
      <c r="AK25" s="847"/>
      <c r="AL25" s="847"/>
      <c r="AM25" s="847"/>
      <c r="AN25" s="847"/>
      <c r="AO25" s="847"/>
      <c r="AP25" s="847"/>
      <c r="AQ25" s="847"/>
      <c r="AR25" s="847"/>
      <c r="AS25" s="847"/>
      <c r="AT25" s="847"/>
      <c r="AU25" s="847"/>
      <c r="AV25" s="847"/>
      <c r="AW25" s="847"/>
      <c r="AX25" s="847"/>
      <c r="AY25" s="847"/>
      <c r="AZ25" s="847"/>
      <c r="BA25" s="847"/>
      <c r="BB25" s="847"/>
      <c r="BC25" s="847"/>
      <c r="BD25" s="847"/>
      <c r="BE25" s="847"/>
      <c r="BF25" s="847"/>
      <c r="BG25" s="847"/>
      <c r="BH25" s="847"/>
      <c r="BI25" s="847"/>
      <c r="BJ25" s="847"/>
      <c r="BK25" s="847"/>
      <c r="BL25" s="847"/>
      <c r="BM25" s="847"/>
      <c r="BN25" s="847"/>
      <c r="BO25" s="847"/>
      <c r="BP25" s="847"/>
      <c r="BQ25" s="847"/>
      <c r="BR25" s="847"/>
      <c r="BS25" s="847"/>
      <c r="BT25" s="847"/>
      <c r="BU25" s="847"/>
      <c r="BV25" s="847"/>
      <c r="BW25" s="847"/>
      <c r="BX25" s="847"/>
      <c r="BY25" s="847"/>
      <c r="BZ25" s="847"/>
      <c r="CA25" s="847"/>
      <c r="CB25" s="847"/>
      <c r="CC25" s="847"/>
      <c r="CD25" s="847"/>
      <c r="CE25" s="847"/>
      <c r="CF25" s="847"/>
      <c r="CG25" s="847"/>
      <c r="CH25" s="847"/>
      <c r="CI25" s="847"/>
      <c r="CJ25" s="847"/>
      <c r="CK25" s="847"/>
      <c r="CL25" s="847"/>
      <c r="CM25" s="847"/>
      <c r="CN25" s="847"/>
      <c r="CO25" s="847"/>
      <c r="CP25" s="847"/>
      <c r="CQ25" s="847"/>
      <c r="CR25" s="847"/>
      <c r="CS25" s="847"/>
      <c r="CT25" s="847"/>
      <c r="CU25" s="847"/>
      <c r="CV25" s="847"/>
      <c r="CW25" s="847"/>
      <c r="CX25" s="847"/>
      <c r="CY25" s="847"/>
      <c r="CZ25" s="847"/>
      <c r="DA25" s="847"/>
      <c r="DB25" s="847"/>
      <c r="DC25" s="847"/>
      <c r="DD25" s="847"/>
      <c r="DE25" s="847"/>
      <c r="DF25" s="847"/>
      <c r="DG25" s="847"/>
      <c r="DH25" s="847"/>
      <c r="DI25" s="847"/>
      <c r="DJ25" s="847"/>
    </row>
    <row r="26" spans="1:114" s="27" customFormat="1" ht="19.5" thickBot="1">
      <c r="A26" s="203"/>
      <c r="B26" s="204"/>
      <c r="C26" s="214"/>
      <c r="D26" s="205"/>
      <c r="E26" s="207"/>
      <c r="F26" s="207">
        <v>9</v>
      </c>
      <c r="G26" s="207"/>
      <c r="H26" s="207">
        <v>9</v>
      </c>
      <c r="I26" s="207"/>
      <c r="J26" s="207">
        <v>8</v>
      </c>
      <c r="K26" s="205"/>
      <c r="L26" s="207">
        <v>10</v>
      </c>
      <c r="M26" s="206">
        <v>10</v>
      </c>
      <c r="N26" s="206"/>
      <c r="O26" s="215">
        <v>10</v>
      </c>
      <c r="P26" s="215"/>
      <c r="Q26" s="207">
        <v>3</v>
      </c>
      <c r="R26" s="215">
        <v>0</v>
      </c>
      <c r="S26" s="215">
        <v>0</v>
      </c>
      <c r="T26" s="215">
        <v>0</v>
      </c>
      <c r="U26" s="249">
        <v>8</v>
      </c>
      <c r="V26" s="215">
        <v>0</v>
      </c>
      <c r="W26" s="205"/>
      <c r="X26" s="208"/>
      <c r="Y26" s="205">
        <v>10</v>
      </c>
      <c r="Z26" s="205">
        <v>10</v>
      </c>
      <c r="AA26" s="205">
        <v>10</v>
      </c>
      <c r="AB26" s="205">
        <v>7</v>
      </c>
      <c r="AC26" s="210"/>
      <c r="AD26" s="205"/>
      <c r="AE26" s="205"/>
      <c r="AF26" s="211"/>
      <c r="AG26" s="205"/>
      <c r="AH26" s="208"/>
      <c r="AI26" s="266"/>
      <c r="AJ26" s="108"/>
      <c r="AK26" s="847"/>
      <c r="AL26" s="847"/>
      <c r="AM26" s="847"/>
      <c r="AN26" s="847"/>
      <c r="AO26" s="847"/>
      <c r="AP26" s="847"/>
      <c r="AQ26" s="847"/>
      <c r="AR26" s="847"/>
      <c r="AS26" s="847"/>
      <c r="AT26" s="847"/>
      <c r="AU26" s="847"/>
      <c r="AV26" s="847"/>
      <c r="AW26" s="847"/>
      <c r="AX26" s="847"/>
      <c r="AY26" s="847"/>
      <c r="AZ26" s="847"/>
      <c r="BA26" s="847"/>
      <c r="BB26" s="847"/>
      <c r="BC26" s="847"/>
      <c r="BD26" s="847"/>
      <c r="BE26" s="847"/>
      <c r="BF26" s="847"/>
      <c r="BG26" s="847"/>
      <c r="BH26" s="847"/>
      <c r="BI26" s="847"/>
      <c r="BJ26" s="847"/>
      <c r="BK26" s="847"/>
      <c r="BL26" s="847"/>
      <c r="BM26" s="847"/>
      <c r="BN26" s="847"/>
      <c r="BO26" s="847"/>
      <c r="BP26" s="847"/>
      <c r="BQ26" s="847"/>
      <c r="BR26" s="847"/>
      <c r="BS26" s="847"/>
      <c r="BT26" s="847"/>
      <c r="BU26" s="847"/>
      <c r="BV26" s="847"/>
      <c r="BW26" s="847"/>
      <c r="BX26" s="847"/>
      <c r="BY26" s="847"/>
      <c r="BZ26" s="847"/>
      <c r="CA26" s="847"/>
      <c r="CB26" s="847"/>
      <c r="CC26" s="847"/>
      <c r="CD26" s="847"/>
      <c r="CE26" s="847"/>
      <c r="CF26" s="847"/>
      <c r="CG26" s="847"/>
      <c r="CH26" s="847"/>
      <c r="CI26" s="847"/>
      <c r="CJ26" s="847"/>
      <c r="CK26" s="847"/>
      <c r="CL26" s="847"/>
      <c r="CM26" s="847"/>
      <c r="CN26" s="847"/>
      <c r="CO26" s="847"/>
      <c r="CP26" s="847"/>
      <c r="CQ26" s="847"/>
      <c r="CR26" s="847"/>
      <c r="CS26" s="847"/>
      <c r="CT26" s="847"/>
      <c r="CU26" s="847"/>
      <c r="CV26" s="847"/>
      <c r="CW26" s="847"/>
      <c r="CX26" s="847"/>
      <c r="CY26" s="847"/>
      <c r="CZ26" s="847"/>
      <c r="DA26" s="847"/>
      <c r="DB26" s="847"/>
      <c r="DC26" s="847"/>
      <c r="DD26" s="847"/>
      <c r="DE26" s="847"/>
      <c r="DF26" s="847"/>
      <c r="DG26" s="847"/>
      <c r="DH26" s="847"/>
      <c r="DI26" s="847"/>
      <c r="DJ26" s="847"/>
    </row>
    <row r="27" spans="1:114" s="3" customFormat="1" ht="19.5" thickBot="1">
      <c r="A27" s="19">
        <v>10</v>
      </c>
      <c r="B27" s="20" t="s">
        <v>13</v>
      </c>
      <c r="C27" s="48">
        <v>8</v>
      </c>
      <c r="D27" s="37"/>
      <c r="E27" s="56">
        <v>0</v>
      </c>
      <c r="F27" s="533">
        <f t="shared" ref="F27" si="24">E27/AI27*100</f>
        <v>0</v>
      </c>
      <c r="G27" s="56">
        <v>2</v>
      </c>
      <c r="H27" s="523">
        <f t="shared" ref="H27" si="25">G27/AI27*100</f>
        <v>0.14114326040931546</v>
      </c>
      <c r="I27" s="56">
        <v>0</v>
      </c>
      <c r="J27" s="523">
        <f t="shared" ref="J27" si="26">I27/AI27*100</f>
        <v>0</v>
      </c>
      <c r="K27" s="37"/>
      <c r="L27" s="56">
        <v>2</v>
      </c>
      <c r="M27" s="44">
        <v>0</v>
      </c>
      <c r="N27" s="118"/>
      <c r="O27" s="40">
        <v>0</v>
      </c>
      <c r="P27" s="42"/>
      <c r="Q27" s="56">
        <v>7</v>
      </c>
      <c r="R27" s="40" t="s">
        <v>81</v>
      </c>
      <c r="S27" s="40" t="s">
        <v>81</v>
      </c>
      <c r="T27" s="34">
        <v>73.319999999999993</v>
      </c>
      <c r="U27" s="250">
        <v>0</v>
      </c>
      <c r="V27" s="40">
        <v>0</v>
      </c>
      <c r="W27" s="34"/>
      <c r="X27" s="45"/>
      <c r="Y27" s="69">
        <v>100</v>
      </c>
      <c r="Z27" s="69">
        <v>100</v>
      </c>
      <c r="AA27" s="69">
        <v>100</v>
      </c>
      <c r="AB27" s="69">
        <v>100</v>
      </c>
      <c r="AC27" s="59"/>
      <c r="AD27" s="34"/>
      <c r="AE27" s="34"/>
      <c r="AF27" s="21"/>
      <c r="AG27" s="34"/>
      <c r="AH27" s="45"/>
      <c r="AI27" s="267">
        <v>1417</v>
      </c>
      <c r="AJ27" s="543">
        <f>SUM(C28:AH28)</f>
        <v>89</v>
      </c>
      <c r="AK27" s="847"/>
      <c r="AL27" s="847"/>
      <c r="AM27" s="847"/>
      <c r="AN27" s="847"/>
      <c r="AO27" s="847"/>
      <c r="AP27" s="847"/>
      <c r="AQ27" s="847"/>
      <c r="AR27" s="847"/>
      <c r="AS27" s="847"/>
      <c r="AT27" s="847"/>
      <c r="AU27" s="847"/>
      <c r="AV27" s="847"/>
      <c r="AW27" s="847"/>
      <c r="AX27" s="847"/>
      <c r="AY27" s="847"/>
      <c r="AZ27" s="847"/>
      <c r="BA27" s="847"/>
      <c r="BB27" s="847"/>
      <c r="BC27" s="847"/>
      <c r="BD27" s="847"/>
      <c r="BE27" s="847"/>
      <c r="BF27" s="847"/>
      <c r="BG27" s="847"/>
      <c r="BH27" s="847"/>
      <c r="BI27" s="847"/>
      <c r="BJ27" s="847"/>
      <c r="BK27" s="847"/>
      <c r="BL27" s="847"/>
      <c r="BM27" s="847"/>
      <c r="BN27" s="847"/>
      <c r="BO27" s="847"/>
      <c r="BP27" s="847"/>
      <c r="BQ27" s="847"/>
      <c r="BR27" s="847"/>
      <c r="BS27" s="847"/>
      <c r="BT27" s="847"/>
      <c r="BU27" s="847"/>
      <c r="BV27" s="847"/>
      <c r="BW27" s="847"/>
      <c r="BX27" s="847"/>
      <c r="BY27" s="847"/>
      <c r="BZ27" s="847"/>
      <c r="CA27" s="847"/>
      <c r="CB27" s="847"/>
      <c r="CC27" s="847"/>
      <c r="CD27" s="847"/>
      <c r="CE27" s="847"/>
      <c r="CF27" s="847"/>
      <c r="CG27" s="847"/>
      <c r="CH27" s="847"/>
      <c r="CI27" s="847"/>
      <c r="CJ27" s="847"/>
      <c r="CK27" s="847"/>
      <c r="CL27" s="847"/>
      <c r="CM27" s="847"/>
      <c r="CN27" s="847"/>
      <c r="CO27" s="847"/>
      <c r="CP27" s="847"/>
      <c r="CQ27" s="847"/>
      <c r="CR27" s="847"/>
      <c r="CS27" s="847"/>
      <c r="CT27" s="847"/>
      <c r="CU27" s="847"/>
      <c r="CV27" s="847"/>
      <c r="CW27" s="847"/>
      <c r="CX27" s="847"/>
      <c r="CY27" s="847"/>
      <c r="CZ27" s="847"/>
      <c r="DA27" s="847"/>
      <c r="DB27" s="847"/>
      <c r="DC27" s="847"/>
      <c r="DD27" s="847"/>
      <c r="DE27" s="847"/>
      <c r="DF27" s="847"/>
      <c r="DG27" s="847"/>
      <c r="DH27" s="847"/>
      <c r="DI27" s="847"/>
      <c r="DJ27" s="847"/>
    </row>
    <row r="28" spans="1:114" s="31" customFormat="1" ht="19.5" thickBot="1">
      <c r="A28" s="203"/>
      <c r="B28" s="204"/>
      <c r="C28" s="214"/>
      <c r="D28" s="233"/>
      <c r="E28" s="207"/>
      <c r="F28" s="207">
        <v>0</v>
      </c>
      <c r="G28" s="207"/>
      <c r="H28" s="207">
        <v>1</v>
      </c>
      <c r="I28" s="207"/>
      <c r="J28" s="207">
        <v>10</v>
      </c>
      <c r="K28" s="233"/>
      <c r="L28" s="207">
        <v>10</v>
      </c>
      <c r="M28" s="206">
        <v>10</v>
      </c>
      <c r="N28" s="234"/>
      <c r="O28" s="215">
        <v>10</v>
      </c>
      <c r="P28" s="235"/>
      <c r="Q28" s="207">
        <v>0</v>
      </c>
      <c r="R28" s="215">
        <v>0</v>
      </c>
      <c r="S28" s="215">
        <v>0</v>
      </c>
      <c r="T28" s="205">
        <v>8</v>
      </c>
      <c r="U28" s="249">
        <v>0</v>
      </c>
      <c r="V28" s="215">
        <v>0</v>
      </c>
      <c r="W28" s="205"/>
      <c r="X28" s="208"/>
      <c r="Y28" s="205">
        <v>10</v>
      </c>
      <c r="Z28" s="205">
        <v>10</v>
      </c>
      <c r="AA28" s="205">
        <v>10</v>
      </c>
      <c r="AB28" s="205">
        <v>10</v>
      </c>
      <c r="AC28" s="210"/>
      <c r="AD28" s="205"/>
      <c r="AE28" s="205"/>
      <c r="AF28" s="211"/>
      <c r="AG28" s="205"/>
      <c r="AH28" s="208"/>
      <c r="AI28" s="268"/>
      <c r="AJ28" s="544"/>
      <c r="AK28" s="847"/>
      <c r="AL28" s="847"/>
      <c r="AM28" s="847"/>
      <c r="AN28" s="847"/>
      <c r="AO28" s="847"/>
      <c r="AP28" s="847"/>
      <c r="AQ28" s="847"/>
      <c r="AR28" s="847"/>
      <c r="AS28" s="847"/>
      <c r="AT28" s="847"/>
      <c r="AU28" s="847"/>
      <c r="AV28" s="847"/>
      <c r="AW28" s="847"/>
      <c r="AX28" s="847"/>
      <c r="AY28" s="847"/>
      <c r="AZ28" s="847"/>
      <c r="BA28" s="847"/>
      <c r="BB28" s="847"/>
      <c r="BC28" s="847"/>
      <c r="BD28" s="847"/>
      <c r="BE28" s="847"/>
      <c r="BF28" s="847"/>
      <c r="BG28" s="847"/>
      <c r="BH28" s="847"/>
      <c r="BI28" s="847"/>
      <c r="BJ28" s="847"/>
      <c r="BK28" s="847"/>
      <c r="BL28" s="847"/>
      <c r="BM28" s="847"/>
      <c r="BN28" s="847"/>
      <c r="BO28" s="847"/>
      <c r="BP28" s="847"/>
      <c r="BQ28" s="847"/>
      <c r="BR28" s="847"/>
      <c r="BS28" s="847"/>
      <c r="BT28" s="847"/>
      <c r="BU28" s="847"/>
      <c r="BV28" s="847"/>
      <c r="BW28" s="847"/>
      <c r="BX28" s="847"/>
      <c r="BY28" s="847"/>
      <c r="BZ28" s="847"/>
      <c r="CA28" s="847"/>
      <c r="CB28" s="847"/>
      <c r="CC28" s="847"/>
      <c r="CD28" s="847"/>
      <c r="CE28" s="847"/>
      <c r="CF28" s="847"/>
      <c r="CG28" s="847"/>
      <c r="CH28" s="847"/>
      <c r="CI28" s="847"/>
      <c r="CJ28" s="847"/>
      <c r="CK28" s="847"/>
      <c r="CL28" s="847"/>
      <c r="CM28" s="847"/>
      <c r="CN28" s="847"/>
      <c r="CO28" s="847"/>
      <c r="CP28" s="847"/>
      <c r="CQ28" s="847"/>
      <c r="CR28" s="847"/>
      <c r="CS28" s="847"/>
      <c r="CT28" s="847"/>
      <c r="CU28" s="847"/>
      <c r="CV28" s="847"/>
      <c r="CW28" s="847"/>
      <c r="CX28" s="847"/>
      <c r="CY28" s="847"/>
      <c r="CZ28" s="847"/>
      <c r="DA28" s="847"/>
      <c r="DB28" s="847"/>
      <c r="DC28" s="847"/>
      <c r="DD28" s="847"/>
      <c r="DE28" s="847"/>
      <c r="DF28" s="847"/>
      <c r="DG28" s="847"/>
      <c r="DH28" s="847"/>
      <c r="DI28" s="847"/>
      <c r="DJ28" s="847"/>
    </row>
    <row r="29" spans="1:114" s="4" customFormat="1" ht="19.5" thickBot="1">
      <c r="A29" s="19">
        <v>11</v>
      </c>
      <c r="B29" s="22" t="s">
        <v>11</v>
      </c>
      <c r="C29" s="54">
        <v>18</v>
      </c>
      <c r="D29" s="39"/>
      <c r="E29" s="64">
        <v>0</v>
      </c>
      <c r="F29" s="533">
        <f t="shared" ref="F29" si="27">E29/AI29*100</f>
        <v>0</v>
      </c>
      <c r="G29" s="64">
        <v>9</v>
      </c>
      <c r="H29" s="523">
        <f t="shared" ref="H29" si="28">G29/AI29*100</f>
        <v>8.3087149187592316E-2</v>
      </c>
      <c r="I29" s="64"/>
      <c r="J29" s="523">
        <f t="shared" ref="J29" si="29">I29/AI29*100</f>
        <v>0</v>
      </c>
      <c r="K29" s="243"/>
      <c r="L29" s="64">
        <v>1</v>
      </c>
      <c r="M29" s="115">
        <v>0</v>
      </c>
      <c r="N29" s="116"/>
      <c r="O29" s="39">
        <v>0</v>
      </c>
      <c r="P29" s="39"/>
      <c r="Q29" s="64">
        <v>0</v>
      </c>
      <c r="R29" s="39" t="s">
        <v>81</v>
      </c>
      <c r="S29" s="39" t="s">
        <v>81</v>
      </c>
      <c r="T29" s="39">
        <v>0</v>
      </c>
      <c r="U29" s="252">
        <f>2*100/C29</f>
        <v>11.111111111111111</v>
      </c>
      <c r="V29" s="39">
        <v>0</v>
      </c>
      <c r="W29" s="39"/>
      <c r="X29" s="55"/>
      <c r="Y29" s="66">
        <v>100</v>
      </c>
      <c r="Z29" s="66">
        <v>66.599999999999994</v>
      </c>
      <c r="AA29" s="66">
        <v>66.599999999999994</v>
      </c>
      <c r="AB29" s="66">
        <v>100</v>
      </c>
      <c r="AC29" s="63"/>
      <c r="AD29" s="39"/>
      <c r="AE29" s="39"/>
      <c r="AF29" s="23"/>
      <c r="AG29" s="39"/>
      <c r="AH29" s="55"/>
      <c r="AI29" s="272">
        <v>10832</v>
      </c>
      <c r="AJ29" s="542">
        <f>SUM(C30:AH30)</f>
        <v>85.2</v>
      </c>
      <c r="AK29" s="847"/>
      <c r="AL29" s="847"/>
      <c r="AM29" s="847"/>
      <c r="AN29" s="847"/>
      <c r="AO29" s="847"/>
      <c r="AP29" s="847"/>
      <c r="AQ29" s="847"/>
      <c r="AR29" s="847"/>
      <c r="AS29" s="847"/>
      <c r="AT29" s="847"/>
      <c r="AU29" s="847"/>
      <c r="AV29" s="847"/>
      <c r="AW29" s="847"/>
      <c r="AX29" s="847"/>
      <c r="AY29" s="847"/>
      <c r="AZ29" s="847"/>
      <c r="BA29" s="847"/>
      <c r="BB29" s="847"/>
      <c r="BC29" s="847"/>
      <c r="BD29" s="847"/>
      <c r="BE29" s="847"/>
      <c r="BF29" s="847"/>
      <c r="BG29" s="847"/>
      <c r="BH29" s="847"/>
      <c r="BI29" s="847"/>
      <c r="BJ29" s="847"/>
      <c r="BK29" s="847"/>
      <c r="BL29" s="847"/>
      <c r="BM29" s="847"/>
      <c r="BN29" s="847"/>
      <c r="BO29" s="847"/>
      <c r="BP29" s="847"/>
      <c r="BQ29" s="847"/>
      <c r="BR29" s="847"/>
      <c r="BS29" s="847"/>
      <c r="BT29" s="847"/>
      <c r="BU29" s="847"/>
      <c r="BV29" s="847"/>
      <c r="BW29" s="847"/>
      <c r="BX29" s="847"/>
      <c r="BY29" s="847"/>
      <c r="BZ29" s="847"/>
      <c r="CA29" s="847"/>
      <c r="CB29" s="847"/>
      <c r="CC29" s="847"/>
      <c r="CD29" s="847"/>
      <c r="CE29" s="847"/>
      <c r="CF29" s="847"/>
      <c r="CG29" s="847"/>
      <c r="CH29" s="847"/>
      <c r="CI29" s="847"/>
      <c r="CJ29" s="847"/>
      <c r="CK29" s="847"/>
      <c r="CL29" s="847"/>
      <c r="CM29" s="847"/>
      <c r="CN29" s="847"/>
      <c r="CO29" s="847"/>
      <c r="CP29" s="847"/>
      <c r="CQ29" s="847"/>
      <c r="CR29" s="847"/>
      <c r="CS29" s="847"/>
      <c r="CT29" s="847"/>
      <c r="CU29" s="847"/>
      <c r="CV29" s="847"/>
      <c r="CW29" s="847"/>
      <c r="CX29" s="847"/>
      <c r="CY29" s="847"/>
      <c r="CZ29" s="847"/>
      <c r="DA29" s="847"/>
      <c r="DB29" s="847"/>
      <c r="DC29" s="847"/>
      <c r="DD29" s="847"/>
      <c r="DE29" s="847"/>
      <c r="DF29" s="847"/>
      <c r="DG29" s="847"/>
      <c r="DH29" s="847"/>
      <c r="DI29" s="847"/>
      <c r="DJ29" s="847"/>
    </row>
    <row r="30" spans="1:114" s="27" customFormat="1" ht="19.5" thickBot="1">
      <c r="A30" s="218"/>
      <c r="B30" s="229"/>
      <c r="C30" s="220"/>
      <c r="D30" s="224"/>
      <c r="E30" s="222"/>
      <c r="F30" s="207">
        <v>8</v>
      </c>
      <c r="G30" s="222"/>
      <c r="H30" s="207">
        <v>8</v>
      </c>
      <c r="I30" s="222"/>
      <c r="J30" s="207">
        <v>7</v>
      </c>
      <c r="K30" s="224">
        <v>-0.8</v>
      </c>
      <c r="L30" s="222">
        <v>8</v>
      </c>
      <c r="M30" s="223">
        <v>10</v>
      </c>
      <c r="N30" s="223"/>
      <c r="O30" s="224">
        <v>10</v>
      </c>
      <c r="P30" s="224"/>
      <c r="Q30" s="222">
        <v>0</v>
      </c>
      <c r="R30" s="224">
        <v>0</v>
      </c>
      <c r="S30" s="224">
        <v>0</v>
      </c>
      <c r="T30" s="224">
        <v>0</v>
      </c>
      <c r="U30" s="251">
        <v>1</v>
      </c>
      <c r="V30" s="224">
        <v>0</v>
      </c>
      <c r="W30" s="224"/>
      <c r="X30" s="225"/>
      <c r="Y30" s="224">
        <v>10</v>
      </c>
      <c r="Z30" s="224">
        <v>7</v>
      </c>
      <c r="AA30" s="224">
        <v>7</v>
      </c>
      <c r="AB30" s="224">
        <v>10</v>
      </c>
      <c r="AC30" s="227"/>
      <c r="AD30" s="224"/>
      <c r="AE30" s="224"/>
      <c r="AF30" s="228"/>
      <c r="AG30" s="224"/>
      <c r="AH30" s="225"/>
      <c r="AI30" s="271"/>
      <c r="AJ30" s="108"/>
      <c r="AK30" s="847"/>
      <c r="AL30" s="847"/>
      <c r="AM30" s="847"/>
      <c r="AN30" s="847"/>
      <c r="AO30" s="847"/>
      <c r="AP30" s="847"/>
      <c r="AQ30" s="847"/>
      <c r="AR30" s="847"/>
      <c r="AS30" s="847"/>
      <c r="AT30" s="847"/>
      <c r="AU30" s="847"/>
      <c r="AV30" s="847"/>
      <c r="AW30" s="847"/>
      <c r="AX30" s="847"/>
      <c r="AY30" s="847"/>
      <c r="AZ30" s="847"/>
      <c r="BA30" s="847"/>
      <c r="BB30" s="847"/>
      <c r="BC30" s="847"/>
      <c r="BD30" s="847"/>
      <c r="BE30" s="847"/>
      <c r="BF30" s="847"/>
      <c r="BG30" s="847"/>
      <c r="BH30" s="847"/>
      <c r="BI30" s="847"/>
      <c r="BJ30" s="847"/>
      <c r="BK30" s="847"/>
      <c r="BL30" s="847"/>
      <c r="BM30" s="847"/>
      <c r="BN30" s="847"/>
      <c r="BO30" s="847"/>
      <c r="BP30" s="847"/>
      <c r="BQ30" s="847"/>
      <c r="BR30" s="847"/>
      <c r="BS30" s="847"/>
      <c r="BT30" s="847"/>
      <c r="BU30" s="847"/>
      <c r="BV30" s="847"/>
      <c r="BW30" s="847"/>
      <c r="BX30" s="847"/>
      <c r="BY30" s="847"/>
      <c r="BZ30" s="847"/>
      <c r="CA30" s="847"/>
      <c r="CB30" s="847"/>
      <c r="CC30" s="847"/>
      <c r="CD30" s="847"/>
      <c r="CE30" s="847"/>
      <c r="CF30" s="847"/>
      <c r="CG30" s="847"/>
      <c r="CH30" s="847"/>
      <c r="CI30" s="847"/>
      <c r="CJ30" s="847"/>
      <c r="CK30" s="847"/>
      <c r="CL30" s="847"/>
      <c r="CM30" s="847"/>
      <c r="CN30" s="847"/>
      <c r="CO30" s="847"/>
      <c r="CP30" s="847"/>
      <c r="CQ30" s="847"/>
      <c r="CR30" s="847"/>
      <c r="CS30" s="847"/>
      <c r="CT30" s="847"/>
      <c r="CU30" s="847"/>
      <c r="CV30" s="847"/>
      <c r="CW30" s="847"/>
      <c r="CX30" s="847"/>
      <c r="CY30" s="847"/>
      <c r="CZ30" s="847"/>
      <c r="DA30" s="847"/>
      <c r="DB30" s="847"/>
      <c r="DC30" s="847"/>
      <c r="DD30" s="847"/>
      <c r="DE30" s="847"/>
      <c r="DF30" s="847"/>
      <c r="DG30" s="847"/>
      <c r="DH30" s="847"/>
      <c r="DI30" s="847"/>
      <c r="DJ30" s="847"/>
    </row>
    <row r="31" spans="1:114" ht="19.5" thickBot="1">
      <c r="A31" s="19">
        <v>12</v>
      </c>
      <c r="B31" s="20" t="s">
        <v>59</v>
      </c>
      <c r="C31" s="48">
        <v>6</v>
      </c>
      <c r="D31" s="34"/>
      <c r="E31" s="56">
        <v>0</v>
      </c>
      <c r="F31" s="533">
        <f t="shared" ref="F31" si="30">E31/AI31*100</f>
        <v>0</v>
      </c>
      <c r="G31" s="56">
        <v>1</v>
      </c>
      <c r="H31" s="523">
        <f t="shared" ref="H31" si="31">G31/AI31*100</f>
        <v>9.2250922509225092E-2</v>
      </c>
      <c r="I31" s="56">
        <v>0</v>
      </c>
      <c r="J31" s="523">
        <f t="shared" ref="J31" si="32">I31/AI31*100</f>
        <v>0</v>
      </c>
      <c r="K31" s="109"/>
      <c r="L31" s="56">
        <v>1</v>
      </c>
      <c r="M31" s="44">
        <v>0</v>
      </c>
      <c r="N31" s="116"/>
      <c r="O31" s="34">
        <v>0</v>
      </c>
      <c r="P31" s="34"/>
      <c r="Q31" s="56">
        <v>2</v>
      </c>
      <c r="R31" s="34" t="s">
        <v>81</v>
      </c>
      <c r="S31" s="34" t="s">
        <v>81</v>
      </c>
      <c r="T31" s="34">
        <v>87.6</v>
      </c>
      <c r="U31" s="250">
        <v>0</v>
      </c>
      <c r="V31" s="34">
        <v>0</v>
      </c>
      <c r="W31" s="34"/>
      <c r="X31" s="45"/>
      <c r="Y31" s="69">
        <v>100</v>
      </c>
      <c r="Z31" s="69">
        <v>33.299999999999997</v>
      </c>
      <c r="AA31" s="69">
        <v>50</v>
      </c>
      <c r="AB31" s="69">
        <v>100</v>
      </c>
      <c r="AC31" s="59"/>
      <c r="AD31" s="34"/>
      <c r="AE31" s="34"/>
      <c r="AF31" s="21"/>
      <c r="AG31" s="34"/>
      <c r="AH31" s="45"/>
      <c r="AI31" s="267">
        <v>1084</v>
      </c>
      <c r="AJ31" s="543">
        <f>SUM(C32:AH32)</f>
        <v>95</v>
      </c>
      <c r="AK31" s="847"/>
      <c r="AL31" s="847"/>
      <c r="AM31" s="847"/>
      <c r="AN31" s="847"/>
      <c r="AO31" s="847"/>
      <c r="AP31" s="847"/>
      <c r="AQ31" s="847"/>
      <c r="AR31" s="847"/>
      <c r="AS31" s="847"/>
      <c r="AT31" s="847"/>
      <c r="AU31" s="847"/>
      <c r="AV31" s="847"/>
      <c r="AW31" s="847"/>
      <c r="AX31" s="847"/>
      <c r="AY31" s="847"/>
      <c r="AZ31" s="847"/>
      <c r="BA31" s="847"/>
      <c r="BB31" s="847"/>
      <c r="BC31" s="847"/>
      <c r="BD31" s="847"/>
      <c r="BE31" s="847"/>
      <c r="BF31" s="847"/>
      <c r="BG31" s="847"/>
      <c r="BH31" s="847"/>
      <c r="BI31" s="847"/>
      <c r="BJ31" s="847"/>
      <c r="BK31" s="847"/>
      <c r="BL31" s="847"/>
      <c r="BM31" s="847"/>
      <c r="BN31" s="847"/>
      <c r="BO31" s="847"/>
      <c r="BP31" s="847"/>
      <c r="BQ31" s="847"/>
      <c r="BR31" s="847"/>
      <c r="BS31" s="847"/>
      <c r="BT31" s="847"/>
      <c r="BU31" s="847"/>
      <c r="BV31" s="847"/>
      <c r="BW31" s="847"/>
      <c r="BX31" s="847"/>
      <c r="BY31" s="847"/>
      <c r="BZ31" s="847"/>
      <c r="CA31" s="847"/>
      <c r="CB31" s="847"/>
      <c r="CC31" s="847"/>
      <c r="CD31" s="847"/>
      <c r="CE31" s="847"/>
      <c r="CF31" s="847"/>
      <c r="CG31" s="847"/>
      <c r="CH31" s="847"/>
      <c r="CI31" s="847"/>
      <c r="CJ31" s="847"/>
      <c r="CK31" s="847"/>
      <c r="CL31" s="847"/>
      <c r="CM31" s="847"/>
      <c r="CN31" s="847"/>
      <c r="CO31" s="847"/>
      <c r="CP31" s="847"/>
      <c r="CQ31" s="847"/>
      <c r="CR31" s="847"/>
      <c r="CS31" s="847"/>
      <c r="CT31" s="847"/>
      <c r="CU31" s="847"/>
      <c r="CV31" s="847"/>
      <c r="CW31" s="847"/>
      <c r="CX31" s="847"/>
      <c r="CY31" s="847"/>
      <c r="CZ31" s="847"/>
      <c r="DA31" s="847"/>
      <c r="DB31" s="847"/>
      <c r="DC31" s="847"/>
      <c r="DD31" s="847"/>
      <c r="DE31" s="847"/>
      <c r="DF31" s="847"/>
      <c r="DG31" s="847"/>
      <c r="DH31" s="847"/>
      <c r="DI31" s="847"/>
      <c r="DJ31" s="847"/>
    </row>
    <row r="32" spans="1:114" s="27" customFormat="1" ht="19.5" thickBot="1">
      <c r="A32" s="203"/>
      <c r="B32" s="204"/>
      <c r="C32" s="214"/>
      <c r="D32" s="205"/>
      <c r="E32" s="207"/>
      <c r="F32" s="207">
        <v>10</v>
      </c>
      <c r="G32" s="207"/>
      <c r="H32" s="207">
        <v>6</v>
      </c>
      <c r="I32" s="207"/>
      <c r="J32" s="207">
        <v>10</v>
      </c>
      <c r="K32" s="205"/>
      <c r="L32" s="207">
        <v>10</v>
      </c>
      <c r="M32" s="206">
        <v>10</v>
      </c>
      <c r="N32" s="206"/>
      <c r="O32" s="205">
        <v>10</v>
      </c>
      <c r="P32" s="205"/>
      <c r="Q32" s="207">
        <v>0</v>
      </c>
      <c r="R32" s="205">
        <v>0</v>
      </c>
      <c r="S32" s="205">
        <v>0</v>
      </c>
      <c r="T32" s="205">
        <v>9</v>
      </c>
      <c r="U32" s="249">
        <v>0</v>
      </c>
      <c r="V32" s="205">
        <v>0</v>
      </c>
      <c r="W32" s="205"/>
      <c r="X32" s="208"/>
      <c r="Y32" s="205">
        <v>10</v>
      </c>
      <c r="Z32" s="205">
        <v>4</v>
      </c>
      <c r="AA32" s="205">
        <v>6</v>
      </c>
      <c r="AB32" s="205">
        <v>10</v>
      </c>
      <c r="AC32" s="210"/>
      <c r="AD32" s="205"/>
      <c r="AE32" s="205"/>
      <c r="AF32" s="211"/>
      <c r="AG32" s="205"/>
      <c r="AH32" s="208"/>
      <c r="AI32" s="268"/>
      <c r="AJ32" s="104"/>
      <c r="AK32" s="847"/>
      <c r="AL32" s="847"/>
      <c r="AM32" s="847"/>
      <c r="AN32" s="847"/>
      <c r="AO32" s="847"/>
      <c r="AP32" s="847"/>
      <c r="AQ32" s="847"/>
      <c r="AR32" s="847"/>
      <c r="AS32" s="847"/>
      <c r="AT32" s="847"/>
      <c r="AU32" s="847"/>
      <c r="AV32" s="847"/>
      <c r="AW32" s="847"/>
      <c r="AX32" s="847"/>
      <c r="AY32" s="847"/>
      <c r="AZ32" s="847"/>
      <c r="BA32" s="847"/>
      <c r="BB32" s="847"/>
      <c r="BC32" s="847"/>
      <c r="BD32" s="847"/>
      <c r="BE32" s="847"/>
      <c r="BF32" s="847"/>
      <c r="BG32" s="847"/>
      <c r="BH32" s="847"/>
      <c r="BI32" s="847"/>
      <c r="BJ32" s="847"/>
      <c r="BK32" s="847"/>
      <c r="BL32" s="847"/>
      <c r="BM32" s="847"/>
      <c r="BN32" s="847"/>
      <c r="BO32" s="847"/>
      <c r="BP32" s="847"/>
      <c r="BQ32" s="847"/>
      <c r="BR32" s="847"/>
      <c r="BS32" s="847"/>
      <c r="BT32" s="847"/>
      <c r="BU32" s="847"/>
      <c r="BV32" s="847"/>
      <c r="BW32" s="847"/>
      <c r="BX32" s="847"/>
      <c r="BY32" s="847"/>
      <c r="BZ32" s="847"/>
      <c r="CA32" s="847"/>
      <c r="CB32" s="847"/>
      <c r="CC32" s="847"/>
      <c r="CD32" s="847"/>
      <c r="CE32" s="847"/>
      <c r="CF32" s="847"/>
      <c r="CG32" s="847"/>
      <c r="CH32" s="847"/>
      <c r="CI32" s="847"/>
      <c r="CJ32" s="847"/>
      <c r="CK32" s="847"/>
      <c r="CL32" s="847"/>
      <c r="CM32" s="847"/>
      <c r="CN32" s="847"/>
      <c r="CO32" s="847"/>
      <c r="CP32" s="847"/>
      <c r="CQ32" s="847"/>
      <c r="CR32" s="847"/>
      <c r="CS32" s="847"/>
      <c r="CT32" s="847"/>
      <c r="CU32" s="847"/>
      <c r="CV32" s="847"/>
      <c r="CW32" s="847"/>
      <c r="CX32" s="847"/>
      <c r="CY32" s="847"/>
      <c r="CZ32" s="847"/>
      <c r="DA32" s="847"/>
      <c r="DB32" s="847"/>
      <c r="DC32" s="847"/>
      <c r="DD32" s="847"/>
      <c r="DE32" s="847"/>
      <c r="DF32" s="847"/>
      <c r="DG32" s="847"/>
      <c r="DH32" s="847"/>
      <c r="DI32" s="847"/>
      <c r="DJ32" s="847"/>
    </row>
    <row r="33" spans="1:114" s="3" customFormat="1" ht="19.5" thickBot="1">
      <c r="A33" s="19">
        <v>13</v>
      </c>
      <c r="B33" s="20" t="s">
        <v>12</v>
      </c>
      <c r="C33" s="48">
        <v>30</v>
      </c>
      <c r="D33" s="42"/>
      <c r="E33" s="56">
        <v>0</v>
      </c>
      <c r="F33" s="533">
        <f t="shared" ref="F33" si="33">E33/AI33*100</f>
        <v>0</v>
      </c>
      <c r="G33" s="56">
        <v>9</v>
      </c>
      <c r="H33" s="523">
        <f t="shared" ref="H33" si="34">G33/AI33*100</f>
        <v>0.13148283418553688</v>
      </c>
      <c r="I33" s="56"/>
      <c r="J33" s="523">
        <f t="shared" ref="J33" si="35">I33/AI33*100</f>
        <v>0</v>
      </c>
      <c r="K33" s="200"/>
      <c r="L33" s="56">
        <v>4</v>
      </c>
      <c r="M33" s="44">
        <v>0</v>
      </c>
      <c r="N33" s="118"/>
      <c r="O33" s="241">
        <v>0</v>
      </c>
      <c r="P33" s="37"/>
      <c r="Q33" s="56">
        <v>29</v>
      </c>
      <c r="R33" s="40" t="s">
        <v>81</v>
      </c>
      <c r="S33" s="40" t="s">
        <v>81</v>
      </c>
      <c r="T33" s="40">
        <v>1.4</v>
      </c>
      <c r="U33" s="250">
        <v>0</v>
      </c>
      <c r="V33" s="40">
        <v>0</v>
      </c>
      <c r="W33" s="34"/>
      <c r="X33" s="45"/>
      <c r="Y33" s="69"/>
      <c r="Z33" s="69"/>
      <c r="AA33" s="69"/>
      <c r="AB33" s="69"/>
      <c r="AC33" s="59"/>
      <c r="AD33" s="34"/>
      <c r="AE33" s="34"/>
      <c r="AF33" s="21"/>
      <c r="AG33" s="34"/>
      <c r="AH33" s="45"/>
      <c r="AI33" s="269">
        <f>6170+675</f>
        <v>6845</v>
      </c>
      <c r="AJ33" s="542">
        <f>SUM(C34:AH34)</f>
        <v>48.6</v>
      </c>
      <c r="AK33" s="847"/>
      <c r="AL33" s="847"/>
      <c r="AM33" s="847"/>
      <c r="AN33" s="847"/>
      <c r="AO33" s="847"/>
      <c r="AP33" s="847"/>
      <c r="AQ33" s="847"/>
      <c r="AR33" s="847"/>
      <c r="AS33" s="847"/>
      <c r="AT33" s="847"/>
      <c r="AU33" s="847"/>
      <c r="AV33" s="847"/>
      <c r="AW33" s="847"/>
      <c r="AX33" s="847"/>
      <c r="AY33" s="847"/>
      <c r="AZ33" s="847"/>
      <c r="BA33" s="847"/>
      <c r="BB33" s="847"/>
      <c r="BC33" s="847"/>
      <c r="BD33" s="847"/>
      <c r="BE33" s="847"/>
      <c r="BF33" s="847"/>
      <c r="BG33" s="847"/>
      <c r="BH33" s="847"/>
      <c r="BI33" s="847"/>
      <c r="BJ33" s="847"/>
      <c r="BK33" s="847"/>
      <c r="BL33" s="847"/>
      <c r="BM33" s="847"/>
      <c r="BN33" s="847"/>
      <c r="BO33" s="847"/>
      <c r="BP33" s="847"/>
      <c r="BQ33" s="847"/>
      <c r="BR33" s="847"/>
      <c r="BS33" s="847"/>
      <c r="BT33" s="847"/>
      <c r="BU33" s="847"/>
      <c r="BV33" s="847"/>
      <c r="BW33" s="847"/>
      <c r="BX33" s="847"/>
      <c r="BY33" s="847"/>
      <c r="BZ33" s="847"/>
      <c r="CA33" s="847"/>
      <c r="CB33" s="847"/>
      <c r="CC33" s="847"/>
      <c r="CD33" s="847"/>
      <c r="CE33" s="847"/>
      <c r="CF33" s="847"/>
      <c r="CG33" s="847"/>
      <c r="CH33" s="847"/>
      <c r="CI33" s="847"/>
      <c r="CJ33" s="847"/>
      <c r="CK33" s="847"/>
      <c r="CL33" s="847"/>
      <c r="CM33" s="847"/>
      <c r="CN33" s="847"/>
      <c r="CO33" s="847"/>
      <c r="CP33" s="847"/>
      <c r="CQ33" s="847"/>
      <c r="CR33" s="847"/>
      <c r="CS33" s="847"/>
      <c r="CT33" s="847"/>
      <c r="CU33" s="847"/>
      <c r="CV33" s="847"/>
      <c r="CW33" s="847"/>
      <c r="CX33" s="847"/>
      <c r="CY33" s="847"/>
      <c r="CZ33" s="847"/>
      <c r="DA33" s="847"/>
      <c r="DB33" s="847"/>
      <c r="DC33" s="847"/>
      <c r="DD33" s="847"/>
      <c r="DE33" s="847"/>
      <c r="DF33" s="847"/>
      <c r="DG33" s="847"/>
      <c r="DH33" s="847"/>
      <c r="DI33" s="847"/>
      <c r="DJ33" s="847"/>
    </row>
    <row r="34" spans="1:114" s="31" customFormat="1" ht="19.5" thickBot="1">
      <c r="A34" s="203"/>
      <c r="B34" s="204"/>
      <c r="C34" s="214"/>
      <c r="D34" s="235"/>
      <c r="E34" s="207"/>
      <c r="F34" s="207">
        <v>7</v>
      </c>
      <c r="G34" s="207"/>
      <c r="H34" s="207">
        <v>4</v>
      </c>
      <c r="I34" s="207"/>
      <c r="J34" s="207">
        <v>6</v>
      </c>
      <c r="K34" s="215">
        <v>-0.4</v>
      </c>
      <c r="L34" s="207">
        <v>9</v>
      </c>
      <c r="M34" s="206">
        <v>10</v>
      </c>
      <c r="N34" s="234"/>
      <c r="O34" s="205">
        <v>10</v>
      </c>
      <c r="P34" s="233"/>
      <c r="Q34" s="207">
        <v>3</v>
      </c>
      <c r="R34" s="215">
        <v>0</v>
      </c>
      <c r="S34" s="215">
        <v>0</v>
      </c>
      <c r="T34" s="215">
        <v>0</v>
      </c>
      <c r="U34" s="249">
        <v>0</v>
      </c>
      <c r="V34" s="215">
        <v>0</v>
      </c>
      <c r="W34" s="205"/>
      <c r="X34" s="208"/>
      <c r="Y34" s="205"/>
      <c r="Z34" s="205"/>
      <c r="AA34" s="205"/>
      <c r="AB34" s="205"/>
      <c r="AC34" s="210"/>
      <c r="AD34" s="205"/>
      <c r="AE34" s="205"/>
      <c r="AF34" s="211"/>
      <c r="AG34" s="205"/>
      <c r="AH34" s="208"/>
      <c r="AI34" s="266"/>
      <c r="AJ34" s="545"/>
      <c r="AK34" s="847"/>
      <c r="AL34" s="847"/>
      <c r="AM34" s="847"/>
      <c r="AN34" s="847"/>
      <c r="AO34" s="847"/>
      <c r="AP34" s="847"/>
      <c r="AQ34" s="847"/>
      <c r="AR34" s="847"/>
      <c r="AS34" s="847"/>
      <c r="AT34" s="847"/>
      <c r="AU34" s="847"/>
      <c r="AV34" s="847"/>
      <c r="AW34" s="847"/>
      <c r="AX34" s="847"/>
      <c r="AY34" s="847"/>
      <c r="AZ34" s="847"/>
      <c r="BA34" s="847"/>
      <c r="BB34" s="847"/>
      <c r="BC34" s="847"/>
      <c r="BD34" s="847"/>
      <c r="BE34" s="847"/>
      <c r="BF34" s="847"/>
      <c r="BG34" s="847"/>
      <c r="BH34" s="847"/>
      <c r="BI34" s="847"/>
      <c r="BJ34" s="847"/>
      <c r="BK34" s="847"/>
      <c r="BL34" s="847"/>
      <c r="BM34" s="847"/>
      <c r="BN34" s="847"/>
      <c r="BO34" s="847"/>
      <c r="BP34" s="847"/>
      <c r="BQ34" s="847"/>
      <c r="BR34" s="847"/>
      <c r="BS34" s="847"/>
      <c r="BT34" s="847"/>
      <c r="BU34" s="847"/>
      <c r="BV34" s="847"/>
      <c r="BW34" s="847"/>
      <c r="BX34" s="847"/>
      <c r="BY34" s="847"/>
      <c r="BZ34" s="847"/>
      <c r="CA34" s="847"/>
      <c r="CB34" s="847"/>
      <c r="CC34" s="847"/>
      <c r="CD34" s="847"/>
      <c r="CE34" s="847"/>
      <c r="CF34" s="847"/>
      <c r="CG34" s="847"/>
      <c r="CH34" s="847"/>
      <c r="CI34" s="847"/>
      <c r="CJ34" s="847"/>
      <c r="CK34" s="847"/>
      <c r="CL34" s="847"/>
      <c r="CM34" s="847"/>
      <c r="CN34" s="847"/>
      <c r="CO34" s="847"/>
      <c r="CP34" s="847"/>
      <c r="CQ34" s="847"/>
      <c r="CR34" s="847"/>
      <c r="CS34" s="847"/>
      <c r="CT34" s="847"/>
      <c r="CU34" s="847"/>
      <c r="CV34" s="847"/>
      <c r="CW34" s="847"/>
      <c r="CX34" s="847"/>
      <c r="CY34" s="847"/>
      <c r="CZ34" s="847"/>
      <c r="DA34" s="847"/>
      <c r="DB34" s="847"/>
      <c r="DC34" s="847"/>
      <c r="DD34" s="847"/>
      <c r="DE34" s="847"/>
      <c r="DF34" s="847"/>
      <c r="DG34" s="847"/>
      <c r="DH34" s="847"/>
      <c r="DI34" s="847"/>
      <c r="DJ34" s="847"/>
    </row>
    <row r="35" spans="1:114" s="4" customFormat="1" ht="19.5" thickBot="1">
      <c r="A35" s="19">
        <v>14</v>
      </c>
      <c r="B35" s="22" t="s">
        <v>15</v>
      </c>
      <c r="C35" s="54">
        <v>112</v>
      </c>
      <c r="D35" s="39"/>
      <c r="E35" s="64">
        <v>0</v>
      </c>
      <c r="F35" s="533">
        <f t="shared" ref="F35" si="36">E35/AI35*100</f>
        <v>0</v>
      </c>
      <c r="G35" s="64">
        <v>7</v>
      </c>
      <c r="H35" s="523">
        <f t="shared" ref="H35" si="37">G35/AI35*100</f>
        <v>4.5694888700306809E-2</v>
      </c>
      <c r="I35" s="64"/>
      <c r="J35" s="523">
        <f t="shared" ref="J35" si="38">I35/AI35*100</f>
        <v>0</v>
      </c>
      <c r="K35" s="39"/>
      <c r="L35" s="64">
        <v>2</v>
      </c>
      <c r="M35" s="115">
        <v>0</v>
      </c>
      <c r="N35" s="116"/>
      <c r="O35" s="39">
        <v>0</v>
      </c>
      <c r="P35" s="39"/>
      <c r="Q35" s="64">
        <v>76</v>
      </c>
      <c r="R35" s="39" t="s">
        <v>81</v>
      </c>
      <c r="S35" s="39" t="s">
        <v>81</v>
      </c>
      <c r="T35" s="39">
        <v>82.01</v>
      </c>
      <c r="U35" s="252">
        <f>35*100/C35</f>
        <v>31.25</v>
      </c>
      <c r="V35" s="39">
        <v>0</v>
      </c>
      <c r="W35" s="39"/>
      <c r="X35" s="55"/>
      <c r="Y35" s="66">
        <v>72.099999999999994</v>
      </c>
      <c r="Z35" s="66">
        <v>91.6</v>
      </c>
      <c r="AA35" s="66">
        <v>91.1</v>
      </c>
      <c r="AB35" s="66">
        <v>96.6</v>
      </c>
      <c r="AC35" s="63"/>
      <c r="AD35" s="39"/>
      <c r="AE35" s="39"/>
      <c r="AF35" s="23"/>
      <c r="AG35" s="39"/>
      <c r="AH35" s="55"/>
      <c r="AI35" s="273">
        <v>15319</v>
      </c>
      <c r="AJ35" s="543">
        <f>SUM(C36:AH36)</f>
        <v>98</v>
      </c>
      <c r="AK35" s="847"/>
      <c r="AL35" s="847"/>
      <c r="AM35" s="847"/>
      <c r="AN35" s="847"/>
      <c r="AO35" s="847"/>
      <c r="AP35" s="847"/>
      <c r="AQ35" s="847"/>
      <c r="AR35" s="847"/>
      <c r="AS35" s="847"/>
      <c r="AT35" s="847"/>
      <c r="AU35" s="847"/>
      <c r="AV35" s="847"/>
      <c r="AW35" s="847"/>
      <c r="AX35" s="847"/>
      <c r="AY35" s="847"/>
      <c r="AZ35" s="847"/>
      <c r="BA35" s="847"/>
      <c r="BB35" s="847"/>
      <c r="BC35" s="847"/>
      <c r="BD35" s="847"/>
      <c r="BE35" s="847"/>
      <c r="BF35" s="847"/>
      <c r="BG35" s="847"/>
      <c r="BH35" s="847"/>
      <c r="BI35" s="847"/>
      <c r="BJ35" s="847"/>
      <c r="BK35" s="847"/>
      <c r="BL35" s="847"/>
      <c r="BM35" s="847"/>
      <c r="BN35" s="847"/>
      <c r="BO35" s="847"/>
      <c r="BP35" s="847"/>
      <c r="BQ35" s="847"/>
      <c r="BR35" s="847"/>
      <c r="BS35" s="847"/>
      <c r="BT35" s="847"/>
      <c r="BU35" s="847"/>
      <c r="BV35" s="847"/>
      <c r="BW35" s="847"/>
      <c r="BX35" s="847"/>
      <c r="BY35" s="847"/>
      <c r="BZ35" s="847"/>
      <c r="CA35" s="847"/>
      <c r="CB35" s="847"/>
      <c r="CC35" s="847"/>
      <c r="CD35" s="847"/>
      <c r="CE35" s="847"/>
      <c r="CF35" s="847"/>
      <c r="CG35" s="847"/>
      <c r="CH35" s="847"/>
      <c r="CI35" s="847"/>
      <c r="CJ35" s="847"/>
      <c r="CK35" s="847"/>
      <c r="CL35" s="847"/>
      <c r="CM35" s="847"/>
      <c r="CN35" s="847"/>
      <c r="CO35" s="847"/>
      <c r="CP35" s="847"/>
      <c r="CQ35" s="847"/>
      <c r="CR35" s="847"/>
      <c r="CS35" s="847"/>
      <c r="CT35" s="847"/>
      <c r="CU35" s="847"/>
      <c r="CV35" s="847"/>
      <c r="CW35" s="847"/>
      <c r="CX35" s="847"/>
      <c r="CY35" s="847"/>
      <c r="CZ35" s="847"/>
      <c r="DA35" s="847"/>
      <c r="DB35" s="847"/>
      <c r="DC35" s="847"/>
      <c r="DD35" s="847"/>
      <c r="DE35" s="847"/>
      <c r="DF35" s="847"/>
      <c r="DG35" s="847"/>
      <c r="DH35" s="847"/>
      <c r="DI35" s="847"/>
      <c r="DJ35" s="847"/>
    </row>
    <row r="36" spans="1:114" s="27" customFormat="1" ht="19.5" thickBot="1">
      <c r="A36" s="203"/>
      <c r="B36" s="204"/>
      <c r="C36" s="214"/>
      <c r="D36" s="205"/>
      <c r="E36" s="207"/>
      <c r="F36" s="207">
        <v>2</v>
      </c>
      <c r="G36" s="207"/>
      <c r="H36" s="207">
        <v>8</v>
      </c>
      <c r="I36" s="207"/>
      <c r="J36" s="207">
        <v>3</v>
      </c>
      <c r="K36" s="205"/>
      <c r="L36" s="207">
        <v>6</v>
      </c>
      <c r="M36" s="206">
        <v>10</v>
      </c>
      <c r="N36" s="206"/>
      <c r="O36" s="205">
        <v>10</v>
      </c>
      <c r="P36" s="205"/>
      <c r="Q36" s="207">
        <v>8</v>
      </c>
      <c r="R36" s="205">
        <v>0</v>
      </c>
      <c r="S36" s="205">
        <v>0</v>
      </c>
      <c r="T36" s="205">
        <v>9</v>
      </c>
      <c r="U36" s="249">
        <v>4</v>
      </c>
      <c r="V36" s="205">
        <v>0</v>
      </c>
      <c r="W36" s="205"/>
      <c r="X36" s="208"/>
      <c r="Y36" s="205">
        <v>8</v>
      </c>
      <c r="Z36" s="205">
        <v>10</v>
      </c>
      <c r="AA36" s="205">
        <v>10</v>
      </c>
      <c r="AB36" s="205">
        <v>10</v>
      </c>
      <c r="AC36" s="217"/>
      <c r="AD36" s="205"/>
      <c r="AE36" s="205"/>
      <c r="AF36" s="211"/>
      <c r="AG36" s="205"/>
      <c r="AH36" s="208"/>
      <c r="AI36" s="268"/>
      <c r="AJ36" s="104"/>
      <c r="AK36" s="847"/>
      <c r="AL36" s="847"/>
      <c r="AM36" s="847"/>
      <c r="AN36" s="847"/>
      <c r="AO36" s="847"/>
      <c r="AP36" s="847"/>
      <c r="AQ36" s="847"/>
      <c r="AR36" s="847"/>
      <c r="AS36" s="847"/>
      <c r="AT36" s="847"/>
      <c r="AU36" s="847"/>
      <c r="AV36" s="847"/>
      <c r="AW36" s="847"/>
      <c r="AX36" s="847"/>
      <c r="AY36" s="847"/>
      <c r="AZ36" s="847"/>
      <c r="BA36" s="847"/>
      <c r="BB36" s="847"/>
      <c r="BC36" s="847"/>
      <c r="BD36" s="847"/>
      <c r="BE36" s="847"/>
      <c r="BF36" s="847"/>
      <c r="BG36" s="847"/>
      <c r="BH36" s="847"/>
      <c r="BI36" s="847"/>
      <c r="BJ36" s="847"/>
      <c r="BK36" s="847"/>
      <c r="BL36" s="847"/>
      <c r="BM36" s="847"/>
      <c r="BN36" s="847"/>
      <c r="BO36" s="847"/>
      <c r="BP36" s="847"/>
      <c r="BQ36" s="847"/>
      <c r="BR36" s="847"/>
      <c r="BS36" s="847"/>
      <c r="BT36" s="847"/>
      <c r="BU36" s="847"/>
      <c r="BV36" s="847"/>
      <c r="BW36" s="847"/>
      <c r="BX36" s="847"/>
      <c r="BY36" s="847"/>
      <c r="BZ36" s="847"/>
      <c r="CA36" s="847"/>
      <c r="CB36" s="847"/>
      <c r="CC36" s="847"/>
      <c r="CD36" s="847"/>
      <c r="CE36" s="847"/>
      <c r="CF36" s="847"/>
      <c r="CG36" s="847"/>
      <c r="CH36" s="847"/>
      <c r="CI36" s="847"/>
      <c r="CJ36" s="847"/>
      <c r="CK36" s="847"/>
      <c r="CL36" s="847"/>
      <c r="CM36" s="847"/>
      <c r="CN36" s="847"/>
      <c r="CO36" s="847"/>
      <c r="CP36" s="847"/>
      <c r="CQ36" s="847"/>
      <c r="CR36" s="847"/>
      <c r="CS36" s="847"/>
      <c r="CT36" s="847"/>
      <c r="CU36" s="847"/>
      <c r="CV36" s="847"/>
      <c r="CW36" s="847"/>
      <c r="CX36" s="847"/>
      <c r="CY36" s="847"/>
      <c r="CZ36" s="847"/>
      <c r="DA36" s="847"/>
      <c r="DB36" s="847"/>
      <c r="DC36" s="847"/>
      <c r="DD36" s="847"/>
      <c r="DE36" s="847"/>
      <c r="DF36" s="847"/>
      <c r="DG36" s="847"/>
      <c r="DH36" s="847"/>
      <c r="DI36" s="847"/>
      <c r="DJ36" s="847"/>
    </row>
    <row r="37" spans="1:114" ht="19.5" thickBot="1">
      <c r="A37" s="19">
        <v>15</v>
      </c>
      <c r="B37" s="20" t="s">
        <v>60</v>
      </c>
      <c r="C37" s="48">
        <v>11</v>
      </c>
      <c r="D37" s="34"/>
      <c r="E37" s="56">
        <v>0</v>
      </c>
      <c r="F37" s="533">
        <f t="shared" ref="F37" si="39">E37/AI37*100</f>
        <v>0</v>
      </c>
      <c r="G37" s="56">
        <v>7</v>
      </c>
      <c r="H37" s="523">
        <f t="shared" ref="H37" si="40">G37/AI37*100</f>
        <v>0.24955436720142604</v>
      </c>
      <c r="I37" s="56"/>
      <c r="J37" s="523">
        <f t="shared" ref="J37" si="41">I37/AI37*100</f>
        <v>0</v>
      </c>
      <c r="K37" s="109"/>
      <c r="L37" s="56">
        <v>7</v>
      </c>
      <c r="M37" s="44">
        <v>0</v>
      </c>
      <c r="N37" s="116"/>
      <c r="O37" s="34">
        <v>0</v>
      </c>
      <c r="P37" s="34"/>
      <c r="Q37" s="56">
        <v>10</v>
      </c>
      <c r="R37" s="34" t="s">
        <v>81</v>
      </c>
      <c r="S37" s="34" t="s">
        <v>81</v>
      </c>
      <c r="T37" s="34">
        <v>0.87</v>
      </c>
      <c r="U37" s="250">
        <v>0</v>
      </c>
      <c r="V37" s="34">
        <v>0</v>
      </c>
      <c r="W37" s="34"/>
      <c r="X37" s="45"/>
      <c r="Y37" s="69">
        <v>45</v>
      </c>
      <c r="Z37" s="69">
        <v>18</v>
      </c>
      <c r="AA37" s="69">
        <v>18</v>
      </c>
      <c r="AB37" s="69">
        <v>18</v>
      </c>
      <c r="AC37" s="59"/>
      <c r="AD37" s="34"/>
      <c r="AE37" s="34"/>
      <c r="AF37" s="21"/>
      <c r="AG37" s="34"/>
      <c r="AH37" s="45"/>
      <c r="AI37" s="269">
        <v>2805</v>
      </c>
      <c r="AJ37" s="542">
        <f>SUM(C38:AH38)</f>
        <v>65</v>
      </c>
      <c r="AK37" s="847"/>
      <c r="AL37" s="847"/>
      <c r="AM37" s="847"/>
      <c r="AN37" s="847"/>
      <c r="AO37" s="847"/>
      <c r="AP37" s="847"/>
      <c r="AQ37" s="847"/>
      <c r="AR37" s="847"/>
      <c r="AS37" s="847"/>
      <c r="AT37" s="847"/>
      <c r="AU37" s="847"/>
      <c r="AV37" s="847"/>
      <c r="AW37" s="847"/>
      <c r="AX37" s="847"/>
      <c r="AY37" s="847"/>
      <c r="AZ37" s="847"/>
      <c r="BA37" s="847"/>
      <c r="BB37" s="847"/>
      <c r="BC37" s="847"/>
      <c r="BD37" s="847"/>
      <c r="BE37" s="847"/>
      <c r="BF37" s="847"/>
      <c r="BG37" s="847"/>
      <c r="BH37" s="847"/>
      <c r="BI37" s="847"/>
      <c r="BJ37" s="847"/>
      <c r="BK37" s="847"/>
      <c r="BL37" s="847"/>
      <c r="BM37" s="847"/>
      <c r="BN37" s="847"/>
      <c r="BO37" s="847"/>
      <c r="BP37" s="847"/>
      <c r="BQ37" s="847"/>
      <c r="BR37" s="847"/>
      <c r="BS37" s="847"/>
      <c r="BT37" s="847"/>
      <c r="BU37" s="847"/>
      <c r="BV37" s="847"/>
      <c r="BW37" s="847"/>
      <c r="BX37" s="847"/>
      <c r="BY37" s="847"/>
      <c r="BZ37" s="847"/>
      <c r="CA37" s="847"/>
      <c r="CB37" s="847"/>
      <c r="CC37" s="847"/>
      <c r="CD37" s="847"/>
      <c r="CE37" s="847"/>
      <c r="CF37" s="847"/>
      <c r="CG37" s="847"/>
      <c r="CH37" s="847"/>
      <c r="CI37" s="847"/>
      <c r="CJ37" s="847"/>
      <c r="CK37" s="847"/>
      <c r="CL37" s="847"/>
      <c r="CM37" s="847"/>
      <c r="CN37" s="847"/>
      <c r="CO37" s="847"/>
      <c r="CP37" s="847"/>
      <c r="CQ37" s="847"/>
      <c r="CR37" s="847"/>
      <c r="CS37" s="847"/>
      <c r="CT37" s="847"/>
      <c r="CU37" s="847"/>
      <c r="CV37" s="847"/>
      <c r="CW37" s="847"/>
      <c r="CX37" s="847"/>
      <c r="CY37" s="847"/>
      <c r="CZ37" s="847"/>
      <c r="DA37" s="847"/>
      <c r="DB37" s="847"/>
      <c r="DC37" s="847"/>
      <c r="DD37" s="847"/>
      <c r="DE37" s="847"/>
      <c r="DF37" s="847"/>
      <c r="DG37" s="847"/>
      <c r="DH37" s="847"/>
      <c r="DI37" s="847"/>
      <c r="DJ37" s="847"/>
    </row>
    <row r="38" spans="1:114" s="27" customFormat="1" ht="19.5" thickBot="1">
      <c r="A38" s="218"/>
      <c r="B38" s="229"/>
      <c r="C38" s="220"/>
      <c r="D38" s="224"/>
      <c r="E38" s="222"/>
      <c r="F38" s="207">
        <v>10</v>
      </c>
      <c r="G38" s="222"/>
      <c r="H38" s="207">
        <v>7</v>
      </c>
      <c r="I38" s="222"/>
      <c r="J38" s="207">
        <v>9</v>
      </c>
      <c r="K38" s="224"/>
      <c r="L38" s="222">
        <v>10</v>
      </c>
      <c r="M38" s="223">
        <v>10</v>
      </c>
      <c r="N38" s="223"/>
      <c r="O38" s="224">
        <v>7</v>
      </c>
      <c r="P38" s="224"/>
      <c r="Q38" s="222">
        <v>1</v>
      </c>
      <c r="R38" s="224">
        <v>0</v>
      </c>
      <c r="S38" s="224">
        <v>0</v>
      </c>
      <c r="T38" s="224">
        <v>0</v>
      </c>
      <c r="U38" s="251">
        <v>0</v>
      </c>
      <c r="V38" s="224">
        <v>0</v>
      </c>
      <c r="W38" s="224"/>
      <c r="X38" s="225"/>
      <c r="Y38" s="224">
        <v>5</v>
      </c>
      <c r="Z38" s="224">
        <v>2</v>
      </c>
      <c r="AA38" s="224">
        <v>2</v>
      </c>
      <c r="AB38" s="224">
        <v>2</v>
      </c>
      <c r="AC38" s="227"/>
      <c r="AD38" s="224"/>
      <c r="AE38" s="224"/>
      <c r="AF38" s="228"/>
      <c r="AG38" s="224"/>
      <c r="AH38" s="225"/>
      <c r="AI38" s="271"/>
      <c r="AJ38" s="108"/>
      <c r="AK38" s="847"/>
      <c r="AL38" s="847"/>
      <c r="AM38" s="847"/>
      <c r="AN38" s="847"/>
      <c r="AO38" s="847"/>
      <c r="AP38" s="847"/>
      <c r="AQ38" s="847"/>
      <c r="AR38" s="847"/>
      <c r="AS38" s="847"/>
      <c r="AT38" s="847"/>
      <c r="AU38" s="847"/>
      <c r="AV38" s="847"/>
      <c r="AW38" s="847"/>
      <c r="AX38" s="847"/>
      <c r="AY38" s="847"/>
      <c r="AZ38" s="847"/>
      <c r="BA38" s="847"/>
      <c r="BB38" s="847"/>
      <c r="BC38" s="847"/>
      <c r="BD38" s="847"/>
      <c r="BE38" s="847"/>
      <c r="BF38" s="847"/>
      <c r="BG38" s="847"/>
      <c r="BH38" s="847"/>
      <c r="BI38" s="847"/>
      <c r="BJ38" s="847"/>
      <c r="BK38" s="847"/>
      <c r="BL38" s="847"/>
      <c r="BM38" s="847"/>
      <c r="BN38" s="847"/>
      <c r="BO38" s="847"/>
      <c r="BP38" s="847"/>
      <c r="BQ38" s="847"/>
      <c r="BR38" s="847"/>
      <c r="BS38" s="847"/>
      <c r="BT38" s="847"/>
      <c r="BU38" s="847"/>
      <c r="BV38" s="847"/>
      <c r="BW38" s="847"/>
      <c r="BX38" s="847"/>
      <c r="BY38" s="847"/>
      <c r="BZ38" s="847"/>
      <c r="CA38" s="847"/>
      <c r="CB38" s="847"/>
      <c r="CC38" s="847"/>
      <c r="CD38" s="847"/>
      <c r="CE38" s="847"/>
      <c r="CF38" s="847"/>
      <c r="CG38" s="847"/>
      <c r="CH38" s="847"/>
      <c r="CI38" s="847"/>
      <c r="CJ38" s="847"/>
      <c r="CK38" s="847"/>
      <c r="CL38" s="847"/>
      <c r="CM38" s="847"/>
      <c r="CN38" s="847"/>
      <c r="CO38" s="847"/>
      <c r="CP38" s="847"/>
      <c r="CQ38" s="847"/>
      <c r="CR38" s="847"/>
      <c r="CS38" s="847"/>
      <c r="CT38" s="847"/>
      <c r="CU38" s="847"/>
      <c r="CV38" s="847"/>
      <c r="CW38" s="847"/>
      <c r="CX38" s="847"/>
      <c r="CY38" s="847"/>
      <c r="CZ38" s="847"/>
      <c r="DA38" s="847"/>
      <c r="DB38" s="847"/>
      <c r="DC38" s="847"/>
      <c r="DD38" s="847"/>
      <c r="DE38" s="847"/>
      <c r="DF38" s="847"/>
      <c r="DG38" s="847"/>
      <c r="DH38" s="847"/>
      <c r="DI38" s="847"/>
      <c r="DJ38" s="847"/>
    </row>
    <row r="39" spans="1:114" ht="19.5" thickBot="1">
      <c r="A39" s="19">
        <v>16</v>
      </c>
      <c r="B39" s="20" t="s">
        <v>17</v>
      </c>
      <c r="C39" s="48">
        <v>34</v>
      </c>
      <c r="D39" s="40"/>
      <c r="E39" s="56">
        <v>0</v>
      </c>
      <c r="F39" s="533">
        <f t="shared" ref="F39" si="42">E39/AI39*100</f>
        <v>0</v>
      </c>
      <c r="G39" s="56">
        <v>11</v>
      </c>
      <c r="H39" s="523">
        <f t="shared" ref="H39" si="43">G39/AI39*100</f>
        <v>0.14115231618118826</v>
      </c>
      <c r="I39" s="56"/>
      <c r="J39" s="523">
        <f t="shared" ref="J39" si="44">I39/AI39*100</f>
        <v>0</v>
      </c>
      <c r="K39" s="200"/>
      <c r="L39" s="56">
        <v>11</v>
      </c>
      <c r="M39" s="44">
        <v>0</v>
      </c>
      <c r="N39" s="116"/>
      <c r="O39" s="40">
        <v>0</v>
      </c>
      <c r="P39" s="40"/>
      <c r="Q39" s="56">
        <v>21</v>
      </c>
      <c r="R39" s="40" t="s">
        <v>81</v>
      </c>
      <c r="S39" s="40" t="s">
        <v>81</v>
      </c>
      <c r="T39" s="40">
        <v>34.549999999999997</v>
      </c>
      <c r="U39" s="250">
        <v>0</v>
      </c>
      <c r="V39" s="40">
        <v>0</v>
      </c>
      <c r="W39" s="40"/>
      <c r="X39" s="49"/>
      <c r="Y39" s="69">
        <v>30.3</v>
      </c>
      <c r="Z39" s="69">
        <v>3</v>
      </c>
      <c r="AA39" s="69">
        <v>3</v>
      </c>
      <c r="AB39" s="69">
        <v>73</v>
      </c>
      <c r="AC39" s="59"/>
      <c r="AD39" s="40"/>
      <c r="AE39" s="40"/>
      <c r="AF39" s="21"/>
      <c r="AG39" s="40"/>
      <c r="AH39" s="49"/>
      <c r="AI39" s="267">
        <v>7793</v>
      </c>
      <c r="AJ39" s="543">
        <f>SUM(C40:AH40)</f>
        <v>64</v>
      </c>
      <c r="AK39" s="847"/>
      <c r="AL39" s="847"/>
      <c r="AM39" s="847"/>
      <c r="AN39" s="847"/>
      <c r="AO39" s="847"/>
      <c r="AP39" s="847"/>
      <c r="AQ39" s="847"/>
      <c r="AR39" s="847"/>
      <c r="AS39" s="847"/>
      <c r="AT39" s="847"/>
      <c r="AU39" s="847"/>
      <c r="AV39" s="847"/>
      <c r="AW39" s="847"/>
      <c r="AX39" s="847"/>
      <c r="AY39" s="847"/>
      <c r="AZ39" s="847"/>
      <c r="BA39" s="847"/>
      <c r="BB39" s="847"/>
      <c r="BC39" s="847"/>
      <c r="BD39" s="847"/>
      <c r="BE39" s="847"/>
      <c r="BF39" s="847"/>
      <c r="BG39" s="847"/>
      <c r="BH39" s="847"/>
      <c r="BI39" s="847"/>
      <c r="BJ39" s="847"/>
      <c r="BK39" s="847"/>
      <c r="BL39" s="847"/>
      <c r="BM39" s="847"/>
      <c r="BN39" s="847"/>
      <c r="BO39" s="847"/>
      <c r="BP39" s="847"/>
      <c r="BQ39" s="847"/>
      <c r="BR39" s="847"/>
      <c r="BS39" s="847"/>
      <c r="BT39" s="847"/>
      <c r="BU39" s="847"/>
      <c r="BV39" s="847"/>
      <c r="BW39" s="847"/>
      <c r="BX39" s="847"/>
      <c r="BY39" s="847"/>
      <c r="BZ39" s="847"/>
      <c r="CA39" s="847"/>
      <c r="CB39" s="847"/>
      <c r="CC39" s="847"/>
      <c r="CD39" s="847"/>
      <c r="CE39" s="847"/>
      <c r="CF39" s="847"/>
      <c r="CG39" s="847"/>
      <c r="CH39" s="847"/>
      <c r="CI39" s="847"/>
      <c r="CJ39" s="847"/>
      <c r="CK39" s="847"/>
      <c r="CL39" s="847"/>
      <c r="CM39" s="847"/>
      <c r="CN39" s="847"/>
      <c r="CO39" s="847"/>
      <c r="CP39" s="847"/>
      <c r="CQ39" s="847"/>
      <c r="CR39" s="847"/>
      <c r="CS39" s="847"/>
      <c r="CT39" s="847"/>
      <c r="CU39" s="847"/>
      <c r="CV39" s="847"/>
      <c r="CW39" s="847"/>
      <c r="CX39" s="847"/>
      <c r="CY39" s="847"/>
      <c r="CZ39" s="847"/>
      <c r="DA39" s="847"/>
      <c r="DB39" s="847"/>
      <c r="DC39" s="847"/>
      <c r="DD39" s="847"/>
      <c r="DE39" s="847"/>
      <c r="DF39" s="847"/>
      <c r="DG39" s="847"/>
      <c r="DH39" s="847"/>
      <c r="DI39" s="847"/>
      <c r="DJ39" s="847"/>
    </row>
    <row r="40" spans="1:114" s="27" customFormat="1" ht="19.5" thickBot="1">
      <c r="A40" s="203"/>
      <c r="B40" s="204"/>
      <c r="C40" s="214"/>
      <c r="D40" s="215"/>
      <c r="E40" s="207"/>
      <c r="F40" s="207">
        <v>4</v>
      </c>
      <c r="G40" s="207"/>
      <c r="H40" s="207">
        <v>7</v>
      </c>
      <c r="I40" s="207"/>
      <c r="J40" s="207">
        <v>4</v>
      </c>
      <c r="K40" s="215"/>
      <c r="L40" s="207">
        <v>10</v>
      </c>
      <c r="M40" s="206">
        <v>10</v>
      </c>
      <c r="N40" s="206"/>
      <c r="O40" s="207">
        <v>10</v>
      </c>
      <c r="P40" s="215"/>
      <c r="Q40" s="207">
        <v>3</v>
      </c>
      <c r="R40" s="215">
        <v>0</v>
      </c>
      <c r="S40" s="215">
        <v>0</v>
      </c>
      <c r="T40" s="215">
        <v>4</v>
      </c>
      <c r="U40" s="249">
        <v>0</v>
      </c>
      <c r="V40" s="215">
        <v>0</v>
      </c>
      <c r="W40" s="215"/>
      <c r="X40" s="216"/>
      <c r="Y40" s="207">
        <v>4</v>
      </c>
      <c r="Z40" s="207">
        <v>0</v>
      </c>
      <c r="AA40" s="207">
        <v>0</v>
      </c>
      <c r="AB40" s="207">
        <v>8</v>
      </c>
      <c r="AC40" s="210"/>
      <c r="AD40" s="215"/>
      <c r="AE40" s="215"/>
      <c r="AF40" s="211"/>
      <c r="AG40" s="215"/>
      <c r="AH40" s="216"/>
      <c r="AI40" s="268"/>
      <c r="AJ40" s="546"/>
      <c r="AK40" s="847"/>
      <c r="AL40" s="847"/>
      <c r="AM40" s="847"/>
      <c r="AN40" s="847"/>
      <c r="AO40" s="847"/>
      <c r="AP40" s="847"/>
      <c r="AQ40" s="847"/>
      <c r="AR40" s="847"/>
      <c r="AS40" s="847"/>
      <c r="AT40" s="847"/>
      <c r="AU40" s="847"/>
      <c r="AV40" s="847"/>
      <c r="AW40" s="847"/>
      <c r="AX40" s="847"/>
      <c r="AY40" s="847"/>
      <c r="AZ40" s="847"/>
      <c r="BA40" s="847"/>
      <c r="BB40" s="847"/>
      <c r="BC40" s="847"/>
      <c r="BD40" s="847"/>
      <c r="BE40" s="847"/>
      <c r="BF40" s="847"/>
      <c r="BG40" s="847"/>
      <c r="BH40" s="847"/>
      <c r="BI40" s="847"/>
      <c r="BJ40" s="847"/>
      <c r="BK40" s="847"/>
      <c r="BL40" s="847"/>
      <c r="BM40" s="847"/>
      <c r="BN40" s="847"/>
      <c r="BO40" s="847"/>
      <c r="BP40" s="847"/>
      <c r="BQ40" s="847"/>
      <c r="BR40" s="847"/>
      <c r="BS40" s="847"/>
      <c r="BT40" s="847"/>
      <c r="BU40" s="847"/>
      <c r="BV40" s="847"/>
      <c r="BW40" s="847"/>
      <c r="BX40" s="847"/>
      <c r="BY40" s="847"/>
      <c r="BZ40" s="847"/>
      <c r="CA40" s="847"/>
      <c r="CB40" s="847"/>
      <c r="CC40" s="847"/>
      <c r="CD40" s="847"/>
      <c r="CE40" s="847"/>
      <c r="CF40" s="847"/>
      <c r="CG40" s="847"/>
      <c r="CH40" s="847"/>
      <c r="CI40" s="847"/>
      <c r="CJ40" s="847"/>
      <c r="CK40" s="847"/>
      <c r="CL40" s="847"/>
      <c r="CM40" s="847"/>
      <c r="CN40" s="847"/>
      <c r="CO40" s="847"/>
      <c r="CP40" s="847"/>
      <c r="CQ40" s="847"/>
      <c r="CR40" s="847"/>
      <c r="CS40" s="847"/>
      <c r="CT40" s="847"/>
      <c r="CU40" s="847"/>
      <c r="CV40" s="847"/>
      <c r="CW40" s="847"/>
      <c r="CX40" s="847"/>
      <c r="CY40" s="847"/>
      <c r="CZ40" s="847"/>
      <c r="DA40" s="847"/>
      <c r="DB40" s="847"/>
      <c r="DC40" s="847"/>
      <c r="DD40" s="847"/>
      <c r="DE40" s="847"/>
      <c r="DF40" s="847"/>
      <c r="DG40" s="847"/>
      <c r="DH40" s="847"/>
      <c r="DI40" s="847"/>
      <c r="DJ40" s="847"/>
    </row>
    <row r="41" spans="1:114" s="3" customFormat="1" ht="19.5" hidden="1" thickBot="1">
      <c r="A41" s="19">
        <v>17</v>
      </c>
      <c r="B41" s="20" t="s">
        <v>18</v>
      </c>
      <c r="C41" s="48">
        <v>15</v>
      </c>
      <c r="D41" s="42"/>
      <c r="E41" s="56"/>
      <c r="F41" s="533" t="e">
        <f t="shared" ref="F41" si="45">E41/AI41*100</f>
        <v>#DIV/0!</v>
      </c>
      <c r="G41" s="56"/>
      <c r="H41" s="523" t="e">
        <f t="shared" ref="H41" si="46">G41/AI41*100</f>
        <v>#DIV/0!</v>
      </c>
      <c r="I41" s="56"/>
      <c r="J41" s="523" t="e">
        <f t="shared" ref="J41" si="47">I41/AI41*100</f>
        <v>#DIV/0!</v>
      </c>
      <c r="K41" s="42"/>
      <c r="L41" s="56"/>
      <c r="M41" s="44"/>
      <c r="N41" s="118"/>
      <c r="O41" s="37"/>
      <c r="P41" s="37"/>
      <c r="Q41" s="56">
        <v>10</v>
      </c>
      <c r="R41" s="40"/>
      <c r="S41" s="40"/>
      <c r="T41" s="40">
        <v>0.11</v>
      </c>
      <c r="U41" s="250"/>
      <c r="V41" s="40"/>
      <c r="W41" s="34"/>
      <c r="X41" s="45"/>
      <c r="Y41" s="69"/>
      <c r="Z41" s="69"/>
      <c r="AA41" s="69"/>
      <c r="AB41" s="69"/>
      <c r="AC41" s="59"/>
      <c r="AD41" s="34"/>
      <c r="AE41" s="34"/>
      <c r="AF41" s="21"/>
      <c r="AG41" s="34"/>
      <c r="AH41" s="45"/>
      <c r="AI41" s="267"/>
      <c r="AJ41" s="547">
        <f>SUM(C42:AH42)</f>
        <v>51</v>
      </c>
      <c r="AK41" s="847"/>
      <c r="AL41" s="847"/>
      <c r="AM41" s="847"/>
      <c r="AN41" s="847"/>
      <c r="AO41" s="847"/>
      <c r="AP41" s="847"/>
      <c r="AQ41" s="847"/>
      <c r="AR41" s="847"/>
      <c r="AS41" s="847"/>
      <c r="AT41" s="847"/>
      <c r="AU41" s="847"/>
      <c r="AV41" s="847"/>
      <c r="AW41" s="847"/>
      <c r="AX41" s="847"/>
      <c r="AY41" s="847"/>
      <c r="AZ41" s="847"/>
      <c r="BA41" s="847"/>
      <c r="BB41" s="847"/>
      <c r="BC41" s="847"/>
      <c r="BD41" s="847"/>
      <c r="BE41" s="847"/>
      <c r="BF41" s="847"/>
      <c r="BG41" s="847"/>
      <c r="BH41" s="847"/>
      <c r="BI41" s="847"/>
      <c r="BJ41" s="847"/>
      <c r="BK41" s="847"/>
      <c r="BL41" s="847"/>
      <c r="BM41" s="847"/>
      <c r="BN41" s="847"/>
      <c r="BO41" s="847"/>
      <c r="BP41" s="847"/>
      <c r="BQ41" s="847"/>
      <c r="BR41" s="847"/>
      <c r="BS41" s="847"/>
      <c r="BT41" s="847"/>
      <c r="BU41" s="847"/>
      <c r="BV41" s="847"/>
      <c r="BW41" s="847"/>
      <c r="BX41" s="847"/>
      <c r="BY41" s="847"/>
      <c r="BZ41" s="847"/>
      <c r="CA41" s="847"/>
      <c r="CB41" s="847"/>
      <c r="CC41" s="847"/>
      <c r="CD41" s="847"/>
      <c r="CE41" s="847"/>
      <c r="CF41" s="847"/>
      <c r="CG41" s="847"/>
      <c r="CH41" s="847"/>
      <c r="CI41" s="847"/>
      <c r="CJ41" s="847"/>
      <c r="CK41" s="847"/>
      <c r="CL41" s="847"/>
      <c r="CM41" s="847"/>
      <c r="CN41" s="847"/>
      <c r="CO41" s="847"/>
      <c r="CP41" s="847"/>
      <c r="CQ41" s="847"/>
      <c r="CR41" s="847"/>
      <c r="CS41" s="847"/>
      <c r="CT41" s="847"/>
      <c r="CU41" s="847"/>
      <c r="CV41" s="847"/>
      <c r="CW41" s="847"/>
      <c r="CX41" s="847"/>
      <c r="CY41" s="847"/>
      <c r="CZ41" s="847"/>
      <c r="DA41" s="847"/>
      <c r="DB41" s="847"/>
      <c r="DC41" s="847"/>
      <c r="DD41" s="847"/>
      <c r="DE41" s="847"/>
      <c r="DF41" s="847"/>
      <c r="DG41" s="847"/>
      <c r="DH41" s="847"/>
      <c r="DI41" s="847"/>
      <c r="DJ41" s="847"/>
    </row>
    <row r="42" spans="1:114" s="31" customFormat="1" ht="19.5" hidden="1" thickBot="1">
      <c r="A42" s="203"/>
      <c r="B42" s="204"/>
      <c r="C42" s="214"/>
      <c r="D42" s="235"/>
      <c r="E42" s="207"/>
      <c r="F42" s="207">
        <v>16</v>
      </c>
      <c r="G42" s="207"/>
      <c r="H42" s="207">
        <v>16</v>
      </c>
      <c r="I42" s="207"/>
      <c r="J42" s="207">
        <v>18</v>
      </c>
      <c r="K42" s="235"/>
      <c r="L42" s="207"/>
      <c r="M42" s="206"/>
      <c r="N42" s="234"/>
      <c r="O42" s="233"/>
      <c r="P42" s="233"/>
      <c r="Q42" s="207">
        <v>1</v>
      </c>
      <c r="R42" s="215"/>
      <c r="S42" s="215"/>
      <c r="T42" s="215">
        <v>0</v>
      </c>
      <c r="U42" s="249"/>
      <c r="V42" s="215"/>
      <c r="W42" s="205"/>
      <c r="X42" s="208"/>
      <c r="Y42" s="207"/>
      <c r="Z42" s="207"/>
      <c r="AA42" s="207"/>
      <c r="AB42" s="207"/>
      <c r="AC42" s="210"/>
      <c r="AD42" s="205"/>
      <c r="AE42" s="205"/>
      <c r="AF42" s="211"/>
      <c r="AG42" s="205"/>
      <c r="AH42" s="208"/>
      <c r="AI42" s="268"/>
      <c r="AJ42" s="108"/>
      <c r="AK42" s="847"/>
      <c r="AL42" s="847"/>
      <c r="AM42" s="847"/>
      <c r="AN42" s="847"/>
      <c r="AO42" s="847"/>
      <c r="AP42" s="847"/>
      <c r="AQ42" s="847"/>
      <c r="AR42" s="847"/>
      <c r="AS42" s="847"/>
      <c r="AT42" s="847"/>
      <c r="AU42" s="847"/>
      <c r="AV42" s="847"/>
      <c r="AW42" s="847"/>
      <c r="AX42" s="847"/>
      <c r="AY42" s="847"/>
      <c r="AZ42" s="847"/>
      <c r="BA42" s="847"/>
      <c r="BB42" s="847"/>
      <c r="BC42" s="847"/>
      <c r="BD42" s="847"/>
      <c r="BE42" s="847"/>
      <c r="BF42" s="847"/>
      <c r="BG42" s="847"/>
      <c r="BH42" s="847"/>
      <c r="BI42" s="847"/>
      <c r="BJ42" s="847"/>
      <c r="BK42" s="847"/>
      <c r="BL42" s="847"/>
      <c r="BM42" s="847"/>
      <c r="BN42" s="847"/>
      <c r="BO42" s="847"/>
      <c r="BP42" s="847"/>
      <c r="BQ42" s="847"/>
      <c r="BR42" s="847"/>
      <c r="BS42" s="847"/>
      <c r="BT42" s="847"/>
      <c r="BU42" s="847"/>
      <c r="BV42" s="847"/>
      <c r="BW42" s="847"/>
      <c r="BX42" s="847"/>
      <c r="BY42" s="847"/>
      <c r="BZ42" s="847"/>
      <c r="CA42" s="847"/>
      <c r="CB42" s="847"/>
      <c r="CC42" s="847"/>
      <c r="CD42" s="847"/>
      <c r="CE42" s="847"/>
      <c r="CF42" s="847"/>
      <c r="CG42" s="847"/>
      <c r="CH42" s="847"/>
      <c r="CI42" s="847"/>
      <c r="CJ42" s="847"/>
      <c r="CK42" s="847"/>
      <c r="CL42" s="847"/>
      <c r="CM42" s="847"/>
      <c r="CN42" s="847"/>
      <c r="CO42" s="847"/>
      <c r="CP42" s="847"/>
      <c r="CQ42" s="847"/>
      <c r="CR42" s="847"/>
      <c r="CS42" s="847"/>
      <c r="CT42" s="847"/>
      <c r="CU42" s="847"/>
      <c r="CV42" s="847"/>
      <c r="CW42" s="847"/>
      <c r="CX42" s="847"/>
      <c r="CY42" s="847"/>
      <c r="CZ42" s="847"/>
      <c r="DA42" s="847"/>
      <c r="DB42" s="847"/>
      <c r="DC42" s="847"/>
      <c r="DD42" s="847"/>
      <c r="DE42" s="847"/>
      <c r="DF42" s="847"/>
      <c r="DG42" s="847"/>
      <c r="DH42" s="847"/>
      <c r="DI42" s="847"/>
      <c r="DJ42" s="847"/>
    </row>
    <row r="43" spans="1:114" ht="19.5" hidden="1" thickBot="1">
      <c r="A43" s="19">
        <v>18</v>
      </c>
      <c r="B43" s="20" t="s">
        <v>61</v>
      </c>
      <c r="C43" s="48">
        <v>5</v>
      </c>
      <c r="D43" s="34"/>
      <c r="E43" s="56">
        <v>0</v>
      </c>
      <c r="F43" s="533" t="e">
        <f t="shared" ref="F43" si="48">E43/AI43*100</f>
        <v>#DIV/0!</v>
      </c>
      <c r="G43" s="56"/>
      <c r="H43" s="523" t="e">
        <f t="shared" ref="H43" si="49">G43/AI43*100</f>
        <v>#DIV/0!</v>
      </c>
      <c r="I43" s="56"/>
      <c r="J43" s="523" t="e">
        <f t="shared" ref="J43" si="50">I43/AI43*100</f>
        <v>#DIV/0!</v>
      </c>
      <c r="K43" s="34"/>
      <c r="L43" s="56"/>
      <c r="M43" s="44"/>
      <c r="N43" s="116"/>
      <c r="O43" s="34"/>
      <c r="P43" s="34"/>
      <c r="Q43" s="56">
        <v>5</v>
      </c>
      <c r="R43" s="34"/>
      <c r="S43" s="34"/>
      <c r="T43" s="34">
        <v>0</v>
      </c>
      <c r="U43" s="250"/>
      <c r="V43" s="34"/>
      <c r="W43" s="34"/>
      <c r="X43" s="45"/>
      <c r="Y43" s="69"/>
      <c r="Z43" s="69"/>
      <c r="AA43" s="69"/>
      <c r="AB43" s="69"/>
      <c r="AC43" s="59"/>
      <c r="AD43" s="34"/>
      <c r="AE43" s="34"/>
      <c r="AF43" s="21"/>
      <c r="AG43" s="34"/>
      <c r="AH43" s="45"/>
      <c r="AI43" s="267"/>
      <c r="AJ43" s="548">
        <f>SUM(C44:AH44)</f>
        <v>63</v>
      </c>
      <c r="AK43" s="847"/>
      <c r="AL43" s="847"/>
      <c r="AM43" s="847"/>
      <c r="AN43" s="847"/>
      <c r="AO43" s="847"/>
      <c r="AP43" s="847"/>
      <c r="AQ43" s="847"/>
      <c r="AR43" s="847"/>
      <c r="AS43" s="847"/>
      <c r="AT43" s="847"/>
      <c r="AU43" s="847"/>
      <c r="AV43" s="847"/>
      <c r="AW43" s="847"/>
      <c r="AX43" s="847"/>
      <c r="AY43" s="847"/>
      <c r="AZ43" s="847"/>
      <c r="BA43" s="847"/>
      <c r="BB43" s="847"/>
      <c r="BC43" s="847"/>
      <c r="BD43" s="847"/>
      <c r="BE43" s="847"/>
      <c r="BF43" s="847"/>
      <c r="BG43" s="847"/>
      <c r="BH43" s="847"/>
      <c r="BI43" s="847"/>
      <c r="BJ43" s="847"/>
      <c r="BK43" s="847"/>
      <c r="BL43" s="847"/>
      <c r="BM43" s="847"/>
      <c r="BN43" s="847"/>
      <c r="BO43" s="847"/>
      <c r="BP43" s="847"/>
      <c r="BQ43" s="847"/>
      <c r="BR43" s="847"/>
      <c r="BS43" s="847"/>
      <c r="BT43" s="847"/>
      <c r="BU43" s="847"/>
      <c r="BV43" s="847"/>
      <c r="BW43" s="847"/>
      <c r="BX43" s="847"/>
      <c r="BY43" s="847"/>
      <c r="BZ43" s="847"/>
      <c r="CA43" s="847"/>
      <c r="CB43" s="847"/>
      <c r="CC43" s="847"/>
      <c r="CD43" s="847"/>
      <c r="CE43" s="847"/>
      <c r="CF43" s="847"/>
      <c r="CG43" s="847"/>
      <c r="CH43" s="847"/>
      <c r="CI43" s="847"/>
      <c r="CJ43" s="847"/>
      <c r="CK43" s="847"/>
      <c r="CL43" s="847"/>
      <c r="CM43" s="847"/>
      <c r="CN43" s="847"/>
      <c r="CO43" s="847"/>
      <c r="CP43" s="847"/>
      <c r="CQ43" s="847"/>
      <c r="CR43" s="847"/>
      <c r="CS43" s="847"/>
      <c r="CT43" s="847"/>
      <c r="CU43" s="847"/>
      <c r="CV43" s="847"/>
      <c r="CW43" s="847"/>
      <c r="CX43" s="847"/>
      <c r="CY43" s="847"/>
      <c r="CZ43" s="847"/>
      <c r="DA43" s="847"/>
      <c r="DB43" s="847"/>
      <c r="DC43" s="847"/>
      <c r="DD43" s="847"/>
      <c r="DE43" s="847"/>
      <c r="DF43" s="847"/>
      <c r="DG43" s="847"/>
      <c r="DH43" s="847"/>
      <c r="DI43" s="847"/>
      <c r="DJ43" s="847"/>
    </row>
    <row r="44" spans="1:114" s="27" customFormat="1" ht="19.5" hidden="1" thickBot="1">
      <c r="A44" s="24"/>
      <c r="B44" s="25"/>
      <c r="C44" s="50"/>
      <c r="D44" s="36"/>
      <c r="E44" s="57">
        <v>10</v>
      </c>
      <c r="F44" s="207">
        <v>17</v>
      </c>
      <c r="G44" s="57"/>
      <c r="H44" s="207">
        <v>17</v>
      </c>
      <c r="I44" s="57"/>
      <c r="J44" s="207">
        <v>19</v>
      </c>
      <c r="K44" s="36"/>
      <c r="L44" s="57"/>
      <c r="M44" s="46"/>
      <c r="N44" s="117"/>
      <c r="O44" s="36"/>
      <c r="P44" s="36"/>
      <c r="Q44" s="57"/>
      <c r="R44" s="36"/>
      <c r="S44" s="36"/>
      <c r="T44" s="36"/>
      <c r="U44" s="253"/>
      <c r="V44" s="36"/>
      <c r="W44" s="36"/>
      <c r="X44" s="47"/>
      <c r="Y44" s="57"/>
      <c r="Z44" s="57"/>
      <c r="AA44" s="57"/>
      <c r="AB44" s="57"/>
      <c r="AC44" s="60"/>
      <c r="AD44" s="36"/>
      <c r="AE44" s="36"/>
      <c r="AF44" s="26"/>
      <c r="AG44" s="36"/>
      <c r="AH44" s="47"/>
      <c r="AI44" s="274"/>
      <c r="AJ44" s="104"/>
      <c r="AK44" s="847"/>
      <c r="AL44" s="847"/>
      <c r="AM44" s="847"/>
      <c r="AN44" s="847"/>
      <c r="AO44" s="847"/>
      <c r="AP44" s="847"/>
      <c r="AQ44" s="847"/>
      <c r="AR44" s="847"/>
      <c r="AS44" s="847"/>
      <c r="AT44" s="847"/>
      <c r="AU44" s="847"/>
      <c r="AV44" s="847"/>
      <c r="AW44" s="847"/>
      <c r="AX44" s="847"/>
      <c r="AY44" s="847"/>
      <c r="AZ44" s="847"/>
      <c r="BA44" s="847"/>
      <c r="BB44" s="847"/>
      <c r="BC44" s="847"/>
      <c r="BD44" s="847"/>
      <c r="BE44" s="847"/>
      <c r="BF44" s="847"/>
      <c r="BG44" s="847"/>
      <c r="BH44" s="847"/>
      <c r="BI44" s="847"/>
      <c r="BJ44" s="847"/>
      <c r="BK44" s="847"/>
      <c r="BL44" s="847"/>
      <c r="BM44" s="847"/>
      <c r="BN44" s="847"/>
      <c r="BO44" s="847"/>
      <c r="BP44" s="847"/>
      <c r="BQ44" s="847"/>
      <c r="BR44" s="847"/>
      <c r="BS44" s="847"/>
      <c r="BT44" s="847"/>
      <c r="BU44" s="847"/>
      <c r="BV44" s="847"/>
      <c r="BW44" s="847"/>
      <c r="BX44" s="847"/>
      <c r="BY44" s="847"/>
      <c r="BZ44" s="847"/>
      <c r="CA44" s="847"/>
      <c r="CB44" s="847"/>
      <c r="CC44" s="847"/>
      <c r="CD44" s="847"/>
      <c r="CE44" s="847"/>
      <c r="CF44" s="847"/>
      <c r="CG44" s="847"/>
      <c r="CH44" s="847"/>
      <c r="CI44" s="847"/>
      <c r="CJ44" s="847"/>
      <c r="CK44" s="847"/>
      <c r="CL44" s="847"/>
      <c r="CM44" s="847"/>
      <c r="CN44" s="847"/>
      <c r="CO44" s="847"/>
      <c r="CP44" s="847"/>
      <c r="CQ44" s="847"/>
      <c r="CR44" s="847"/>
      <c r="CS44" s="847"/>
      <c r="CT44" s="847"/>
      <c r="CU44" s="847"/>
      <c r="CV44" s="847"/>
      <c r="CW44" s="847"/>
      <c r="CX44" s="847"/>
      <c r="CY44" s="847"/>
      <c r="CZ44" s="847"/>
      <c r="DA44" s="847"/>
      <c r="DB44" s="847"/>
      <c r="DC44" s="847"/>
      <c r="DD44" s="847"/>
      <c r="DE44" s="847"/>
      <c r="DF44" s="847"/>
      <c r="DG44" s="847"/>
      <c r="DH44" s="847"/>
      <c r="DI44" s="847"/>
      <c r="DJ44" s="847"/>
    </row>
    <row r="45" spans="1:114" ht="19.5" thickBot="1">
      <c r="A45" s="19">
        <v>19</v>
      </c>
      <c r="B45" s="20" t="s">
        <v>62</v>
      </c>
      <c r="C45" s="48">
        <v>8</v>
      </c>
      <c r="D45" s="40"/>
      <c r="E45" s="56">
        <v>0</v>
      </c>
      <c r="F45" s="533">
        <f t="shared" ref="F45" si="51">E45/AI45*100</f>
        <v>0</v>
      </c>
      <c r="G45" s="56">
        <v>0</v>
      </c>
      <c r="H45" s="523">
        <f t="shared" ref="H45" si="52">G45/AI45*100</f>
        <v>0</v>
      </c>
      <c r="I45" s="56"/>
      <c r="J45" s="523">
        <f t="shared" ref="J45" si="53">I45/AI45*100</f>
        <v>0</v>
      </c>
      <c r="K45" s="40"/>
      <c r="L45" s="56">
        <v>0</v>
      </c>
      <c r="M45" s="44">
        <v>0</v>
      </c>
      <c r="N45" s="116"/>
      <c r="O45" s="40">
        <v>0</v>
      </c>
      <c r="P45" s="40"/>
      <c r="Q45" s="56">
        <v>0</v>
      </c>
      <c r="R45" s="40" t="s">
        <v>81</v>
      </c>
      <c r="S45" s="40" t="s">
        <v>81</v>
      </c>
      <c r="T45" s="40">
        <v>0</v>
      </c>
      <c r="U45" s="250">
        <v>0</v>
      </c>
      <c r="V45" s="40">
        <v>0</v>
      </c>
      <c r="W45" s="40"/>
      <c r="X45" s="49"/>
      <c r="Y45" s="69">
        <v>100</v>
      </c>
      <c r="Z45" s="69">
        <v>100</v>
      </c>
      <c r="AA45" s="69">
        <v>100</v>
      </c>
      <c r="AB45" s="69">
        <v>100</v>
      </c>
      <c r="AC45" s="59"/>
      <c r="AD45" s="40"/>
      <c r="AE45" s="40"/>
      <c r="AF45" s="21"/>
      <c r="AG45" s="40"/>
      <c r="AH45" s="49"/>
      <c r="AI45" s="269">
        <v>1417</v>
      </c>
      <c r="AJ45" s="542">
        <f>SUM(C46:AH46)</f>
        <v>84</v>
      </c>
      <c r="AK45" s="847"/>
      <c r="AL45" s="847"/>
      <c r="AM45" s="847"/>
      <c r="AN45" s="847"/>
      <c r="AO45" s="847"/>
      <c r="AP45" s="847"/>
      <c r="AQ45" s="847"/>
      <c r="AR45" s="847"/>
      <c r="AS45" s="847"/>
      <c r="AT45" s="847"/>
      <c r="AU45" s="847"/>
      <c r="AV45" s="847"/>
      <c r="AW45" s="847"/>
      <c r="AX45" s="847"/>
      <c r="AY45" s="847"/>
      <c r="AZ45" s="847"/>
      <c r="BA45" s="847"/>
      <c r="BB45" s="847"/>
      <c r="BC45" s="847"/>
      <c r="BD45" s="847"/>
      <c r="BE45" s="847"/>
      <c r="BF45" s="847"/>
      <c r="BG45" s="847"/>
      <c r="BH45" s="847"/>
      <c r="BI45" s="847"/>
      <c r="BJ45" s="847"/>
      <c r="BK45" s="847"/>
      <c r="BL45" s="847"/>
      <c r="BM45" s="847"/>
      <c r="BN45" s="847"/>
      <c r="BO45" s="847"/>
      <c r="BP45" s="847"/>
      <c r="BQ45" s="847"/>
      <c r="BR45" s="847"/>
      <c r="BS45" s="847"/>
      <c r="BT45" s="847"/>
      <c r="BU45" s="847"/>
      <c r="BV45" s="847"/>
      <c r="BW45" s="847"/>
      <c r="BX45" s="847"/>
      <c r="BY45" s="847"/>
      <c r="BZ45" s="847"/>
      <c r="CA45" s="847"/>
      <c r="CB45" s="847"/>
      <c r="CC45" s="847"/>
      <c r="CD45" s="847"/>
      <c r="CE45" s="847"/>
      <c r="CF45" s="847"/>
      <c r="CG45" s="847"/>
      <c r="CH45" s="847"/>
      <c r="CI45" s="847"/>
      <c r="CJ45" s="847"/>
      <c r="CK45" s="847"/>
      <c r="CL45" s="847"/>
      <c r="CM45" s="847"/>
      <c r="CN45" s="847"/>
      <c r="CO45" s="847"/>
      <c r="CP45" s="847"/>
      <c r="CQ45" s="847"/>
      <c r="CR45" s="847"/>
      <c r="CS45" s="847"/>
      <c r="CT45" s="847"/>
      <c r="CU45" s="847"/>
      <c r="CV45" s="847"/>
      <c r="CW45" s="847"/>
      <c r="CX45" s="847"/>
      <c r="CY45" s="847"/>
      <c r="CZ45" s="847"/>
      <c r="DA45" s="847"/>
      <c r="DB45" s="847"/>
      <c r="DC45" s="847"/>
      <c r="DD45" s="847"/>
      <c r="DE45" s="847"/>
      <c r="DF45" s="847"/>
      <c r="DG45" s="847"/>
      <c r="DH45" s="847"/>
      <c r="DI45" s="847"/>
      <c r="DJ45" s="847"/>
    </row>
    <row r="46" spans="1:114" s="27" customFormat="1" ht="19.5" thickBot="1">
      <c r="A46" s="203"/>
      <c r="B46" s="204"/>
      <c r="C46" s="214"/>
      <c r="D46" s="215"/>
      <c r="E46" s="207"/>
      <c r="F46" s="207">
        <v>0</v>
      </c>
      <c r="G46" s="207"/>
      <c r="H46" s="207">
        <v>10</v>
      </c>
      <c r="I46" s="207"/>
      <c r="J46" s="207">
        <v>4</v>
      </c>
      <c r="K46" s="215"/>
      <c r="L46" s="207">
        <v>10</v>
      </c>
      <c r="M46" s="206">
        <v>10</v>
      </c>
      <c r="N46" s="206"/>
      <c r="O46" s="215">
        <v>10</v>
      </c>
      <c r="P46" s="215"/>
      <c r="Q46" s="207">
        <v>0</v>
      </c>
      <c r="R46" s="215">
        <v>0</v>
      </c>
      <c r="S46" s="215">
        <v>0</v>
      </c>
      <c r="T46" s="215">
        <v>0</v>
      </c>
      <c r="U46" s="249">
        <v>0</v>
      </c>
      <c r="V46" s="215">
        <v>0</v>
      </c>
      <c r="W46" s="215"/>
      <c r="X46" s="216"/>
      <c r="Y46" s="207">
        <v>10</v>
      </c>
      <c r="Z46" s="207">
        <v>10</v>
      </c>
      <c r="AA46" s="207">
        <v>10</v>
      </c>
      <c r="AB46" s="207">
        <v>10</v>
      </c>
      <c r="AC46" s="210"/>
      <c r="AD46" s="215"/>
      <c r="AE46" s="215"/>
      <c r="AF46" s="211"/>
      <c r="AG46" s="215"/>
      <c r="AH46" s="216"/>
      <c r="AI46" s="266"/>
      <c r="AJ46" s="108"/>
      <c r="AK46" s="847"/>
      <c r="AL46" s="847"/>
      <c r="AM46" s="847"/>
      <c r="AN46" s="847"/>
      <c r="AO46" s="847"/>
      <c r="AP46" s="847"/>
      <c r="AQ46" s="847"/>
      <c r="AR46" s="847"/>
      <c r="AS46" s="847"/>
      <c r="AT46" s="847"/>
      <c r="AU46" s="847"/>
      <c r="AV46" s="847"/>
      <c r="AW46" s="847"/>
      <c r="AX46" s="847"/>
      <c r="AY46" s="847"/>
      <c r="AZ46" s="847"/>
      <c r="BA46" s="847"/>
      <c r="BB46" s="847"/>
      <c r="BC46" s="847"/>
      <c r="BD46" s="847"/>
      <c r="BE46" s="847"/>
      <c r="BF46" s="847"/>
      <c r="BG46" s="847"/>
      <c r="BH46" s="847"/>
      <c r="BI46" s="847"/>
      <c r="BJ46" s="847"/>
      <c r="BK46" s="847"/>
      <c r="BL46" s="847"/>
      <c r="BM46" s="847"/>
      <c r="BN46" s="847"/>
      <c r="BO46" s="847"/>
      <c r="BP46" s="847"/>
      <c r="BQ46" s="847"/>
      <c r="BR46" s="847"/>
      <c r="BS46" s="847"/>
      <c r="BT46" s="847"/>
      <c r="BU46" s="847"/>
      <c r="BV46" s="847"/>
      <c r="BW46" s="847"/>
      <c r="BX46" s="847"/>
      <c r="BY46" s="847"/>
      <c r="BZ46" s="847"/>
      <c r="CA46" s="847"/>
      <c r="CB46" s="847"/>
      <c r="CC46" s="847"/>
      <c r="CD46" s="847"/>
      <c r="CE46" s="847"/>
      <c r="CF46" s="847"/>
      <c r="CG46" s="847"/>
      <c r="CH46" s="847"/>
      <c r="CI46" s="847"/>
      <c r="CJ46" s="847"/>
      <c r="CK46" s="847"/>
      <c r="CL46" s="847"/>
      <c r="CM46" s="847"/>
      <c r="CN46" s="847"/>
      <c r="CO46" s="847"/>
      <c r="CP46" s="847"/>
      <c r="CQ46" s="847"/>
      <c r="CR46" s="847"/>
      <c r="CS46" s="847"/>
      <c r="CT46" s="847"/>
      <c r="CU46" s="847"/>
      <c r="CV46" s="847"/>
      <c r="CW46" s="847"/>
      <c r="CX46" s="847"/>
      <c r="CY46" s="847"/>
      <c r="CZ46" s="847"/>
      <c r="DA46" s="847"/>
      <c r="DB46" s="847"/>
      <c r="DC46" s="847"/>
      <c r="DD46" s="847"/>
      <c r="DE46" s="847"/>
      <c r="DF46" s="847"/>
      <c r="DG46" s="847"/>
      <c r="DH46" s="847"/>
      <c r="DI46" s="847"/>
      <c r="DJ46" s="847"/>
    </row>
    <row r="47" spans="1:114" s="3" customFormat="1" ht="19.5" thickBot="1">
      <c r="A47" s="19">
        <v>20</v>
      </c>
      <c r="B47" s="20" t="s">
        <v>63</v>
      </c>
      <c r="C47" s="48">
        <v>107</v>
      </c>
      <c r="D47" s="42"/>
      <c r="E47" s="56">
        <v>0</v>
      </c>
      <c r="F47" s="533">
        <f t="shared" ref="F47" si="54">E47/AI47*100</f>
        <v>0</v>
      </c>
      <c r="G47" s="56">
        <v>30</v>
      </c>
      <c r="H47" s="523">
        <f t="shared" ref="H47" si="55">G47/AI47*100</f>
        <v>0.18309429356118401</v>
      </c>
      <c r="I47" s="56"/>
      <c r="J47" s="523">
        <f t="shared" ref="J47" si="56">I47/AI47*100</f>
        <v>0</v>
      </c>
      <c r="K47" s="244"/>
      <c r="L47" s="56">
        <v>7</v>
      </c>
      <c r="M47" s="44">
        <v>0</v>
      </c>
      <c r="N47" s="116"/>
      <c r="O47" s="40">
        <v>0</v>
      </c>
      <c r="P47" s="42"/>
      <c r="Q47" s="56">
        <v>58</v>
      </c>
      <c r="R47" s="40" t="s">
        <v>81</v>
      </c>
      <c r="S47" s="40" t="s">
        <v>81</v>
      </c>
      <c r="T47" s="40">
        <v>67.8</v>
      </c>
      <c r="U47" s="250">
        <v>0</v>
      </c>
      <c r="V47" s="40">
        <v>0</v>
      </c>
      <c r="W47" s="34"/>
      <c r="X47" s="45"/>
      <c r="Y47" s="69"/>
      <c r="Z47" s="69"/>
      <c r="AA47" s="69"/>
      <c r="AB47" s="69"/>
      <c r="AC47" s="59"/>
      <c r="AD47" s="34"/>
      <c r="AE47" s="34"/>
      <c r="AF47" s="21"/>
      <c r="AG47" s="34"/>
      <c r="AH47" s="45"/>
      <c r="AI47" s="267">
        <f>13697+2688</f>
        <v>16385</v>
      </c>
      <c r="AJ47" s="543">
        <f>SUM(C48:AH48)</f>
        <v>55.4</v>
      </c>
      <c r="AK47" s="847"/>
      <c r="AL47" s="847"/>
      <c r="AM47" s="847"/>
      <c r="AN47" s="847"/>
      <c r="AO47" s="847"/>
      <c r="AP47" s="847"/>
      <c r="AQ47" s="847"/>
      <c r="AR47" s="847"/>
      <c r="AS47" s="847"/>
      <c r="AT47" s="847"/>
      <c r="AU47" s="847"/>
      <c r="AV47" s="847"/>
      <c r="AW47" s="847"/>
      <c r="AX47" s="847"/>
      <c r="AY47" s="847"/>
      <c r="AZ47" s="847"/>
      <c r="BA47" s="847"/>
      <c r="BB47" s="847"/>
      <c r="BC47" s="847"/>
      <c r="BD47" s="847"/>
      <c r="BE47" s="847"/>
      <c r="BF47" s="847"/>
      <c r="BG47" s="847"/>
      <c r="BH47" s="847"/>
      <c r="BI47" s="847"/>
      <c r="BJ47" s="847"/>
      <c r="BK47" s="847"/>
      <c r="BL47" s="847"/>
      <c r="BM47" s="847"/>
      <c r="BN47" s="847"/>
      <c r="BO47" s="847"/>
      <c r="BP47" s="847"/>
      <c r="BQ47" s="847"/>
      <c r="BR47" s="847"/>
      <c r="BS47" s="847"/>
      <c r="BT47" s="847"/>
      <c r="BU47" s="847"/>
      <c r="BV47" s="847"/>
      <c r="BW47" s="847"/>
      <c r="BX47" s="847"/>
      <c r="BY47" s="847"/>
      <c r="BZ47" s="847"/>
      <c r="CA47" s="847"/>
      <c r="CB47" s="847"/>
      <c r="CC47" s="847"/>
      <c r="CD47" s="847"/>
      <c r="CE47" s="847"/>
      <c r="CF47" s="847"/>
      <c r="CG47" s="847"/>
      <c r="CH47" s="847"/>
      <c r="CI47" s="847"/>
      <c r="CJ47" s="847"/>
      <c r="CK47" s="847"/>
      <c r="CL47" s="847"/>
      <c r="CM47" s="847"/>
      <c r="CN47" s="847"/>
      <c r="CO47" s="847"/>
      <c r="CP47" s="847"/>
      <c r="CQ47" s="847"/>
      <c r="CR47" s="847"/>
      <c r="CS47" s="847"/>
      <c r="CT47" s="847"/>
      <c r="CU47" s="847"/>
      <c r="CV47" s="847"/>
      <c r="CW47" s="847"/>
      <c r="CX47" s="847"/>
      <c r="CY47" s="847"/>
      <c r="CZ47" s="847"/>
      <c r="DA47" s="847"/>
      <c r="DB47" s="847"/>
      <c r="DC47" s="847"/>
      <c r="DD47" s="847"/>
      <c r="DE47" s="847"/>
      <c r="DF47" s="847"/>
      <c r="DG47" s="847"/>
      <c r="DH47" s="847"/>
      <c r="DI47" s="847"/>
      <c r="DJ47" s="847"/>
    </row>
    <row r="48" spans="1:114" s="31" customFormat="1" ht="19.5" thickBot="1">
      <c r="A48" s="203"/>
      <c r="B48" s="204"/>
      <c r="C48" s="214"/>
      <c r="D48" s="235"/>
      <c r="E48" s="207"/>
      <c r="F48" s="207">
        <v>5</v>
      </c>
      <c r="G48" s="207"/>
      <c r="H48" s="207">
        <v>6</v>
      </c>
      <c r="I48" s="207"/>
      <c r="J48" s="207">
        <v>7</v>
      </c>
      <c r="K48" s="215">
        <v>-0.6</v>
      </c>
      <c r="L48" s="207">
        <v>9</v>
      </c>
      <c r="M48" s="206">
        <v>10</v>
      </c>
      <c r="N48" s="206"/>
      <c r="O48" s="215">
        <v>6</v>
      </c>
      <c r="P48" s="235"/>
      <c r="Q48" s="207">
        <v>6</v>
      </c>
      <c r="R48" s="215">
        <v>0</v>
      </c>
      <c r="S48" s="215">
        <v>0</v>
      </c>
      <c r="T48" s="215">
        <v>7</v>
      </c>
      <c r="U48" s="249">
        <v>0</v>
      </c>
      <c r="V48" s="215">
        <v>0</v>
      </c>
      <c r="W48" s="205"/>
      <c r="X48" s="208"/>
      <c r="Y48" s="207"/>
      <c r="Z48" s="207"/>
      <c r="AA48" s="207"/>
      <c r="AB48" s="207"/>
      <c r="AC48" s="210"/>
      <c r="AD48" s="205"/>
      <c r="AE48" s="205"/>
      <c r="AF48" s="211"/>
      <c r="AG48" s="205"/>
      <c r="AH48" s="208"/>
      <c r="AI48" s="268"/>
      <c r="AJ48" s="544"/>
      <c r="AK48" s="847"/>
      <c r="AL48" s="847"/>
      <c r="AM48" s="847"/>
      <c r="AN48" s="847"/>
      <c r="AO48" s="847"/>
      <c r="AP48" s="847"/>
      <c r="AQ48" s="847"/>
      <c r="AR48" s="847"/>
      <c r="AS48" s="847"/>
      <c r="AT48" s="847"/>
      <c r="AU48" s="847"/>
      <c r="AV48" s="847"/>
      <c r="AW48" s="847"/>
      <c r="AX48" s="847"/>
      <c r="AY48" s="847"/>
      <c r="AZ48" s="847"/>
      <c r="BA48" s="847"/>
      <c r="BB48" s="847"/>
      <c r="BC48" s="847"/>
      <c r="BD48" s="847"/>
      <c r="BE48" s="847"/>
      <c r="BF48" s="847"/>
      <c r="BG48" s="847"/>
      <c r="BH48" s="847"/>
      <c r="BI48" s="847"/>
      <c r="BJ48" s="847"/>
      <c r="BK48" s="847"/>
      <c r="BL48" s="847"/>
      <c r="BM48" s="847"/>
      <c r="BN48" s="847"/>
      <c r="BO48" s="847"/>
      <c r="BP48" s="847"/>
      <c r="BQ48" s="847"/>
      <c r="BR48" s="847"/>
      <c r="BS48" s="847"/>
      <c r="BT48" s="847"/>
      <c r="BU48" s="847"/>
      <c r="BV48" s="847"/>
      <c r="BW48" s="847"/>
      <c r="BX48" s="847"/>
      <c r="BY48" s="847"/>
      <c r="BZ48" s="847"/>
      <c r="CA48" s="847"/>
      <c r="CB48" s="847"/>
      <c r="CC48" s="847"/>
      <c r="CD48" s="847"/>
      <c r="CE48" s="847"/>
      <c r="CF48" s="847"/>
      <c r="CG48" s="847"/>
      <c r="CH48" s="847"/>
      <c r="CI48" s="847"/>
      <c r="CJ48" s="847"/>
      <c r="CK48" s="847"/>
      <c r="CL48" s="847"/>
      <c r="CM48" s="847"/>
      <c r="CN48" s="847"/>
      <c r="CO48" s="847"/>
      <c r="CP48" s="847"/>
      <c r="CQ48" s="847"/>
      <c r="CR48" s="847"/>
      <c r="CS48" s="847"/>
      <c r="CT48" s="847"/>
      <c r="CU48" s="847"/>
      <c r="CV48" s="847"/>
      <c r="CW48" s="847"/>
      <c r="CX48" s="847"/>
      <c r="CY48" s="847"/>
      <c r="CZ48" s="847"/>
      <c r="DA48" s="847"/>
      <c r="DB48" s="847"/>
      <c r="DC48" s="847"/>
      <c r="DD48" s="847"/>
      <c r="DE48" s="847"/>
      <c r="DF48" s="847"/>
      <c r="DG48" s="847"/>
      <c r="DH48" s="847"/>
      <c r="DI48" s="847"/>
      <c r="DJ48" s="847"/>
    </row>
    <row r="49" spans="1:114" s="4" customFormat="1" ht="19.5" hidden="1" thickBot="1">
      <c r="A49" s="19">
        <v>21</v>
      </c>
      <c r="B49" s="22" t="s">
        <v>64</v>
      </c>
      <c r="C49" s="54">
        <v>6</v>
      </c>
      <c r="D49" s="39"/>
      <c r="E49" s="64">
        <v>0</v>
      </c>
      <c r="F49" s="533" t="e">
        <f t="shared" ref="F49" si="57">E49/AI49*100</f>
        <v>#DIV/0!</v>
      </c>
      <c r="G49" s="64"/>
      <c r="H49" s="523" t="e">
        <f t="shared" ref="H49" si="58">G49/AI49*100</f>
        <v>#DIV/0!</v>
      </c>
      <c r="I49" s="64"/>
      <c r="J49" s="523" t="e">
        <f t="shared" ref="J49" si="59">I49/AI49*100</f>
        <v>#DIV/0!</v>
      </c>
      <c r="K49" s="39"/>
      <c r="L49" s="64"/>
      <c r="M49" s="115"/>
      <c r="N49" s="116"/>
      <c r="O49" s="39"/>
      <c r="P49" s="39"/>
      <c r="Q49" s="64">
        <v>2</v>
      </c>
      <c r="R49" s="39"/>
      <c r="S49" s="39"/>
      <c r="T49" s="39">
        <v>51.01</v>
      </c>
      <c r="U49" s="252"/>
      <c r="V49" s="39"/>
      <c r="W49" s="39"/>
      <c r="X49" s="55"/>
      <c r="Y49" s="66"/>
      <c r="Z49" s="66"/>
      <c r="AA49" s="66"/>
      <c r="AB49" s="66"/>
      <c r="AC49" s="63"/>
      <c r="AD49" s="39"/>
      <c r="AE49" s="39"/>
      <c r="AF49" s="23"/>
      <c r="AG49" s="39"/>
      <c r="AH49" s="55"/>
      <c r="AI49" s="272"/>
      <c r="AJ49" s="549">
        <f>SUM(C50:AH50)</f>
        <v>78</v>
      </c>
      <c r="AK49" s="847"/>
      <c r="AL49" s="847"/>
      <c r="AM49" s="847"/>
      <c r="AN49" s="847"/>
      <c r="AO49" s="847"/>
      <c r="AP49" s="847"/>
      <c r="AQ49" s="847"/>
      <c r="AR49" s="847"/>
      <c r="AS49" s="847"/>
      <c r="AT49" s="847"/>
      <c r="AU49" s="847"/>
      <c r="AV49" s="847"/>
      <c r="AW49" s="847"/>
      <c r="AX49" s="847"/>
      <c r="AY49" s="847"/>
      <c r="AZ49" s="847"/>
      <c r="BA49" s="847"/>
      <c r="BB49" s="847"/>
      <c r="BC49" s="847"/>
      <c r="BD49" s="847"/>
      <c r="BE49" s="847"/>
      <c r="BF49" s="847"/>
      <c r="BG49" s="847"/>
      <c r="BH49" s="847"/>
      <c r="BI49" s="847"/>
      <c r="BJ49" s="847"/>
      <c r="BK49" s="847"/>
      <c r="BL49" s="847"/>
      <c r="BM49" s="847"/>
      <c r="BN49" s="847"/>
      <c r="BO49" s="847"/>
      <c r="BP49" s="847"/>
      <c r="BQ49" s="847"/>
      <c r="BR49" s="847"/>
      <c r="BS49" s="847"/>
      <c r="BT49" s="847"/>
      <c r="BU49" s="847"/>
      <c r="BV49" s="847"/>
      <c r="BW49" s="847"/>
      <c r="BX49" s="847"/>
      <c r="BY49" s="847"/>
      <c r="BZ49" s="847"/>
      <c r="CA49" s="847"/>
      <c r="CB49" s="847"/>
      <c r="CC49" s="847"/>
      <c r="CD49" s="847"/>
      <c r="CE49" s="847"/>
      <c r="CF49" s="847"/>
      <c r="CG49" s="847"/>
      <c r="CH49" s="847"/>
      <c r="CI49" s="847"/>
      <c r="CJ49" s="847"/>
      <c r="CK49" s="847"/>
      <c r="CL49" s="847"/>
      <c r="CM49" s="847"/>
      <c r="CN49" s="847"/>
      <c r="CO49" s="847"/>
      <c r="CP49" s="847"/>
      <c r="CQ49" s="847"/>
      <c r="CR49" s="847"/>
      <c r="CS49" s="847"/>
      <c r="CT49" s="847"/>
      <c r="CU49" s="847"/>
      <c r="CV49" s="847"/>
      <c r="CW49" s="847"/>
      <c r="CX49" s="847"/>
      <c r="CY49" s="847"/>
      <c r="CZ49" s="847"/>
      <c r="DA49" s="847"/>
      <c r="DB49" s="847"/>
      <c r="DC49" s="847"/>
      <c r="DD49" s="847"/>
      <c r="DE49" s="847"/>
      <c r="DF49" s="847"/>
      <c r="DG49" s="847"/>
      <c r="DH49" s="847"/>
      <c r="DI49" s="847"/>
      <c r="DJ49" s="847"/>
    </row>
    <row r="50" spans="1:114" s="27" customFormat="1" ht="19.5" hidden="1" thickBot="1">
      <c r="A50" s="24"/>
      <c r="B50" s="25"/>
      <c r="C50" s="50"/>
      <c r="D50" s="36"/>
      <c r="E50" s="57">
        <v>10</v>
      </c>
      <c r="F50" s="207">
        <v>20</v>
      </c>
      <c r="G50" s="57"/>
      <c r="H50" s="207">
        <v>20</v>
      </c>
      <c r="I50" s="57"/>
      <c r="J50" s="207">
        <v>22</v>
      </c>
      <c r="K50" s="36"/>
      <c r="L50" s="57"/>
      <c r="M50" s="46"/>
      <c r="N50" s="117"/>
      <c r="O50" s="36"/>
      <c r="P50" s="36"/>
      <c r="Q50" s="57"/>
      <c r="R50" s="36"/>
      <c r="S50" s="36"/>
      <c r="T50" s="36">
        <v>6</v>
      </c>
      <c r="U50" s="253"/>
      <c r="V50" s="36"/>
      <c r="W50" s="36"/>
      <c r="X50" s="47"/>
      <c r="Y50" s="57"/>
      <c r="Z50" s="57"/>
      <c r="AA50" s="57"/>
      <c r="AB50" s="57"/>
      <c r="AC50" s="60"/>
      <c r="AD50" s="36"/>
      <c r="AE50" s="36"/>
      <c r="AF50" s="26"/>
      <c r="AG50" s="36"/>
      <c r="AH50" s="47"/>
      <c r="AI50" s="275"/>
      <c r="AJ50" s="108"/>
      <c r="AK50" s="847"/>
      <c r="AL50" s="847"/>
      <c r="AM50" s="847"/>
      <c r="AN50" s="847"/>
      <c r="AO50" s="847"/>
      <c r="AP50" s="847"/>
      <c r="AQ50" s="847"/>
      <c r="AR50" s="847"/>
      <c r="AS50" s="847"/>
      <c r="AT50" s="847"/>
      <c r="AU50" s="847"/>
      <c r="AV50" s="847"/>
      <c r="AW50" s="847"/>
      <c r="AX50" s="847"/>
      <c r="AY50" s="847"/>
      <c r="AZ50" s="847"/>
      <c r="BA50" s="847"/>
      <c r="BB50" s="847"/>
      <c r="BC50" s="847"/>
      <c r="BD50" s="847"/>
      <c r="BE50" s="847"/>
      <c r="BF50" s="847"/>
      <c r="BG50" s="847"/>
      <c r="BH50" s="847"/>
      <c r="BI50" s="847"/>
      <c r="BJ50" s="847"/>
      <c r="BK50" s="847"/>
      <c r="BL50" s="847"/>
      <c r="BM50" s="847"/>
      <c r="BN50" s="847"/>
      <c r="BO50" s="847"/>
      <c r="BP50" s="847"/>
      <c r="BQ50" s="847"/>
      <c r="BR50" s="847"/>
      <c r="BS50" s="847"/>
      <c r="BT50" s="847"/>
      <c r="BU50" s="847"/>
      <c r="BV50" s="847"/>
      <c r="BW50" s="847"/>
      <c r="BX50" s="847"/>
      <c r="BY50" s="847"/>
      <c r="BZ50" s="847"/>
      <c r="CA50" s="847"/>
      <c r="CB50" s="847"/>
      <c r="CC50" s="847"/>
      <c r="CD50" s="847"/>
      <c r="CE50" s="847"/>
      <c r="CF50" s="847"/>
      <c r="CG50" s="847"/>
      <c r="CH50" s="847"/>
      <c r="CI50" s="847"/>
      <c r="CJ50" s="847"/>
      <c r="CK50" s="847"/>
      <c r="CL50" s="847"/>
      <c r="CM50" s="847"/>
      <c r="CN50" s="847"/>
      <c r="CO50" s="847"/>
      <c r="CP50" s="847"/>
      <c r="CQ50" s="847"/>
      <c r="CR50" s="847"/>
      <c r="CS50" s="847"/>
      <c r="CT50" s="847"/>
      <c r="CU50" s="847"/>
      <c r="CV50" s="847"/>
      <c r="CW50" s="847"/>
      <c r="CX50" s="847"/>
      <c r="CY50" s="847"/>
      <c r="CZ50" s="847"/>
      <c r="DA50" s="847"/>
      <c r="DB50" s="847"/>
      <c r="DC50" s="847"/>
      <c r="DD50" s="847"/>
      <c r="DE50" s="847"/>
      <c r="DF50" s="847"/>
      <c r="DG50" s="847"/>
      <c r="DH50" s="847"/>
      <c r="DI50" s="847"/>
      <c r="DJ50" s="847"/>
    </row>
    <row r="51" spans="1:114" ht="19.5" hidden="1" thickBot="1">
      <c r="A51" s="19">
        <v>22</v>
      </c>
      <c r="B51" s="20" t="s">
        <v>65</v>
      </c>
      <c r="C51" s="48">
        <v>4</v>
      </c>
      <c r="D51" s="56"/>
      <c r="E51" s="56">
        <v>0</v>
      </c>
      <c r="F51" s="533" t="e">
        <f t="shared" ref="F51" si="60">E51/AI51*100</f>
        <v>#DIV/0!</v>
      </c>
      <c r="G51" s="56"/>
      <c r="H51" s="523" t="e">
        <f t="shared" ref="H51" si="61">G51/AI51*100</f>
        <v>#DIV/0!</v>
      </c>
      <c r="I51" s="56"/>
      <c r="J51" s="523" t="e">
        <f t="shared" ref="J51" si="62">I51/AI51*100</f>
        <v>#DIV/0!</v>
      </c>
      <c r="K51" s="56"/>
      <c r="L51" s="56"/>
      <c r="M51" s="44"/>
      <c r="N51" s="116"/>
      <c r="O51" s="40"/>
      <c r="P51" s="40"/>
      <c r="Q51" s="56">
        <v>0</v>
      </c>
      <c r="R51" s="40"/>
      <c r="S51" s="40"/>
      <c r="T51" s="40">
        <v>100</v>
      </c>
      <c r="U51" s="250"/>
      <c r="V51" s="40"/>
      <c r="W51" s="34"/>
      <c r="X51" s="49"/>
      <c r="Y51" s="69"/>
      <c r="Z51" s="69"/>
      <c r="AA51" s="69"/>
      <c r="AB51" s="69"/>
      <c r="AC51" s="59"/>
      <c r="AD51" s="40"/>
      <c r="AE51" s="40"/>
      <c r="AF51" s="21"/>
      <c r="AG51" s="40"/>
      <c r="AH51" s="49"/>
      <c r="AI51" s="267"/>
      <c r="AJ51" s="548">
        <f>SUM(C52:AH52)</f>
        <v>85</v>
      </c>
      <c r="AK51" s="847"/>
      <c r="AL51" s="847"/>
      <c r="AM51" s="847"/>
      <c r="AN51" s="847"/>
      <c r="AO51" s="847"/>
      <c r="AP51" s="847"/>
      <c r="AQ51" s="847"/>
      <c r="AR51" s="847"/>
      <c r="AS51" s="847"/>
      <c r="AT51" s="847"/>
      <c r="AU51" s="847"/>
      <c r="AV51" s="847"/>
      <c r="AW51" s="847"/>
      <c r="AX51" s="847"/>
      <c r="AY51" s="847"/>
      <c r="AZ51" s="847"/>
      <c r="BA51" s="847"/>
      <c r="BB51" s="847"/>
      <c r="BC51" s="847"/>
      <c r="BD51" s="847"/>
      <c r="BE51" s="847"/>
      <c r="BF51" s="847"/>
      <c r="BG51" s="847"/>
      <c r="BH51" s="847"/>
      <c r="BI51" s="847"/>
      <c r="BJ51" s="847"/>
      <c r="BK51" s="847"/>
      <c r="BL51" s="847"/>
      <c r="BM51" s="847"/>
      <c r="BN51" s="847"/>
      <c r="BO51" s="847"/>
      <c r="BP51" s="847"/>
      <c r="BQ51" s="847"/>
      <c r="BR51" s="847"/>
      <c r="BS51" s="847"/>
      <c r="BT51" s="847"/>
      <c r="BU51" s="847"/>
      <c r="BV51" s="847"/>
      <c r="BW51" s="847"/>
      <c r="BX51" s="847"/>
      <c r="BY51" s="847"/>
      <c r="BZ51" s="847"/>
      <c r="CA51" s="847"/>
      <c r="CB51" s="847"/>
      <c r="CC51" s="847"/>
      <c r="CD51" s="847"/>
      <c r="CE51" s="847"/>
      <c r="CF51" s="847"/>
      <c r="CG51" s="847"/>
      <c r="CH51" s="847"/>
      <c r="CI51" s="847"/>
      <c r="CJ51" s="847"/>
      <c r="CK51" s="847"/>
      <c r="CL51" s="847"/>
      <c r="CM51" s="847"/>
      <c r="CN51" s="847"/>
      <c r="CO51" s="847"/>
      <c r="CP51" s="847"/>
      <c r="CQ51" s="847"/>
      <c r="CR51" s="847"/>
      <c r="CS51" s="847"/>
      <c r="CT51" s="847"/>
      <c r="CU51" s="847"/>
      <c r="CV51" s="847"/>
      <c r="CW51" s="847"/>
      <c r="CX51" s="847"/>
      <c r="CY51" s="847"/>
      <c r="CZ51" s="847"/>
      <c r="DA51" s="847"/>
      <c r="DB51" s="847"/>
      <c r="DC51" s="847"/>
      <c r="DD51" s="847"/>
      <c r="DE51" s="847"/>
      <c r="DF51" s="847"/>
      <c r="DG51" s="847"/>
      <c r="DH51" s="847"/>
      <c r="DI51" s="847"/>
      <c r="DJ51" s="847"/>
    </row>
    <row r="52" spans="1:114" s="27" customFormat="1" ht="19.5" hidden="1" thickBot="1">
      <c r="A52" s="24"/>
      <c r="B52" s="25"/>
      <c r="C52" s="50"/>
      <c r="D52" s="57"/>
      <c r="E52" s="57">
        <v>10</v>
      </c>
      <c r="F52" s="207">
        <v>21</v>
      </c>
      <c r="G52" s="57"/>
      <c r="H52" s="207">
        <v>21</v>
      </c>
      <c r="I52" s="57"/>
      <c r="J52" s="207">
        <v>23</v>
      </c>
      <c r="K52" s="57"/>
      <c r="L52" s="57"/>
      <c r="M52" s="46"/>
      <c r="N52" s="117"/>
      <c r="O52" s="41"/>
      <c r="P52" s="41"/>
      <c r="Q52" s="57"/>
      <c r="R52" s="41"/>
      <c r="S52" s="41"/>
      <c r="T52" s="41">
        <v>10</v>
      </c>
      <c r="U52" s="253"/>
      <c r="V52" s="41"/>
      <c r="W52" s="36"/>
      <c r="X52" s="51"/>
      <c r="Y52" s="57"/>
      <c r="Z52" s="57"/>
      <c r="AA52" s="57"/>
      <c r="AB52" s="57"/>
      <c r="AC52" s="60"/>
      <c r="AD52" s="41"/>
      <c r="AE52" s="41"/>
      <c r="AF52" s="26"/>
      <c r="AG52" s="41"/>
      <c r="AH52" s="51"/>
      <c r="AI52" s="274"/>
      <c r="AJ52" s="104"/>
      <c r="AK52" s="847"/>
      <c r="AL52" s="847"/>
      <c r="AM52" s="847"/>
      <c r="AN52" s="847"/>
      <c r="AO52" s="847"/>
      <c r="AP52" s="847"/>
      <c r="AQ52" s="847"/>
      <c r="AR52" s="847"/>
      <c r="AS52" s="847"/>
      <c r="AT52" s="847"/>
      <c r="AU52" s="847"/>
      <c r="AV52" s="847"/>
      <c r="AW52" s="847"/>
      <c r="AX52" s="847"/>
      <c r="AY52" s="847"/>
      <c r="AZ52" s="847"/>
      <c r="BA52" s="847"/>
      <c r="BB52" s="847"/>
      <c r="BC52" s="847"/>
      <c r="BD52" s="847"/>
      <c r="BE52" s="847"/>
      <c r="BF52" s="847"/>
      <c r="BG52" s="847"/>
      <c r="BH52" s="847"/>
      <c r="BI52" s="847"/>
      <c r="BJ52" s="847"/>
      <c r="BK52" s="847"/>
      <c r="BL52" s="847"/>
      <c r="BM52" s="847"/>
      <c r="BN52" s="847"/>
      <c r="BO52" s="847"/>
      <c r="BP52" s="847"/>
      <c r="BQ52" s="847"/>
      <c r="BR52" s="847"/>
      <c r="BS52" s="847"/>
      <c r="BT52" s="847"/>
      <c r="BU52" s="847"/>
      <c r="BV52" s="847"/>
      <c r="BW52" s="847"/>
      <c r="BX52" s="847"/>
      <c r="BY52" s="847"/>
      <c r="BZ52" s="847"/>
      <c r="CA52" s="847"/>
      <c r="CB52" s="847"/>
      <c r="CC52" s="847"/>
      <c r="CD52" s="847"/>
      <c r="CE52" s="847"/>
      <c r="CF52" s="847"/>
      <c r="CG52" s="847"/>
      <c r="CH52" s="847"/>
      <c r="CI52" s="847"/>
      <c r="CJ52" s="847"/>
      <c r="CK52" s="847"/>
      <c r="CL52" s="847"/>
      <c r="CM52" s="847"/>
      <c r="CN52" s="847"/>
      <c r="CO52" s="847"/>
      <c r="CP52" s="847"/>
      <c r="CQ52" s="847"/>
      <c r="CR52" s="847"/>
      <c r="CS52" s="847"/>
      <c r="CT52" s="847"/>
      <c r="CU52" s="847"/>
      <c r="CV52" s="847"/>
      <c r="CW52" s="847"/>
      <c r="CX52" s="847"/>
      <c r="CY52" s="847"/>
      <c r="CZ52" s="847"/>
      <c r="DA52" s="847"/>
      <c r="DB52" s="847"/>
      <c r="DC52" s="847"/>
      <c r="DD52" s="847"/>
      <c r="DE52" s="847"/>
      <c r="DF52" s="847"/>
      <c r="DG52" s="847"/>
      <c r="DH52" s="847"/>
      <c r="DI52" s="847"/>
      <c r="DJ52" s="847"/>
    </row>
    <row r="53" spans="1:114" s="3" customFormat="1" ht="19.5" hidden="1" thickBot="1">
      <c r="A53" s="19">
        <v>23</v>
      </c>
      <c r="B53" s="20" t="s">
        <v>66</v>
      </c>
      <c r="C53" s="48">
        <v>1</v>
      </c>
      <c r="D53" s="42"/>
      <c r="E53" s="58"/>
      <c r="F53" s="533" t="e">
        <f t="shared" ref="F53" si="63">E53/AI53*100</f>
        <v>#DIV/0!</v>
      </c>
      <c r="G53" s="58"/>
      <c r="H53" s="523" t="e">
        <f t="shared" ref="H53" si="64">G53/AI53*100</f>
        <v>#DIV/0!</v>
      </c>
      <c r="I53" s="58"/>
      <c r="J53" s="523" t="e">
        <f t="shared" ref="J53" si="65">I53/AI53*100</f>
        <v>#DIV/0!</v>
      </c>
      <c r="K53" s="42"/>
      <c r="L53" s="58"/>
      <c r="M53" s="110"/>
      <c r="N53" s="118"/>
      <c r="O53" s="37"/>
      <c r="P53" s="37"/>
      <c r="Q53" s="56">
        <v>0</v>
      </c>
      <c r="R53" s="40"/>
      <c r="S53" s="40"/>
      <c r="T53" s="40">
        <v>100</v>
      </c>
      <c r="U53" s="250"/>
      <c r="V53" s="40"/>
      <c r="W53" s="34"/>
      <c r="X53" s="45"/>
      <c r="Y53" s="69"/>
      <c r="Z53" s="69"/>
      <c r="AA53" s="69"/>
      <c r="AB53" s="69"/>
      <c r="AC53" s="59"/>
      <c r="AD53" s="34"/>
      <c r="AE53" s="34"/>
      <c r="AF53" s="21"/>
      <c r="AG53" s="34"/>
      <c r="AH53" s="45"/>
      <c r="AI53" s="269"/>
      <c r="AJ53" s="549">
        <f>SUM(C54:AH54)</f>
        <v>78</v>
      </c>
      <c r="AK53" s="847"/>
      <c r="AL53" s="847"/>
      <c r="AM53" s="847"/>
      <c r="AN53" s="847"/>
      <c r="AO53" s="847"/>
      <c r="AP53" s="847"/>
      <c r="AQ53" s="847"/>
      <c r="AR53" s="847"/>
      <c r="AS53" s="847"/>
      <c r="AT53" s="847"/>
      <c r="AU53" s="847"/>
      <c r="AV53" s="847"/>
      <c r="AW53" s="847"/>
      <c r="AX53" s="847"/>
      <c r="AY53" s="847"/>
      <c r="AZ53" s="847"/>
      <c r="BA53" s="847"/>
      <c r="BB53" s="847"/>
      <c r="BC53" s="847"/>
      <c r="BD53" s="847"/>
      <c r="BE53" s="847"/>
      <c r="BF53" s="847"/>
      <c r="BG53" s="847"/>
      <c r="BH53" s="847"/>
      <c r="BI53" s="847"/>
      <c r="BJ53" s="847"/>
      <c r="BK53" s="847"/>
      <c r="BL53" s="847"/>
      <c r="BM53" s="847"/>
      <c r="BN53" s="847"/>
      <c r="BO53" s="847"/>
      <c r="BP53" s="847"/>
      <c r="BQ53" s="847"/>
      <c r="BR53" s="847"/>
      <c r="BS53" s="847"/>
      <c r="BT53" s="847"/>
      <c r="BU53" s="847"/>
      <c r="BV53" s="847"/>
      <c r="BW53" s="847"/>
      <c r="BX53" s="847"/>
      <c r="BY53" s="847"/>
      <c r="BZ53" s="847"/>
      <c r="CA53" s="847"/>
      <c r="CB53" s="847"/>
      <c r="CC53" s="847"/>
      <c r="CD53" s="847"/>
      <c r="CE53" s="847"/>
      <c r="CF53" s="847"/>
      <c r="CG53" s="847"/>
      <c r="CH53" s="847"/>
      <c r="CI53" s="847"/>
      <c r="CJ53" s="847"/>
      <c r="CK53" s="847"/>
      <c r="CL53" s="847"/>
      <c r="CM53" s="847"/>
      <c r="CN53" s="847"/>
      <c r="CO53" s="847"/>
      <c r="CP53" s="847"/>
      <c r="CQ53" s="847"/>
      <c r="CR53" s="847"/>
      <c r="CS53" s="847"/>
      <c r="CT53" s="847"/>
      <c r="CU53" s="847"/>
      <c r="CV53" s="847"/>
      <c r="CW53" s="847"/>
      <c r="CX53" s="847"/>
      <c r="CY53" s="847"/>
      <c r="CZ53" s="847"/>
      <c r="DA53" s="847"/>
      <c r="DB53" s="847"/>
      <c r="DC53" s="847"/>
      <c r="DD53" s="847"/>
      <c r="DE53" s="847"/>
      <c r="DF53" s="847"/>
      <c r="DG53" s="847"/>
      <c r="DH53" s="847"/>
      <c r="DI53" s="847"/>
      <c r="DJ53" s="847"/>
    </row>
    <row r="54" spans="1:114" s="31" customFormat="1" ht="19.5" hidden="1" thickBot="1">
      <c r="A54" s="24"/>
      <c r="B54" s="25"/>
      <c r="C54" s="50"/>
      <c r="D54" s="43"/>
      <c r="E54" s="65"/>
      <c r="F54" s="207">
        <v>22</v>
      </c>
      <c r="G54" s="65"/>
      <c r="H54" s="207">
        <v>22</v>
      </c>
      <c r="I54" s="65"/>
      <c r="J54" s="207">
        <v>24</v>
      </c>
      <c r="K54" s="43"/>
      <c r="L54" s="65"/>
      <c r="M54" s="114"/>
      <c r="N54" s="120"/>
      <c r="O54" s="38"/>
      <c r="P54" s="38"/>
      <c r="Q54" s="57"/>
      <c r="R54" s="41"/>
      <c r="S54" s="41"/>
      <c r="T54" s="41">
        <v>10</v>
      </c>
      <c r="U54" s="253"/>
      <c r="V54" s="41"/>
      <c r="W54" s="36"/>
      <c r="X54" s="47"/>
      <c r="Y54" s="57"/>
      <c r="Z54" s="57"/>
      <c r="AA54" s="57"/>
      <c r="AB54" s="57"/>
      <c r="AC54" s="60"/>
      <c r="AD54" s="36"/>
      <c r="AE54" s="36"/>
      <c r="AF54" s="26"/>
      <c r="AG54" s="36"/>
      <c r="AH54" s="47"/>
      <c r="AI54" s="275"/>
      <c r="AJ54" s="545"/>
      <c r="AK54" s="847"/>
      <c r="AL54" s="847"/>
      <c r="AM54" s="847"/>
      <c r="AN54" s="847"/>
      <c r="AO54" s="847"/>
      <c r="AP54" s="847"/>
      <c r="AQ54" s="847"/>
      <c r="AR54" s="847"/>
      <c r="AS54" s="847"/>
      <c r="AT54" s="847"/>
      <c r="AU54" s="847"/>
      <c r="AV54" s="847"/>
      <c r="AW54" s="847"/>
      <c r="AX54" s="847"/>
      <c r="AY54" s="847"/>
      <c r="AZ54" s="847"/>
      <c r="BA54" s="847"/>
      <c r="BB54" s="847"/>
      <c r="BC54" s="847"/>
      <c r="BD54" s="847"/>
      <c r="BE54" s="847"/>
      <c r="BF54" s="847"/>
      <c r="BG54" s="847"/>
      <c r="BH54" s="847"/>
      <c r="BI54" s="847"/>
      <c r="BJ54" s="847"/>
      <c r="BK54" s="847"/>
      <c r="BL54" s="847"/>
      <c r="BM54" s="847"/>
      <c r="BN54" s="847"/>
      <c r="BO54" s="847"/>
      <c r="BP54" s="847"/>
      <c r="BQ54" s="847"/>
      <c r="BR54" s="847"/>
      <c r="BS54" s="847"/>
      <c r="BT54" s="847"/>
      <c r="BU54" s="847"/>
      <c r="BV54" s="847"/>
      <c r="BW54" s="847"/>
      <c r="BX54" s="847"/>
      <c r="BY54" s="847"/>
      <c r="BZ54" s="847"/>
      <c r="CA54" s="847"/>
      <c r="CB54" s="847"/>
      <c r="CC54" s="847"/>
      <c r="CD54" s="847"/>
      <c r="CE54" s="847"/>
      <c r="CF54" s="847"/>
      <c r="CG54" s="847"/>
      <c r="CH54" s="847"/>
      <c r="CI54" s="847"/>
      <c r="CJ54" s="847"/>
      <c r="CK54" s="847"/>
      <c r="CL54" s="847"/>
      <c r="CM54" s="847"/>
      <c r="CN54" s="847"/>
      <c r="CO54" s="847"/>
      <c r="CP54" s="847"/>
      <c r="CQ54" s="847"/>
      <c r="CR54" s="847"/>
      <c r="CS54" s="847"/>
      <c r="CT54" s="847"/>
      <c r="CU54" s="847"/>
      <c r="CV54" s="847"/>
      <c r="CW54" s="847"/>
      <c r="CX54" s="847"/>
      <c r="CY54" s="847"/>
      <c r="CZ54" s="847"/>
      <c r="DA54" s="847"/>
      <c r="DB54" s="847"/>
      <c r="DC54" s="847"/>
      <c r="DD54" s="847"/>
      <c r="DE54" s="847"/>
      <c r="DF54" s="847"/>
      <c r="DG54" s="847"/>
      <c r="DH54" s="847"/>
      <c r="DI54" s="847"/>
      <c r="DJ54" s="847"/>
    </row>
    <row r="55" spans="1:114" s="4" customFormat="1" ht="19.5" thickBot="1">
      <c r="A55" s="19">
        <v>24</v>
      </c>
      <c r="B55" s="22" t="s">
        <v>20</v>
      </c>
      <c r="C55" s="54">
        <v>62</v>
      </c>
      <c r="D55" s="39"/>
      <c r="E55" s="64">
        <v>0</v>
      </c>
      <c r="F55" s="533">
        <f t="shared" ref="F55" si="66">E55/AI55*100</f>
        <v>0</v>
      </c>
      <c r="G55" s="64">
        <v>0</v>
      </c>
      <c r="H55" s="523">
        <f t="shared" ref="H55" si="67">G55/AI55*100</f>
        <v>0</v>
      </c>
      <c r="I55" s="64"/>
      <c r="J55" s="523">
        <f t="shared" ref="J55" si="68">I55/AI55*100</f>
        <v>0</v>
      </c>
      <c r="K55" s="109"/>
      <c r="L55" s="64">
        <v>0</v>
      </c>
      <c r="M55" s="115">
        <v>0</v>
      </c>
      <c r="N55" s="116"/>
      <c r="O55" s="39">
        <v>0</v>
      </c>
      <c r="P55" s="39"/>
      <c r="Q55" s="64">
        <v>23</v>
      </c>
      <c r="R55" s="39" t="s">
        <v>81</v>
      </c>
      <c r="S55" s="39" t="s">
        <v>81</v>
      </c>
      <c r="T55" s="39">
        <v>11.54</v>
      </c>
      <c r="U55" s="252">
        <v>0</v>
      </c>
      <c r="V55" s="39">
        <v>1.61</v>
      </c>
      <c r="W55" s="39"/>
      <c r="X55" s="55"/>
      <c r="Y55" s="66">
        <v>0.02</v>
      </c>
      <c r="Z55" s="66">
        <v>0</v>
      </c>
      <c r="AA55" s="66">
        <v>0</v>
      </c>
      <c r="AB55" s="66">
        <v>0.12</v>
      </c>
      <c r="AC55" s="63"/>
      <c r="AD55" s="39"/>
      <c r="AE55" s="39"/>
      <c r="AF55" s="23"/>
      <c r="AG55" s="39"/>
      <c r="AH55" s="55"/>
      <c r="AI55" s="273">
        <v>1322</v>
      </c>
      <c r="AJ55" s="543">
        <f>SUM(C56:AH56)</f>
        <v>53.5</v>
      </c>
      <c r="AK55" s="847"/>
      <c r="AL55" s="847"/>
      <c r="AM55" s="847"/>
      <c r="AN55" s="847"/>
      <c r="AO55" s="847"/>
      <c r="AP55" s="847"/>
      <c r="AQ55" s="847"/>
      <c r="AR55" s="847"/>
      <c r="AS55" s="847"/>
      <c r="AT55" s="847"/>
      <c r="AU55" s="847"/>
      <c r="AV55" s="847"/>
      <c r="AW55" s="847"/>
      <c r="AX55" s="847"/>
      <c r="AY55" s="847"/>
      <c r="AZ55" s="847"/>
      <c r="BA55" s="847"/>
      <c r="BB55" s="847"/>
      <c r="BC55" s="847"/>
      <c r="BD55" s="847"/>
      <c r="BE55" s="847"/>
      <c r="BF55" s="847"/>
      <c r="BG55" s="847"/>
      <c r="BH55" s="847"/>
      <c r="BI55" s="847"/>
      <c r="BJ55" s="847"/>
      <c r="BK55" s="847"/>
      <c r="BL55" s="847"/>
      <c r="BM55" s="847"/>
      <c r="BN55" s="847"/>
      <c r="BO55" s="847"/>
      <c r="BP55" s="847"/>
      <c r="BQ55" s="847"/>
      <c r="BR55" s="847"/>
      <c r="BS55" s="847"/>
      <c r="BT55" s="847"/>
      <c r="BU55" s="847"/>
      <c r="BV55" s="847"/>
      <c r="BW55" s="847"/>
      <c r="BX55" s="847"/>
      <c r="BY55" s="847"/>
      <c r="BZ55" s="847"/>
      <c r="CA55" s="847"/>
      <c r="CB55" s="847"/>
      <c r="CC55" s="847"/>
      <c r="CD55" s="847"/>
      <c r="CE55" s="847"/>
      <c r="CF55" s="847"/>
      <c r="CG55" s="847"/>
      <c r="CH55" s="847"/>
      <c r="CI55" s="847"/>
      <c r="CJ55" s="847"/>
      <c r="CK55" s="847"/>
      <c r="CL55" s="847"/>
      <c r="CM55" s="847"/>
      <c r="CN55" s="847"/>
      <c r="CO55" s="847"/>
      <c r="CP55" s="847"/>
      <c r="CQ55" s="847"/>
      <c r="CR55" s="847"/>
      <c r="CS55" s="847"/>
      <c r="CT55" s="847"/>
      <c r="CU55" s="847"/>
      <c r="CV55" s="847"/>
      <c r="CW55" s="847"/>
      <c r="CX55" s="847"/>
      <c r="CY55" s="847"/>
      <c r="CZ55" s="847"/>
      <c r="DA55" s="847"/>
      <c r="DB55" s="847"/>
      <c r="DC55" s="847"/>
      <c r="DD55" s="847"/>
      <c r="DE55" s="847"/>
      <c r="DF55" s="847"/>
      <c r="DG55" s="847"/>
      <c r="DH55" s="847"/>
      <c r="DI55" s="847"/>
      <c r="DJ55" s="847"/>
    </row>
    <row r="56" spans="1:114" s="27" customFormat="1" ht="15" customHeight="1" thickBot="1">
      <c r="A56" s="203"/>
      <c r="B56" s="204"/>
      <c r="C56" s="214"/>
      <c r="D56" s="205"/>
      <c r="E56" s="207"/>
      <c r="F56" s="207">
        <v>10</v>
      </c>
      <c r="G56" s="207"/>
      <c r="H56" s="207">
        <v>5</v>
      </c>
      <c r="I56" s="207"/>
      <c r="J56" s="207">
        <v>5</v>
      </c>
      <c r="K56" s="205">
        <v>-0.5</v>
      </c>
      <c r="L56" s="207">
        <v>10</v>
      </c>
      <c r="M56" s="206">
        <v>10</v>
      </c>
      <c r="N56" s="206"/>
      <c r="O56" s="205">
        <v>10</v>
      </c>
      <c r="P56" s="205"/>
      <c r="Q56" s="207">
        <v>3</v>
      </c>
      <c r="R56" s="205">
        <v>0</v>
      </c>
      <c r="S56" s="205">
        <v>0</v>
      </c>
      <c r="T56" s="205">
        <v>1</v>
      </c>
      <c r="U56" s="249">
        <v>0</v>
      </c>
      <c r="V56" s="205">
        <v>0</v>
      </c>
      <c r="W56" s="205"/>
      <c r="X56" s="208"/>
      <c r="Y56" s="207">
        <v>0</v>
      </c>
      <c r="Z56" s="207">
        <v>0</v>
      </c>
      <c r="AA56" s="207">
        <v>0</v>
      </c>
      <c r="AB56" s="207">
        <v>0</v>
      </c>
      <c r="AC56" s="210"/>
      <c r="AD56" s="205"/>
      <c r="AE56" s="205"/>
      <c r="AF56" s="211"/>
      <c r="AG56" s="205"/>
      <c r="AH56" s="208"/>
      <c r="AI56" s="268"/>
      <c r="AK56" s="847"/>
      <c r="AL56" s="847"/>
      <c r="AM56" s="847"/>
      <c r="AN56" s="847"/>
      <c r="AO56" s="847"/>
      <c r="AP56" s="847"/>
      <c r="AQ56" s="847"/>
      <c r="AR56" s="847"/>
      <c r="AS56" s="847"/>
      <c r="AT56" s="847"/>
      <c r="AU56" s="847"/>
      <c r="AV56" s="847"/>
      <c r="AW56" s="847"/>
      <c r="AX56" s="847"/>
      <c r="AY56" s="847"/>
      <c r="AZ56" s="847"/>
      <c r="BA56" s="847"/>
      <c r="BB56" s="847"/>
      <c r="BC56" s="847"/>
      <c r="BD56" s="847"/>
      <c r="BE56" s="847"/>
      <c r="BF56" s="847"/>
      <c r="BG56" s="847"/>
      <c r="BH56" s="847"/>
      <c r="BI56" s="847"/>
      <c r="BJ56" s="847"/>
      <c r="BK56" s="847"/>
      <c r="BL56" s="847"/>
      <c r="BM56" s="847"/>
      <c r="BN56" s="847"/>
      <c r="BO56" s="847"/>
      <c r="BP56" s="847"/>
      <c r="BQ56" s="847"/>
      <c r="BR56" s="847"/>
      <c r="BS56" s="847"/>
      <c r="BT56" s="847"/>
      <c r="BU56" s="847"/>
      <c r="BV56" s="847"/>
      <c r="BW56" s="847"/>
      <c r="BX56" s="847"/>
      <c r="BY56" s="847"/>
      <c r="BZ56" s="847"/>
      <c r="CA56" s="847"/>
      <c r="CB56" s="847"/>
      <c r="CC56" s="847"/>
      <c r="CD56" s="847"/>
      <c r="CE56" s="847"/>
      <c r="CF56" s="847"/>
      <c r="CG56" s="847"/>
      <c r="CH56" s="847"/>
      <c r="CI56" s="847"/>
      <c r="CJ56" s="847"/>
      <c r="CK56" s="847"/>
      <c r="CL56" s="847"/>
      <c r="CM56" s="847"/>
      <c r="CN56" s="847"/>
      <c r="CO56" s="847"/>
      <c r="CP56" s="847"/>
      <c r="CQ56" s="847"/>
      <c r="CR56" s="847"/>
      <c r="CS56" s="847"/>
      <c r="CT56" s="847"/>
      <c r="CU56" s="847"/>
      <c r="CV56" s="847"/>
      <c r="CW56" s="847"/>
      <c r="CX56" s="847"/>
      <c r="CY56" s="847"/>
      <c r="CZ56" s="847"/>
      <c r="DA56" s="847"/>
      <c r="DB56" s="847"/>
      <c r="DC56" s="847"/>
      <c r="DD56" s="847"/>
      <c r="DE56" s="847"/>
      <c r="DF56" s="847"/>
      <c r="DG56" s="847"/>
      <c r="DH56" s="847"/>
      <c r="DI56" s="847"/>
      <c r="DJ56" s="847"/>
    </row>
    <row r="57" spans="1:114" ht="19.5" hidden="1" thickBot="1">
      <c r="A57" s="19">
        <v>25</v>
      </c>
      <c r="B57" s="20" t="s">
        <v>67</v>
      </c>
      <c r="C57" s="48">
        <v>2</v>
      </c>
      <c r="D57" s="34"/>
      <c r="E57" s="56">
        <v>0</v>
      </c>
      <c r="F57" s="533" t="e">
        <f t="shared" ref="F57" si="69">E57/AI57*100</f>
        <v>#DIV/0!</v>
      </c>
      <c r="G57" s="56"/>
      <c r="H57" s="523" t="e">
        <f t="shared" ref="H57" si="70">G57/AI57*100</f>
        <v>#DIV/0!</v>
      </c>
      <c r="I57" s="56"/>
      <c r="J57" s="523" t="e">
        <f t="shared" ref="J57" si="71">I57/AI57*100</f>
        <v>#DIV/0!</v>
      </c>
      <c r="K57" s="34"/>
      <c r="L57" s="56"/>
      <c r="M57" s="44"/>
      <c r="N57" s="116"/>
      <c r="O57" s="34"/>
      <c r="P57" s="34"/>
      <c r="Q57" s="56">
        <v>0</v>
      </c>
      <c r="R57" s="34"/>
      <c r="S57" s="34"/>
      <c r="T57" s="34">
        <v>100</v>
      </c>
      <c r="U57" s="250"/>
      <c r="V57" s="34"/>
      <c r="W57" s="34"/>
      <c r="X57" s="45"/>
      <c r="Y57" s="69"/>
      <c r="Z57" s="69"/>
      <c r="AA57" s="69"/>
      <c r="AB57" s="69"/>
      <c r="AC57" s="59"/>
      <c r="AD57" s="34"/>
      <c r="AE57" s="34"/>
      <c r="AF57" s="21"/>
      <c r="AG57" s="34"/>
      <c r="AH57" s="45"/>
      <c r="AI57" s="269"/>
      <c r="AJ57" s="105"/>
      <c r="AK57" s="847"/>
      <c r="AL57" s="847"/>
      <c r="AM57" s="847"/>
      <c r="AN57" s="847"/>
      <c r="AO57" s="847"/>
      <c r="AP57" s="847"/>
      <c r="AQ57" s="847"/>
      <c r="AR57" s="847"/>
      <c r="AS57" s="847"/>
      <c r="AT57" s="847"/>
      <c r="AU57" s="847"/>
      <c r="AV57" s="847"/>
      <c r="AW57" s="847"/>
      <c r="AX57" s="847"/>
      <c r="AY57" s="847"/>
      <c r="AZ57" s="847"/>
      <c r="BA57" s="847"/>
      <c r="BB57" s="847"/>
      <c r="BC57" s="847"/>
      <c r="BD57" s="847"/>
      <c r="BE57" s="847"/>
      <c r="BF57" s="847"/>
      <c r="BG57" s="847"/>
      <c r="BH57" s="847"/>
      <c r="BI57" s="847"/>
      <c r="BJ57" s="847"/>
      <c r="BK57" s="847"/>
      <c r="BL57" s="847"/>
      <c r="BM57" s="847"/>
      <c r="BN57" s="847"/>
      <c r="BO57" s="847"/>
      <c r="BP57" s="847"/>
      <c r="BQ57" s="847"/>
      <c r="BR57" s="847"/>
      <c r="BS57" s="847"/>
      <c r="BT57" s="847"/>
      <c r="BU57" s="847"/>
      <c r="BV57" s="847"/>
      <c r="BW57" s="847"/>
      <c r="BX57" s="847"/>
      <c r="BY57" s="847"/>
      <c r="BZ57" s="847"/>
      <c r="CA57" s="847"/>
      <c r="CB57" s="847"/>
      <c r="CC57" s="847"/>
      <c r="CD57" s="847"/>
      <c r="CE57" s="847"/>
      <c r="CF57" s="847"/>
      <c r="CG57" s="847"/>
      <c r="CH57" s="847"/>
      <c r="CI57" s="847"/>
      <c r="CJ57" s="847"/>
      <c r="CK57" s="847"/>
      <c r="CL57" s="847"/>
      <c r="CM57" s="847"/>
      <c r="CN57" s="847"/>
      <c r="CO57" s="847"/>
      <c r="CP57" s="847"/>
      <c r="CQ57" s="847"/>
      <c r="CR57" s="847"/>
      <c r="CS57" s="847"/>
      <c r="CT57" s="847"/>
      <c r="CU57" s="847"/>
      <c r="CV57" s="847"/>
      <c r="CW57" s="847"/>
      <c r="CX57" s="847"/>
      <c r="CY57" s="847"/>
      <c r="CZ57" s="847"/>
      <c r="DA57" s="847"/>
      <c r="DB57" s="847"/>
      <c r="DC57" s="847"/>
      <c r="DD57" s="847"/>
      <c r="DE57" s="847"/>
      <c r="DF57" s="847"/>
      <c r="DG57" s="847"/>
      <c r="DH57" s="847"/>
      <c r="DI57" s="847"/>
      <c r="DJ57" s="847"/>
    </row>
    <row r="58" spans="1:114" s="27" customFormat="1" ht="15.75" hidden="1" customHeight="1" thickBot="1">
      <c r="A58" s="24"/>
      <c r="B58" s="25"/>
      <c r="C58" s="50"/>
      <c r="D58" s="36"/>
      <c r="E58" s="57">
        <v>10</v>
      </c>
      <c r="F58" s="207">
        <v>24</v>
      </c>
      <c r="G58" s="57"/>
      <c r="H58" s="207">
        <v>24</v>
      </c>
      <c r="I58" s="57"/>
      <c r="J58" s="207">
        <v>26</v>
      </c>
      <c r="K58" s="36"/>
      <c r="L58" s="57"/>
      <c r="M58" s="46"/>
      <c r="N58" s="117"/>
      <c r="O58" s="36"/>
      <c r="P58" s="36"/>
      <c r="Q58" s="57"/>
      <c r="R58" s="36"/>
      <c r="S58" s="36"/>
      <c r="T58" s="36">
        <v>10</v>
      </c>
      <c r="U58" s="253"/>
      <c r="V58" s="36"/>
      <c r="W58" s="36"/>
      <c r="X58" s="47"/>
      <c r="Y58" s="57"/>
      <c r="Z58" s="57"/>
      <c r="AA58" s="57"/>
      <c r="AB58" s="57"/>
      <c r="AC58" s="60"/>
      <c r="AD58" s="36"/>
      <c r="AE58" s="36"/>
      <c r="AF58" s="26"/>
      <c r="AG58" s="36"/>
      <c r="AH58" s="47"/>
      <c r="AI58" s="275"/>
      <c r="AJ58" s="101">
        <f>SUM(C58:AH58)</f>
        <v>94</v>
      </c>
      <c r="AK58" s="847"/>
      <c r="AL58" s="847"/>
      <c r="AM58" s="847"/>
      <c r="AN58" s="847"/>
      <c r="AO58" s="847"/>
      <c r="AP58" s="847"/>
      <c r="AQ58" s="847"/>
      <c r="AR58" s="847"/>
      <c r="AS58" s="847"/>
      <c r="AT58" s="847"/>
      <c r="AU58" s="847"/>
      <c r="AV58" s="847"/>
      <c r="AW58" s="847"/>
      <c r="AX58" s="847"/>
      <c r="AY58" s="847"/>
      <c r="AZ58" s="847"/>
      <c r="BA58" s="847"/>
      <c r="BB58" s="847"/>
      <c r="BC58" s="847"/>
      <c r="BD58" s="847"/>
      <c r="BE58" s="847"/>
      <c r="BF58" s="847"/>
      <c r="BG58" s="847"/>
      <c r="BH58" s="847"/>
      <c r="BI58" s="847"/>
      <c r="BJ58" s="847"/>
      <c r="BK58" s="847"/>
      <c r="BL58" s="847"/>
      <c r="BM58" s="847"/>
      <c r="BN58" s="847"/>
      <c r="BO58" s="847"/>
      <c r="BP58" s="847"/>
      <c r="BQ58" s="847"/>
      <c r="BR58" s="847"/>
      <c r="BS58" s="847"/>
      <c r="BT58" s="847"/>
      <c r="BU58" s="847"/>
      <c r="BV58" s="847"/>
      <c r="BW58" s="847"/>
      <c r="BX58" s="847"/>
      <c r="BY58" s="847"/>
      <c r="BZ58" s="847"/>
      <c r="CA58" s="847"/>
      <c r="CB58" s="847"/>
      <c r="CC58" s="847"/>
      <c r="CD58" s="847"/>
      <c r="CE58" s="847"/>
      <c r="CF58" s="847"/>
      <c r="CG58" s="847"/>
      <c r="CH58" s="847"/>
      <c r="CI58" s="847"/>
      <c r="CJ58" s="847"/>
      <c r="CK58" s="847"/>
      <c r="CL58" s="847"/>
      <c r="CM58" s="847"/>
      <c r="CN58" s="847"/>
      <c r="CO58" s="847"/>
      <c r="CP58" s="847"/>
      <c r="CQ58" s="847"/>
      <c r="CR58" s="847"/>
      <c r="CS58" s="847"/>
      <c r="CT58" s="847"/>
      <c r="CU58" s="847"/>
      <c r="CV58" s="847"/>
      <c r="CW58" s="847"/>
      <c r="CX58" s="847"/>
      <c r="CY58" s="847"/>
      <c r="CZ58" s="847"/>
      <c r="DA58" s="847"/>
      <c r="DB58" s="847"/>
      <c r="DC58" s="847"/>
      <c r="DD58" s="847"/>
      <c r="DE58" s="847"/>
      <c r="DF58" s="847"/>
      <c r="DG58" s="847"/>
      <c r="DH58" s="847"/>
      <c r="DI58" s="847"/>
      <c r="DJ58" s="847"/>
    </row>
    <row r="59" spans="1:114" ht="18.75" hidden="1">
      <c r="A59" s="19">
        <v>26</v>
      </c>
      <c r="B59" s="20" t="s">
        <v>16</v>
      </c>
      <c r="C59" s="48">
        <v>188</v>
      </c>
      <c r="D59" s="34"/>
      <c r="E59" s="56">
        <v>2</v>
      </c>
      <c r="F59" s="533" t="e">
        <f t="shared" ref="F59" si="72">E59/AI59*100</f>
        <v>#DIV/0!</v>
      </c>
      <c r="G59" s="56">
        <v>10</v>
      </c>
      <c r="H59" s="523" t="e">
        <f t="shared" ref="H59" si="73">G59/AI59*100</f>
        <v>#DIV/0!</v>
      </c>
      <c r="I59" s="56">
        <v>4</v>
      </c>
      <c r="J59" s="523" t="e">
        <f t="shared" ref="J59" si="74">I59/AI59*100</f>
        <v>#DIV/0!</v>
      </c>
      <c r="K59" s="244"/>
      <c r="L59" s="56">
        <v>0</v>
      </c>
      <c r="M59" s="44">
        <v>0</v>
      </c>
      <c r="N59" s="116"/>
      <c r="O59" s="34">
        <v>0</v>
      </c>
      <c r="P59" s="34"/>
      <c r="Q59" s="56">
        <v>0</v>
      </c>
      <c r="R59" s="40" t="s">
        <v>81</v>
      </c>
      <c r="S59" s="40" t="s">
        <v>81</v>
      </c>
      <c r="T59" s="40">
        <v>0</v>
      </c>
      <c r="U59" s="250">
        <v>0</v>
      </c>
      <c r="V59" s="40">
        <v>0</v>
      </c>
      <c r="W59" s="34"/>
      <c r="X59" s="45"/>
      <c r="Y59" s="69"/>
      <c r="Z59" s="69"/>
      <c r="AA59" s="69"/>
      <c r="AB59" s="69"/>
      <c r="AC59" s="59"/>
      <c r="AD59" s="34"/>
      <c r="AE59" s="34"/>
      <c r="AF59" s="21"/>
      <c r="AG59" s="34"/>
      <c r="AH59" s="45"/>
      <c r="AI59" s="267"/>
      <c r="AJ59" s="102"/>
      <c r="AK59" s="847"/>
      <c r="AL59" s="847"/>
      <c r="AM59" s="847"/>
      <c r="AN59" s="847"/>
      <c r="AO59" s="847"/>
      <c r="AP59" s="847"/>
      <c r="AQ59" s="847"/>
      <c r="AR59" s="847"/>
      <c r="AS59" s="847"/>
      <c r="AT59" s="847"/>
      <c r="AU59" s="847"/>
      <c r="AV59" s="847"/>
      <c r="AW59" s="847"/>
      <c r="AX59" s="847"/>
      <c r="AY59" s="847"/>
      <c r="AZ59" s="847"/>
      <c r="BA59" s="847"/>
      <c r="BB59" s="847"/>
      <c r="BC59" s="847"/>
      <c r="BD59" s="847"/>
      <c r="BE59" s="847"/>
      <c r="BF59" s="847"/>
      <c r="BG59" s="847"/>
      <c r="BH59" s="847"/>
      <c r="BI59" s="847"/>
      <c r="BJ59" s="847"/>
      <c r="BK59" s="847"/>
      <c r="BL59" s="847"/>
      <c r="BM59" s="847"/>
      <c r="BN59" s="847"/>
      <c r="BO59" s="847"/>
      <c r="BP59" s="847"/>
      <c r="BQ59" s="847"/>
      <c r="BR59" s="847"/>
      <c r="BS59" s="847"/>
      <c r="BT59" s="847"/>
      <c r="BU59" s="847"/>
      <c r="BV59" s="847"/>
      <c r="BW59" s="847"/>
      <c r="BX59" s="847"/>
      <c r="BY59" s="847"/>
      <c r="BZ59" s="847"/>
      <c r="CA59" s="847"/>
      <c r="CB59" s="847"/>
      <c r="CC59" s="847"/>
      <c r="CD59" s="847"/>
      <c r="CE59" s="847"/>
      <c r="CF59" s="847"/>
      <c r="CG59" s="847"/>
      <c r="CH59" s="847"/>
      <c r="CI59" s="847"/>
      <c r="CJ59" s="847"/>
      <c r="CK59" s="847"/>
      <c r="CL59" s="847"/>
      <c r="CM59" s="847"/>
      <c r="CN59" s="847"/>
      <c r="CO59" s="847"/>
      <c r="CP59" s="847"/>
      <c r="CQ59" s="847"/>
      <c r="CR59" s="847"/>
      <c r="CS59" s="847"/>
      <c r="CT59" s="847"/>
      <c r="CU59" s="847"/>
      <c r="CV59" s="847"/>
      <c r="CW59" s="847"/>
      <c r="CX59" s="847"/>
      <c r="CY59" s="847"/>
      <c r="CZ59" s="847"/>
      <c r="DA59" s="847"/>
      <c r="DB59" s="847"/>
      <c r="DC59" s="847"/>
      <c r="DD59" s="847"/>
      <c r="DE59" s="847"/>
      <c r="DF59" s="847"/>
      <c r="DG59" s="847"/>
      <c r="DH59" s="847"/>
      <c r="DI59" s="847"/>
      <c r="DJ59" s="847"/>
    </row>
    <row r="60" spans="1:114" s="27" customFormat="1" ht="19.5" hidden="1" thickBot="1">
      <c r="A60" s="203"/>
      <c r="B60" s="204"/>
      <c r="C60" s="214"/>
      <c r="D60" s="205"/>
      <c r="E60" s="207"/>
      <c r="F60" s="207">
        <v>25</v>
      </c>
      <c r="G60" s="207"/>
      <c r="H60" s="207">
        <v>25</v>
      </c>
      <c r="I60" s="207"/>
      <c r="J60" s="207">
        <v>27</v>
      </c>
      <c r="K60" s="215"/>
      <c r="L60" s="207">
        <v>10</v>
      </c>
      <c r="M60" s="206">
        <v>10</v>
      </c>
      <c r="N60" s="206"/>
      <c r="O60" s="205">
        <v>10</v>
      </c>
      <c r="P60" s="205"/>
      <c r="Q60" s="207">
        <v>0</v>
      </c>
      <c r="R60" s="215">
        <v>0</v>
      </c>
      <c r="S60" s="215">
        <v>0</v>
      </c>
      <c r="T60" s="215">
        <v>0</v>
      </c>
      <c r="U60" s="249">
        <v>0</v>
      </c>
      <c r="V60" s="215">
        <v>0</v>
      </c>
      <c r="W60" s="205"/>
      <c r="X60" s="208"/>
      <c r="Y60" s="207"/>
      <c r="Z60" s="207"/>
      <c r="AA60" s="207"/>
      <c r="AB60" s="207"/>
      <c r="AC60" s="210"/>
      <c r="AD60" s="205"/>
      <c r="AE60" s="205"/>
      <c r="AF60" s="211"/>
      <c r="AG60" s="205"/>
      <c r="AH60" s="208"/>
      <c r="AI60" s="268"/>
      <c r="AJ60" s="213">
        <f>SUM(C60:AH60)</f>
        <v>107</v>
      </c>
      <c r="AK60" s="847"/>
      <c r="AL60" s="847"/>
      <c r="AM60" s="847"/>
      <c r="AN60" s="847"/>
      <c r="AO60" s="847"/>
      <c r="AP60" s="847"/>
      <c r="AQ60" s="847"/>
      <c r="AR60" s="847"/>
      <c r="AS60" s="847"/>
      <c r="AT60" s="847"/>
      <c r="AU60" s="847"/>
      <c r="AV60" s="847"/>
      <c r="AW60" s="847"/>
      <c r="AX60" s="847"/>
      <c r="AY60" s="847"/>
      <c r="AZ60" s="847"/>
      <c r="BA60" s="847"/>
      <c r="BB60" s="847"/>
      <c r="BC60" s="847"/>
      <c r="BD60" s="847"/>
      <c r="BE60" s="847"/>
      <c r="BF60" s="847"/>
      <c r="BG60" s="847"/>
      <c r="BH60" s="847"/>
      <c r="BI60" s="847"/>
      <c r="BJ60" s="847"/>
      <c r="BK60" s="847"/>
      <c r="BL60" s="847"/>
      <c r="BM60" s="847"/>
      <c r="BN60" s="847"/>
      <c r="BO60" s="847"/>
      <c r="BP60" s="847"/>
      <c r="BQ60" s="847"/>
      <c r="BR60" s="847"/>
      <c r="BS60" s="847"/>
      <c r="BT60" s="847"/>
      <c r="BU60" s="847"/>
      <c r="BV60" s="847"/>
      <c r="BW60" s="847"/>
      <c r="BX60" s="847"/>
      <c r="BY60" s="847"/>
      <c r="BZ60" s="847"/>
      <c r="CA60" s="847"/>
      <c r="CB60" s="847"/>
      <c r="CC60" s="847"/>
      <c r="CD60" s="847"/>
      <c r="CE60" s="847"/>
      <c r="CF60" s="847"/>
      <c r="CG60" s="847"/>
      <c r="CH60" s="847"/>
      <c r="CI60" s="847"/>
      <c r="CJ60" s="847"/>
      <c r="CK60" s="847"/>
      <c r="CL60" s="847"/>
      <c r="CM60" s="847"/>
      <c r="CN60" s="847"/>
      <c r="CO60" s="847"/>
      <c r="CP60" s="847"/>
      <c r="CQ60" s="847"/>
      <c r="CR60" s="847"/>
      <c r="CS60" s="847"/>
      <c r="CT60" s="847"/>
      <c r="CU60" s="847"/>
      <c r="CV60" s="847"/>
      <c r="CW60" s="847"/>
      <c r="CX60" s="847"/>
      <c r="CY60" s="847"/>
      <c r="CZ60" s="847"/>
      <c r="DA60" s="847"/>
      <c r="DB60" s="847"/>
      <c r="DC60" s="847"/>
      <c r="DD60" s="847"/>
      <c r="DE60" s="847"/>
      <c r="DF60" s="847"/>
      <c r="DG60" s="847"/>
      <c r="DH60" s="847"/>
      <c r="DI60" s="847"/>
      <c r="DJ60" s="847"/>
    </row>
    <row r="61" spans="1:114" s="3" customFormat="1" ht="18.75" hidden="1">
      <c r="A61" s="19">
        <v>27</v>
      </c>
      <c r="B61" s="20" t="s">
        <v>68</v>
      </c>
      <c r="C61" s="48">
        <v>1</v>
      </c>
      <c r="D61" s="37"/>
      <c r="E61" s="58"/>
      <c r="F61" s="536"/>
      <c r="G61" s="58"/>
      <c r="H61" s="525"/>
      <c r="I61" s="58"/>
      <c r="J61" s="525"/>
      <c r="K61" s="37"/>
      <c r="L61" s="58"/>
      <c r="M61" s="110"/>
      <c r="N61" s="110"/>
      <c r="O61" s="37"/>
      <c r="P61" s="37"/>
      <c r="Q61" s="56">
        <v>0</v>
      </c>
      <c r="R61" s="40"/>
      <c r="S61" s="40"/>
      <c r="T61" s="40">
        <v>0</v>
      </c>
      <c r="U61" s="40"/>
      <c r="V61" s="40"/>
      <c r="W61" s="34"/>
      <c r="X61" s="49"/>
      <c r="Y61" s="69"/>
      <c r="Z61" s="69"/>
      <c r="AA61" s="69"/>
      <c r="AB61" s="69"/>
      <c r="AC61" s="59"/>
      <c r="AD61" s="40"/>
      <c r="AE61" s="40"/>
      <c r="AF61" s="21"/>
      <c r="AG61" s="40"/>
      <c r="AH61" s="49"/>
      <c r="AI61" s="262"/>
      <c r="AJ61" s="104"/>
      <c r="AK61" s="847"/>
      <c r="AL61" s="847"/>
      <c r="AM61" s="847"/>
      <c r="AN61" s="847"/>
      <c r="AO61" s="847"/>
      <c r="AP61" s="847"/>
      <c r="AQ61" s="847"/>
      <c r="AR61" s="847"/>
      <c r="AS61" s="847"/>
      <c r="AT61" s="847"/>
      <c r="AU61" s="847"/>
      <c r="AV61" s="847"/>
      <c r="AW61" s="847"/>
      <c r="AX61" s="847"/>
      <c r="AY61" s="847"/>
      <c r="AZ61" s="847"/>
      <c r="BA61" s="847"/>
      <c r="BB61" s="847"/>
      <c r="BC61" s="847"/>
      <c r="BD61" s="847"/>
      <c r="BE61" s="847"/>
      <c r="BF61" s="847"/>
      <c r="BG61" s="847"/>
      <c r="BH61" s="847"/>
      <c r="BI61" s="847"/>
      <c r="BJ61" s="847"/>
      <c r="BK61" s="847"/>
      <c r="BL61" s="847"/>
      <c r="BM61" s="847"/>
      <c r="BN61" s="847"/>
      <c r="BO61" s="847"/>
      <c r="BP61" s="847"/>
      <c r="BQ61" s="847"/>
      <c r="BR61" s="847"/>
      <c r="BS61" s="847"/>
      <c r="BT61" s="847"/>
      <c r="BU61" s="847"/>
      <c r="BV61" s="847"/>
      <c r="BW61" s="847"/>
      <c r="BX61" s="847"/>
      <c r="BY61" s="847"/>
      <c r="BZ61" s="847"/>
      <c r="CA61" s="847"/>
      <c r="CB61" s="847"/>
      <c r="CC61" s="847"/>
      <c r="CD61" s="847"/>
      <c r="CE61" s="847"/>
      <c r="CF61" s="847"/>
      <c r="CG61" s="847"/>
      <c r="CH61" s="847"/>
      <c r="CI61" s="847"/>
      <c r="CJ61" s="847"/>
      <c r="CK61" s="847"/>
      <c r="CL61" s="847"/>
      <c r="CM61" s="847"/>
      <c r="CN61" s="847"/>
      <c r="CO61" s="847"/>
      <c r="CP61" s="847"/>
      <c r="CQ61" s="847"/>
      <c r="CR61" s="847"/>
      <c r="CS61" s="847"/>
      <c r="CT61" s="847"/>
      <c r="CU61" s="847"/>
      <c r="CV61" s="847"/>
      <c r="CW61" s="847"/>
      <c r="CX61" s="847"/>
      <c r="CY61" s="847"/>
      <c r="CZ61" s="847"/>
      <c r="DA61" s="847"/>
      <c r="DB61" s="847"/>
      <c r="DC61" s="847"/>
      <c r="DD61" s="847"/>
      <c r="DE61" s="847"/>
      <c r="DF61" s="847"/>
      <c r="DG61" s="847"/>
      <c r="DH61" s="847"/>
      <c r="DI61" s="847"/>
      <c r="DJ61" s="847"/>
    </row>
    <row r="62" spans="1:114" s="31" customFormat="1" ht="17.25" hidden="1" customHeight="1" thickBot="1">
      <c r="A62" s="24"/>
      <c r="B62" s="25"/>
      <c r="C62" s="50"/>
      <c r="D62" s="38"/>
      <c r="E62" s="65"/>
      <c r="F62" s="537"/>
      <c r="G62" s="65"/>
      <c r="H62" s="526"/>
      <c r="I62" s="65"/>
      <c r="J62" s="526"/>
      <c r="K62" s="38"/>
      <c r="L62" s="65"/>
      <c r="M62" s="114"/>
      <c r="N62" s="114"/>
      <c r="O62" s="38"/>
      <c r="P62" s="38"/>
      <c r="Q62" s="57"/>
      <c r="R62" s="41"/>
      <c r="S62" s="41"/>
      <c r="T62" s="41"/>
      <c r="U62" s="41"/>
      <c r="V62" s="41"/>
      <c r="W62" s="36"/>
      <c r="X62" s="51"/>
      <c r="Y62" s="57"/>
      <c r="Z62" s="57"/>
      <c r="AA62" s="57"/>
      <c r="AB62" s="57"/>
      <c r="AC62" s="60"/>
      <c r="AD62" s="41"/>
      <c r="AE62" s="41"/>
      <c r="AF62" s="26"/>
      <c r="AG62" s="41"/>
      <c r="AH62" s="51"/>
      <c r="AI62" s="264"/>
      <c r="AJ62" s="101">
        <f>SUM(C62:AH62)</f>
        <v>0</v>
      </c>
      <c r="AK62" s="847"/>
      <c r="AL62" s="847"/>
      <c r="AM62" s="847"/>
      <c r="AN62" s="847"/>
      <c r="AO62" s="847"/>
      <c r="AP62" s="847"/>
      <c r="AQ62" s="847"/>
      <c r="AR62" s="847"/>
      <c r="AS62" s="847"/>
      <c r="AT62" s="847"/>
      <c r="AU62" s="847"/>
      <c r="AV62" s="847"/>
      <c r="AW62" s="847"/>
      <c r="AX62" s="847"/>
      <c r="AY62" s="847"/>
      <c r="AZ62" s="847"/>
      <c r="BA62" s="847"/>
      <c r="BB62" s="847"/>
      <c r="BC62" s="847"/>
      <c r="BD62" s="847"/>
      <c r="BE62" s="847"/>
      <c r="BF62" s="847"/>
      <c r="BG62" s="847"/>
      <c r="BH62" s="847"/>
      <c r="BI62" s="847"/>
      <c r="BJ62" s="847"/>
      <c r="BK62" s="847"/>
      <c r="BL62" s="847"/>
      <c r="BM62" s="847"/>
      <c r="BN62" s="847"/>
      <c r="BO62" s="847"/>
      <c r="BP62" s="847"/>
      <c r="BQ62" s="847"/>
      <c r="BR62" s="847"/>
      <c r="BS62" s="847"/>
      <c r="BT62" s="847"/>
      <c r="BU62" s="847"/>
      <c r="BV62" s="847"/>
      <c r="BW62" s="847"/>
      <c r="BX62" s="847"/>
      <c r="BY62" s="847"/>
      <c r="BZ62" s="847"/>
      <c r="CA62" s="847"/>
      <c r="CB62" s="847"/>
      <c r="CC62" s="847"/>
      <c r="CD62" s="847"/>
      <c r="CE62" s="847"/>
      <c r="CF62" s="847"/>
      <c r="CG62" s="847"/>
      <c r="CH62" s="847"/>
      <c r="CI62" s="847"/>
      <c r="CJ62" s="847"/>
      <c r="CK62" s="847"/>
      <c r="CL62" s="847"/>
      <c r="CM62" s="847"/>
      <c r="CN62" s="847"/>
      <c r="CO62" s="847"/>
      <c r="CP62" s="847"/>
      <c r="CQ62" s="847"/>
      <c r="CR62" s="847"/>
      <c r="CS62" s="847"/>
      <c r="CT62" s="847"/>
      <c r="CU62" s="847"/>
      <c r="CV62" s="847"/>
      <c r="CW62" s="847"/>
      <c r="CX62" s="847"/>
      <c r="CY62" s="847"/>
      <c r="CZ62" s="847"/>
      <c r="DA62" s="847"/>
      <c r="DB62" s="847"/>
      <c r="DC62" s="847"/>
      <c r="DD62" s="847"/>
      <c r="DE62" s="847"/>
      <c r="DF62" s="847"/>
      <c r="DG62" s="847"/>
      <c r="DH62" s="847"/>
      <c r="DI62" s="847"/>
      <c r="DJ62" s="847"/>
    </row>
    <row r="63" spans="1:114" ht="18.75" hidden="1">
      <c r="A63" s="19">
        <v>28</v>
      </c>
      <c r="B63" s="20" t="s">
        <v>69</v>
      </c>
      <c r="C63" s="48">
        <v>2</v>
      </c>
      <c r="D63" s="34"/>
      <c r="E63" s="56">
        <v>0</v>
      </c>
      <c r="F63" s="534"/>
      <c r="G63" s="56">
        <v>0</v>
      </c>
      <c r="H63" s="69"/>
      <c r="I63" s="56">
        <v>0</v>
      </c>
      <c r="J63" s="69"/>
      <c r="K63" s="34"/>
      <c r="L63" s="56">
        <v>0</v>
      </c>
      <c r="M63" s="44">
        <v>0</v>
      </c>
      <c r="N63" s="44"/>
      <c r="O63" s="34"/>
      <c r="P63" s="34"/>
      <c r="Q63" s="56">
        <v>2</v>
      </c>
      <c r="R63" s="34"/>
      <c r="S63" s="34"/>
      <c r="T63" s="34">
        <v>0</v>
      </c>
      <c r="U63" s="34"/>
      <c r="V63" s="34"/>
      <c r="W63" s="34"/>
      <c r="X63" s="45"/>
      <c r="Y63" s="69"/>
      <c r="Z63" s="69"/>
      <c r="AA63" s="69"/>
      <c r="AB63" s="69"/>
      <c r="AC63" s="59"/>
      <c r="AD63" s="34"/>
      <c r="AE63" s="34"/>
      <c r="AF63" s="21"/>
      <c r="AG63" s="34"/>
      <c r="AH63" s="45"/>
      <c r="AI63" s="261"/>
      <c r="AJ63" s="102"/>
      <c r="AK63" s="847"/>
      <c r="AL63" s="847"/>
      <c r="AM63" s="847"/>
      <c r="AN63" s="847"/>
      <c r="AO63" s="847"/>
      <c r="AP63" s="847"/>
      <c r="AQ63" s="847"/>
      <c r="AR63" s="847"/>
      <c r="AS63" s="847"/>
      <c r="AT63" s="847"/>
      <c r="AU63" s="847"/>
      <c r="AV63" s="847"/>
      <c r="AW63" s="847"/>
      <c r="AX63" s="847"/>
      <c r="AY63" s="847"/>
      <c r="AZ63" s="847"/>
      <c r="BA63" s="847"/>
      <c r="BB63" s="847"/>
      <c r="BC63" s="847"/>
      <c r="BD63" s="847"/>
      <c r="BE63" s="847"/>
      <c r="BF63" s="847"/>
      <c r="BG63" s="847"/>
      <c r="BH63" s="847"/>
      <c r="BI63" s="847"/>
      <c r="BJ63" s="847"/>
      <c r="BK63" s="847"/>
      <c r="BL63" s="847"/>
      <c r="BM63" s="847"/>
      <c r="BN63" s="847"/>
      <c r="BO63" s="847"/>
      <c r="BP63" s="847"/>
      <c r="BQ63" s="847"/>
      <c r="BR63" s="847"/>
      <c r="BS63" s="847"/>
      <c r="BT63" s="847"/>
      <c r="BU63" s="847"/>
      <c r="BV63" s="847"/>
      <c r="BW63" s="847"/>
      <c r="BX63" s="847"/>
      <c r="BY63" s="847"/>
      <c r="BZ63" s="847"/>
      <c r="CA63" s="847"/>
      <c r="CB63" s="847"/>
      <c r="CC63" s="847"/>
      <c r="CD63" s="847"/>
      <c r="CE63" s="847"/>
      <c r="CF63" s="847"/>
      <c r="CG63" s="847"/>
      <c r="CH63" s="847"/>
      <c r="CI63" s="847"/>
      <c r="CJ63" s="847"/>
      <c r="CK63" s="847"/>
      <c r="CL63" s="847"/>
      <c r="CM63" s="847"/>
      <c r="CN63" s="847"/>
      <c r="CO63" s="847"/>
      <c r="CP63" s="847"/>
      <c r="CQ63" s="847"/>
      <c r="CR63" s="847"/>
      <c r="CS63" s="847"/>
      <c r="CT63" s="847"/>
      <c r="CU63" s="847"/>
      <c r="CV63" s="847"/>
      <c r="CW63" s="847"/>
      <c r="CX63" s="847"/>
      <c r="CY63" s="847"/>
      <c r="CZ63" s="847"/>
      <c r="DA63" s="847"/>
      <c r="DB63" s="847"/>
      <c r="DC63" s="847"/>
      <c r="DD63" s="847"/>
      <c r="DE63" s="847"/>
      <c r="DF63" s="847"/>
      <c r="DG63" s="847"/>
      <c r="DH63" s="847"/>
      <c r="DI63" s="847"/>
      <c r="DJ63" s="847"/>
    </row>
    <row r="64" spans="1:114" s="27" customFormat="1" ht="16.5" hidden="1" customHeight="1" thickBot="1">
      <c r="A64" s="24"/>
      <c r="B64" s="25"/>
      <c r="C64" s="50"/>
      <c r="D64" s="36"/>
      <c r="E64" s="57">
        <v>10</v>
      </c>
      <c r="F64" s="535"/>
      <c r="G64" s="57">
        <v>10</v>
      </c>
      <c r="H64" s="524"/>
      <c r="I64" s="57">
        <v>10</v>
      </c>
      <c r="J64" s="524"/>
      <c r="K64" s="36"/>
      <c r="L64" s="57">
        <v>10</v>
      </c>
      <c r="M64" s="46">
        <v>10</v>
      </c>
      <c r="N64" s="46"/>
      <c r="O64" s="36"/>
      <c r="P64" s="36"/>
      <c r="Q64" s="57"/>
      <c r="R64" s="36"/>
      <c r="S64" s="36"/>
      <c r="T64" s="36"/>
      <c r="U64" s="36"/>
      <c r="V64" s="36"/>
      <c r="W64" s="36"/>
      <c r="X64" s="47"/>
      <c r="Y64" s="57"/>
      <c r="Z64" s="57"/>
      <c r="AA64" s="57"/>
      <c r="AB64" s="57"/>
      <c r="AC64" s="60"/>
      <c r="AD64" s="36"/>
      <c r="AE64" s="36"/>
      <c r="AF64" s="26"/>
      <c r="AG64" s="36"/>
      <c r="AH64" s="47"/>
      <c r="AI64" s="263"/>
      <c r="AJ64" s="103">
        <f>SUM(C64:AH64)</f>
        <v>50</v>
      </c>
      <c r="AK64" s="847"/>
      <c r="AL64" s="847"/>
      <c r="AM64" s="847"/>
      <c r="AN64" s="847"/>
      <c r="AO64" s="847"/>
      <c r="AP64" s="847"/>
      <c r="AQ64" s="847"/>
      <c r="AR64" s="847"/>
      <c r="AS64" s="847"/>
      <c r="AT64" s="847"/>
      <c r="AU64" s="847"/>
      <c r="AV64" s="847"/>
      <c r="AW64" s="847"/>
      <c r="AX64" s="847"/>
      <c r="AY64" s="847"/>
      <c r="AZ64" s="847"/>
      <c r="BA64" s="847"/>
      <c r="BB64" s="847"/>
      <c r="BC64" s="847"/>
      <c r="BD64" s="847"/>
      <c r="BE64" s="847"/>
      <c r="BF64" s="847"/>
      <c r="BG64" s="847"/>
      <c r="BH64" s="847"/>
      <c r="BI64" s="847"/>
      <c r="BJ64" s="847"/>
      <c r="BK64" s="847"/>
      <c r="BL64" s="847"/>
      <c r="BM64" s="847"/>
      <c r="BN64" s="847"/>
      <c r="BO64" s="847"/>
      <c r="BP64" s="847"/>
      <c r="BQ64" s="847"/>
      <c r="BR64" s="847"/>
      <c r="BS64" s="847"/>
      <c r="BT64" s="847"/>
      <c r="BU64" s="847"/>
      <c r="BV64" s="847"/>
      <c r="BW64" s="847"/>
      <c r="BX64" s="847"/>
      <c r="BY64" s="847"/>
      <c r="BZ64" s="847"/>
      <c r="CA64" s="847"/>
      <c r="CB64" s="847"/>
      <c r="CC64" s="847"/>
      <c r="CD64" s="847"/>
      <c r="CE64" s="847"/>
      <c r="CF64" s="847"/>
      <c r="CG64" s="847"/>
      <c r="CH64" s="847"/>
      <c r="CI64" s="847"/>
      <c r="CJ64" s="847"/>
      <c r="CK64" s="847"/>
      <c r="CL64" s="847"/>
      <c r="CM64" s="847"/>
      <c r="CN64" s="847"/>
      <c r="CO64" s="847"/>
      <c r="CP64" s="847"/>
      <c r="CQ64" s="847"/>
      <c r="CR64" s="847"/>
      <c r="CS64" s="847"/>
      <c r="CT64" s="847"/>
      <c r="CU64" s="847"/>
      <c r="CV64" s="847"/>
      <c r="CW64" s="847"/>
      <c r="CX64" s="847"/>
      <c r="CY64" s="847"/>
      <c r="CZ64" s="847"/>
      <c r="DA64" s="847"/>
      <c r="DB64" s="847"/>
      <c r="DC64" s="847"/>
      <c r="DD64" s="847"/>
      <c r="DE64" s="847"/>
      <c r="DF64" s="847"/>
      <c r="DG64" s="847"/>
      <c r="DH64" s="847"/>
      <c r="DI64" s="847"/>
      <c r="DJ64" s="847"/>
    </row>
    <row r="65" spans="1:114" ht="18.75" hidden="1">
      <c r="A65" s="19">
        <v>29</v>
      </c>
      <c r="B65" s="20" t="s">
        <v>70</v>
      </c>
      <c r="C65" s="48">
        <v>145</v>
      </c>
      <c r="D65" s="40"/>
      <c r="E65" s="56"/>
      <c r="F65" s="534"/>
      <c r="G65" s="56"/>
      <c r="H65" s="69"/>
      <c r="I65" s="56"/>
      <c r="J65" s="69"/>
      <c r="K65" s="40"/>
      <c r="L65" s="56"/>
      <c r="M65" s="40"/>
      <c r="N65" s="40"/>
      <c r="O65" s="40"/>
      <c r="P65" s="40"/>
      <c r="Q65" s="56">
        <v>0</v>
      </c>
      <c r="R65" s="40"/>
      <c r="S65" s="40"/>
      <c r="T65" s="40">
        <v>0</v>
      </c>
      <c r="U65" s="40"/>
      <c r="V65" s="40"/>
      <c r="W65" s="40"/>
      <c r="X65" s="49"/>
      <c r="Y65" s="69"/>
      <c r="Z65" s="69"/>
      <c r="AA65" s="69"/>
      <c r="AB65" s="69"/>
      <c r="AC65" s="59"/>
      <c r="AD65" s="40"/>
      <c r="AE65" s="40"/>
      <c r="AF65" s="21"/>
      <c r="AG65" s="40"/>
      <c r="AH65" s="49"/>
      <c r="AI65" s="262"/>
      <c r="AJ65" s="104"/>
      <c r="AK65" s="847"/>
      <c r="AL65" s="847"/>
      <c r="AM65" s="847"/>
      <c r="AN65" s="847"/>
      <c r="AO65" s="847"/>
      <c r="AP65" s="847"/>
      <c r="AQ65" s="847"/>
      <c r="AR65" s="847"/>
      <c r="AS65" s="847"/>
      <c r="AT65" s="847"/>
      <c r="AU65" s="847"/>
      <c r="AV65" s="847"/>
      <c r="AW65" s="847"/>
      <c r="AX65" s="847"/>
      <c r="AY65" s="847"/>
      <c r="AZ65" s="847"/>
      <c r="BA65" s="847"/>
      <c r="BB65" s="847"/>
      <c r="BC65" s="847"/>
      <c r="BD65" s="847"/>
      <c r="BE65" s="847"/>
      <c r="BF65" s="847"/>
      <c r="BG65" s="847"/>
      <c r="BH65" s="847"/>
      <c r="BI65" s="847"/>
      <c r="BJ65" s="847"/>
      <c r="BK65" s="847"/>
      <c r="BL65" s="847"/>
      <c r="BM65" s="847"/>
      <c r="BN65" s="847"/>
      <c r="BO65" s="847"/>
      <c r="BP65" s="847"/>
      <c r="BQ65" s="847"/>
      <c r="BR65" s="847"/>
      <c r="BS65" s="847"/>
      <c r="BT65" s="847"/>
      <c r="BU65" s="847"/>
      <c r="BV65" s="847"/>
      <c r="BW65" s="847"/>
      <c r="BX65" s="847"/>
      <c r="BY65" s="847"/>
      <c r="BZ65" s="847"/>
      <c r="CA65" s="847"/>
      <c r="CB65" s="847"/>
      <c r="CC65" s="847"/>
      <c r="CD65" s="847"/>
      <c r="CE65" s="847"/>
      <c r="CF65" s="847"/>
      <c r="CG65" s="847"/>
      <c r="CH65" s="847"/>
      <c r="CI65" s="847"/>
      <c r="CJ65" s="847"/>
      <c r="CK65" s="847"/>
      <c r="CL65" s="847"/>
      <c r="CM65" s="847"/>
      <c r="CN65" s="847"/>
      <c r="CO65" s="847"/>
      <c r="CP65" s="847"/>
      <c r="CQ65" s="847"/>
      <c r="CR65" s="847"/>
      <c r="CS65" s="847"/>
      <c r="CT65" s="847"/>
      <c r="CU65" s="847"/>
      <c r="CV65" s="847"/>
      <c r="CW65" s="847"/>
      <c r="CX65" s="847"/>
      <c r="CY65" s="847"/>
      <c r="CZ65" s="847"/>
      <c r="DA65" s="847"/>
      <c r="DB65" s="847"/>
      <c r="DC65" s="847"/>
      <c r="DD65" s="847"/>
      <c r="DE65" s="847"/>
      <c r="DF65" s="847"/>
      <c r="DG65" s="847"/>
      <c r="DH65" s="847"/>
      <c r="DI65" s="847"/>
      <c r="DJ65" s="847"/>
    </row>
    <row r="66" spans="1:114" s="31" customFormat="1" ht="16.5" hidden="1" customHeight="1" thickBot="1">
      <c r="A66" s="24"/>
      <c r="B66" s="25"/>
      <c r="C66" s="38"/>
      <c r="D66" s="43"/>
      <c r="E66" s="65"/>
      <c r="F66" s="537"/>
      <c r="G66" s="65"/>
      <c r="H66" s="526"/>
      <c r="I66" s="65"/>
      <c r="J66" s="526"/>
      <c r="K66" s="38"/>
      <c r="L66" s="65"/>
      <c r="M66" s="38"/>
      <c r="N66" s="38"/>
      <c r="O66" s="38"/>
      <c r="P66" s="38"/>
      <c r="Q66" s="57"/>
      <c r="R66" s="36"/>
      <c r="S66" s="36"/>
      <c r="T66" s="41"/>
      <c r="U66" s="41"/>
      <c r="V66" s="41"/>
      <c r="W66" s="36"/>
      <c r="X66" s="47"/>
      <c r="Y66" s="57"/>
      <c r="Z66" s="57"/>
      <c r="AA66" s="57"/>
      <c r="AB66" s="57"/>
      <c r="AC66" s="60"/>
      <c r="AD66" s="36"/>
      <c r="AE66" s="36"/>
      <c r="AF66" s="26"/>
      <c r="AG66" s="36"/>
      <c r="AH66" s="47"/>
      <c r="AI66" s="263"/>
      <c r="AJ66" s="103">
        <f>SUM(C66:AH66)</f>
        <v>0</v>
      </c>
      <c r="AK66" s="847"/>
      <c r="AL66" s="847"/>
      <c r="AM66" s="847"/>
      <c r="AN66" s="847"/>
      <c r="AO66" s="847"/>
      <c r="AP66" s="847"/>
      <c r="AQ66" s="847"/>
      <c r="AR66" s="847"/>
      <c r="AS66" s="847"/>
      <c r="AT66" s="847"/>
      <c r="AU66" s="847"/>
      <c r="AV66" s="847"/>
      <c r="AW66" s="847"/>
      <c r="AX66" s="847"/>
      <c r="AY66" s="847"/>
      <c r="AZ66" s="847"/>
      <c r="BA66" s="847"/>
      <c r="BB66" s="847"/>
      <c r="BC66" s="847"/>
      <c r="BD66" s="847"/>
      <c r="BE66" s="847"/>
      <c r="BF66" s="847"/>
      <c r="BG66" s="847"/>
      <c r="BH66" s="847"/>
      <c r="BI66" s="847"/>
      <c r="BJ66" s="847"/>
      <c r="BK66" s="847"/>
      <c r="BL66" s="847"/>
      <c r="BM66" s="847"/>
      <c r="BN66" s="847"/>
      <c r="BO66" s="847"/>
      <c r="BP66" s="847"/>
      <c r="BQ66" s="847"/>
      <c r="BR66" s="847"/>
      <c r="BS66" s="847"/>
      <c r="BT66" s="847"/>
      <c r="BU66" s="847"/>
      <c r="BV66" s="847"/>
      <c r="BW66" s="847"/>
      <c r="BX66" s="847"/>
      <c r="BY66" s="847"/>
      <c r="BZ66" s="847"/>
      <c r="CA66" s="847"/>
      <c r="CB66" s="847"/>
      <c r="CC66" s="847"/>
      <c r="CD66" s="847"/>
      <c r="CE66" s="847"/>
      <c r="CF66" s="847"/>
      <c r="CG66" s="847"/>
      <c r="CH66" s="847"/>
      <c r="CI66" s="847"/>
      <c r="CJ66" s="847"/>
      <c r="CK66" s="847"/>
      <c r="CL66" s="847"/>
      <c r="CM66" s="847"/>
      <c r="CN66" s="847"/>
      <c r="CO66" s="847"/>
      <c r="CP66" s="847"/>
      <c r="CQ66" s="847"/>
      <c r="CR66" s="847"/>
      <c r="CS66" s="847"/>
      <c r="CT66" s="847"/>
      <c r="CU66" s="847"/>
      <c r="CV66" s="847"/>
      <c r="CW66" s="847"/>
      <c r="CX66" s="847"/>
      <c r="CY66" s="847"/>
      <c r="CZ66" s="847"/>
      <c r="DA66" s="847"/>
      <c r="DB66" s="847"/>
      <c r="DC66" s="847"/>
      <c r="DD66" s="847"/>
      <c r="DE66" s="847"/>
      <c r="DF66" s="847"/>
      <c r="DG66" s="847"/>
      <c r="DH66" s="847"/>
      <c r="DI66" s="847"/>
      <c r="DJ66" s="847"/>
    </row>
    <row r="67" spans="1:114" s="4" customFormat="1" ht="12.75">
      <c r="A67" s="857"/>
      <c r="B67" s="858"/>
      <c r="C67" s="858"/>
      <c r="D67" s="858"/>
      <c r="E67" s="858"/>
      <c r="F67" s="858"/>
      <c r="G67" s="858"/>
      <c r="H67" s="858"/>
      <c r="I67" s="858"/>
      <c r="J67" s="858"/>
      <c r="K67" s="858"/>
      <c r="L67" s="858"/>
      <c r="M67" s="858"/>
      <c r="N67" s="858"/>
      <c r="O67" s="858"/>
      <c r="P67" s="858"/>
      <c r="Q67" s="858"/>
      <c r="R67" s="858"/>
      <c r="S67" s="858"/>
      <c r="T67" s="858"/>
      <c r="U67" s="858"/>
      <c r="V67" s="858"/>
      <c r="W67" s="858"/>
      <c r="X67" s="858"/>
      <c r="Y67" s="858"/>
      <c r="Z67" s="858"/>
      <c r="AA67" s="858"/>
      <c r="AB67" s="858"/>
      <c r="AC67" s="858"/>
      <c r="AD67" s="858"/>
      <c r="AE67" s="858"/>
      <c r="AF67" s="858"/>
      <c r="AG67" s="858"/>
      <c r="AH67" s="859"/>
      <c r="AI67" s="83"/>
      <c r="AJ67" s="83"/>
      <c r="AK67" s="848"/>
      <c r="AL67" s="848"/>
      <c r="AM67" s="848"/>
      <c r="AN67" s="848"/>
      <c r="AO67" s="848"/>
      <c r="AP67" s="848"/>
      <c r="AQ67" s="848"/>
      <c r="AR67" s="848"/>
      <c r="AS67" s="848"/>
      <c r="AT67" s="848"/>
      <c r="AU67" s="848"/>
      <c r="AV67" s="848"/>
      <c r="AW67" s="848"/>
      <c r="AX67" s="848"/>
      <c r="AY67" s="848"/>
      <c r="AZ67" s="848"/>
      <c r="BA67" s="848"/>
      <c r="BB67" s="848"/>
      <c r="BC67" s="848"/>
      <c r="BD67" s="848"/>
      <c r="BE67" s="848"/>
      <c r="BF67" s="848"/>
      <c r="BG67" s="848"/>
      <c r="BH67" s="848"/>
      <c r="BI67" s="848"/>
      <c r="BJ67" s="848"/>
      <c r="BK67" s="848"/>
      <c r="BL67" s="848"/>
      <c r="BM67" s="848"/>
      <c r="BN67" s="848"/>
      <c r="BO67" s="848"/>
      <c r="BP67" s="848"/>
      <c r="BQ67" s="848"/>
      <c r="BR67" s="848"/>
      <c r="BS67" s="848"/>
      <c r="BT67" s="848"/>
      <c r="BU67" s="848"/>
      <c r="BV67" s="848"/>
      <c r="BW67" s="848"/>
      <c r="BX67" s="848"/>
      <c r="BY67" s="848"/>
      <c r="BZ67" s="848"/>
      <c r="CA67" s="848"/>
      <c r="CB67" s="848"/>
      <c r="CC67" s="848"/>
      <c r="CD67" s="848"/>
      <c r="CE67" s="848"/>
      <c r="CF67" s="848"/>
      <c r="CG67" s="848"/>
      <c r="CH67" s="848"/>
      <c r="CI67" s="848"/>
      <c r="CJ67" s="848"/>
      <c r="CK67" s="848"/>
      <c r="CL67" s="848"/>
      <c r="CM67" s="848"/>
      <c r="CN67" s="848"/>
      <c r="CO67" s="848"/>
      <c r="CP67" s="848"/>
      <c r="CQ67" s="848"/>
      <c r="CR67" s="848"/>
      <c r="CS67" s="848"/>
      <c r="CT67" s="848"/>
      <c r="CU67" s="848"/>
      <c r="CV67" s="848"/>
      <c r="CW67" s="848"/>
      <c r="CX67" s="848"/>
      <c r="CY67" s="848"/>
      <c r="CZ67" s="848"/>
      <c r="DA67" s="848"/>
      <c r="DB67" s="848"/>
      <c r="DC67" s="848"/>
      <c r="DD67" s="848"/>
      <c r="DE67" s="848"/>
      <c r="DF67" s="848"/>
      <c r="DG67" s="848"/>
      <c r="DH67" s="848"/>
      <c r="DI67" s="848"/>
      <c r="DJ67" s="848"/>
    </row>
    <row r="68" spans="1:114" ht="12.75">
      <c r="A68" s="860"/>
      <c r="B68" s="858"/>
      <c r="C68" s="858"/>
      <c r="D68" s="858"/>
      <c r="E68" s="858"/>
      <c r="F68" s="858"/>
      <c r="G68" s="858"/>
      <c r="H68" s="858"/>
      <c r="I68" s="858"/>
      <c r="J68" s="858"/>
      <c r="K68" s="858"/>
      <c r="L68" s="858"/>
      <c r="M68" s="858"/>
      <c r="N68" s="858"/>
      <c r="O68" s="858"/>
      <c r="P68" s="858"/>
      <c r="Q68" s="858"/>
      <c r="R68" s="858"/>
      <c r="S68" s="858"/>
      <c r="T68" s="858"/>
      <c r="U68" s="858"/>
      <c r="V68" s="858"/>
      <c r="W68" s="858"/>
      <c r="X68" s="858"/>
      <c r="Y68" s="858"/>
      <c r="Z68" s="858"/>
      <c r="AA68" s="858"/>
      <c r="AB68" s="858"/>
      <c r="AC68" s="858"/>
      <c r="AD68" s="858"/>
      <c r="AE68" s="858"/>
      <c r="AF68" s="858"/>
      <c r="AG68" s="858"/>
      <c r="AH68" s="859"/>
      <c r="AI68" s="83"/>
      <c r="AJ68" s="83"/>
      <c r="AK68" s="848"/>
      <c r="AL68" s="848"/>
      <c r="AM68" s="848"/>
      <c r="AN68" s="848"/>
      <c r="AO68" s="848"/>
      <c r="AP68" s="848"/>
      <c r="AQ68" s="848"/>
      <c r="AR68" s="848"/>
      <c r="AS68" s="848"/>
      <c r="AT68" s="848"/>
      <c r="AU68" s="848"/>
      <c r="AV68" s="848"/>
      <c r="AW68" s="848"/>
      <c r="AX68" s="848"/>
      <c r="AY68" s="848"/>
      <c r="AZ68" s="848"/>
      <c r="BA68" s="848"/>
      <c r="BB68" s="848"/>
      <c r="BC68" s="848"/>
      <c r="BD68" s="848"/>
      <c r="BE68" s="848"/>
      <c r="BF68" s="848"/>
      <c r="BG68" s="848"/>
      <c r="BH68" s="848"/>
      <c r="BI68" s="848"/>
      <c r="BJ68" s="848"/>
      <c r="BK68" s="848"/>
      <c r="BL68" s="848"/>
      <c r="BM68" s="848"/>
      <c r="BN68" s="848"/>
      <c r="BO68" s="848"/>
      <c r="BP68" s="848"/>
      <c r="BQ68" s="848"/>
      <c r="BR68" s="848"/>
      <c r="BS68" s="848"/>
      <c r="BT68" s="848"/>
      <c r="BU68" s="848"/>
      <c r="BV68" s="848"/>
      <c r="BW68" s="848"/>
      <c r="BX68" s="848"/>
      <c r="BY68" s="848"/>
      <c r="BZ68" s="848"/>
      <c r="CA68" s="848"/>
      <c r="CB68" s="848"/>
      <c r="CC68" s="848"/>
      <c r="CD68" s="848"/>
      <c r="CE68" s="848"/>
      <c r="CF68" s="848"/>
      <c r="CG68" s="848"/>
      <c r="CH68" s="848"/>
      <c r="CI68" s="848"/>
      <c r="CJ68" s="848"/>
      <c r="CK68" s="848"/>
      <c r="CL68" s="848"/>
      <c r="CM68" s="848"/>
      <c r="CN68" s="848"/>
      <c r="CO68" s="848"/>
      <c r="CP68" s="848"/>
      <c r="CQ68" s="848"/>
      <c r="CR68" s="848"/>
      <c r="CS68" s="848"/>
      <c r="CT68" s="848"/>
      <c r="CU68" s="848"/>
      <c r="CV68" s="848"/>
      <c r="CW68" s="848"/>
      <c r="CX68" s="848"/>
      <c r="CY68" s="848"/>
      <c r="CZ68" s="848"/>
      <c r="DA68" s="848"/>
      <c r="DB68" s="848"/>
      <c r="DC68" s="848"/>
      <c r="DD68" s="848"/>
      <c r="DE68" s="848"/>
      <c r="DF68" s="848"/>
      <c r="DG68" s="848"/>
      <c r="DH68" s="848"/>
      <c r="DI68" s="848"/>
      <c r="DJ68" s="848"/>
    </row>
    <row r="69" spans="1:114" ht="12.75">
      <c r="A69" s="860"/>
      <c r="B69" s="858"/>
      <c r="C69" s="858"/>
      <c r="D69" s="858"/>
      <c r="E69" s="858"/>
      <c r="F69" s="858"/>
      <c r="G69" s="858"/>
      <c r="H69" s="858"/>
      <c r="I69" s="858"/>
      <c r="J69" s="858"/>
      <c r="K69" s="858"/>
      <c r="L69" s="858"/>
      <c r="M69" s="858"/>
      <c r="N69" s="858"/>
      <c r="O69" s="858"/>
      <c r="P69" s="858"/>
      <c r="Q69" s="858"/>
      <c r="R69" s="858"/>
      <c r="S69" s="858"/>
      <c r="T69" s="858"/>
      <c r="U69" s="858"/>
      <c r="V69" s="858"/>
      <c r="W69" s="858"/>
      <c r="X69" s="858"/>
      <c r="Y69" s="858"/>
      <c r="Z69" s="858"/>
      <c r="AA69" s="858"/>
      <c r="AB69" s="858"/>
      <c r="AC69" s="858"/>
      <c r="AD69" s="858"/>
      <c r="AE69" s="858"/>
      <c r="AF69" s="858"/>
      <c r="AG69" s="858"/>
      <c r="AH69" s="859"/>
      <c r="AI69" s="83"/>
      <c r="AJ69" s="83"/>
      <c r="AK69" s="848"/>
      <c r="AL69" s="848"/>
      <c r="AM69" s="848"/>
      <c r="AN69" s="848"/>
      <c r="AO69" s="848"/>
      <c r="AP69" s="848"/>
      <c r="AQ69" s="848"/>
      <c r="AR69" s="848"/>
      <c r="AS69" s="848"/>
      <c r="AT69" s="848"/>
      <c r="AU69" s="848"/>
      <c r="AV69" s="848"/>
      <c r="AW69" s="848"/>
      <c r="AX69" s="848"/>
      <c r="AY69" s="848"/>
      <c r="AZ69" s="848"/>
      <c r="BA69" s="848"/>
      <c r="BB69" s="848"/>
      <c r="BC69" s="848"/>
      <c r="BD69" s="848"/>
      <c r="BE69" s="848"/>
      <c r="BF69" s="848"/>
      <c r="BG69" s="848"/>
      <c r="BH69" s="848"/>
      <c r="BI69" s="848"/>
      <c r="BJ69" s="848"/>
      <c r="BK69" s="848"/>
      <c r="BL69" s="848"/>
      <c r="BM69" s="848"/>
      <c r="BN69" s="848"/>
      <c r="BO69" s="848"/>
      <c r="BP69" s="848"/>
      <c r="BQ69" s="848"/>
      <c r="BR69" s="848"/>
      <c r="BS69" s="848"/>
      <c r="BT69" s="848"/>
      <c r="BU69" s="848"/>
      <c r="BV69" s="848"/>
      <c r="BW69" s="848"/>
      <c r="BX69" s="848"/>
      <c r="BY69" s="848"/>
      <c r="BZ69" s="848"/>
      <c r="CA69" s="848"/>
      <c r="CB69" s="848"/>
      <c r="CC69" s="848"/>
      <c r="CD69" s="848"/>
      <c r="CE69" s="848"/>
      <c r="CF69" s="848"/>
      <c r="CG69" s="848"/>
      <c r="CH69" s="848"/>
      <c r="CI69" s="848"/>
      <c r="CJ69" s="848"/>
      <c r="CK69" s="848"/>
      <c r="CL69" s="848"/>
      <c r="CM69" s="848"/>
      <c r="CN69" s="848"/>
      <c r="CO69" s="848"/>
      <c r="CP69" s="848"/>
      <c r="CQ69" s="848"/>
      <c r="CR69" s="848"/>
      <c r="CS69" s="848"/>
      <c r="CT69" s="848"/>
      <c r="CU69" s="848"/>
      <c r="CV69" s="848"/>
      <c r="CW69" s="848"/>
      <c r="CX69" s="848"/>
      <c r="CY69" s="848"/>
      <c r="CZ69" s="848"/>
      <c r="DA69" s="848"/>
      <c r="DB69" s="848"/>
      <c r="DC69" s="848"/>
      <c r="DD69" s="848"/>
      <c r="DE69" s="848"/>
      <c r="DF69" s="848"/>
      <c r="DG69" s="848"/>
      <c r="DH69" s="848"/>
      <c r="DI69" s="848"/>
      <c r="DJ69" s="848"/>
    </row>
    <row r="70" spans="1:114" s="3" customFormat="1" ht="12.75">
      <c r="A70" s="860"/>
      <c r="B70" s="858"/>
      <c r="C70" s="858"/>
      <c r="D70" s="858"/>
      <c r="E70" s="858"/>
      <c r="F70" s="858"/>
      <c r="G70" s="858"/>
      <c r="H70" s="858"/>
      <c r="I70" s="858"/>
      <c r="J70" s="858"/>
      <c r="K70" s="858"/>
      <c r="L70" s="858"/>
      <c r="M70" s="858"/>
      <c r="N70" s="858"/>
      <c r="O70" s="858"/>
      <c r="P70" s="858"/>
      <c r="Q70" s="858"/>
      <c r="R70" s="858"/>
      <c r="S70" s="858"/>
      <c r="T70" s="858"/>
      <c r="U70" s="858"/>
      <c r="V70" s="858"/>
      <c r="W70" s="858"/>
      <c r="X70" s="858"/>
      <c r="Y70" s="858"/>
      <c r="Z70" s="858"/>
      <c r="AA70" s="858"/>
      <c r="AB70" s="858"/>
      <c r="AC70" s="858"/>
      <c r="AD70" s="858"/>
      <c r="AE70" s="858"/>
      <c r="AF70" s="858"/>
      <c r="AG70" s="858"/>
      <c r="AH70" s="859"/>
      <c r="AI70" s="83"/>
      <c r="AJ70" s="83"/>
      <c r="AK70" s="848"/>
      <c r="AL70" s="848"/>
      <c r="AM70" s="848"/>
      <c r="AN70" s="848"/>
      <c r="AO70" s="848"/>
      <c r="AP70" s="848"/>
      <c r="AQ70" s="848"/>
      <c r="AR70" s="848"/>
      <c r="AS70" s="848"/>
      <c r="AT70" s="848"/>
      <c r="AU70" s="848"/>
      <c r="AV70" s="848"/>
      <c r="AW70" s="848"/>
      <c r="AX70" s="848"/>
      <c r="AY70" s="848"/>
      <c r="AZ70" s="848"/>
      <c r="BA70" s="848"/>
      <c r="BB70" s="848"/>
      <c r="BC70" s="848"/>
      <c r="BD70" s="848"/>
      <c r="BE70" s="848"/>
      <c r="BF70" s="848"/>
      <c r="BG70" s="848"/>
      <c r="BH70" s="848"/>
      <c r="BI70" s="848"/>
      <c r="BJ70" s="848"/>
      <c r="BK70" s="848"/>
      <c r="BL70" s="848"/>
      <c r="BM70" s="848"/>
      <c r="BN70" s="848"/>
      <c r="BO70" s="848"/>
      <c r="BP70" s="848"/>
      <c r="BQ70" s="848"/>
      <c r="BR70" s="848"/>
      <c r="BS70" s="848"/>
      <c r="BT70" s="848"/>
      <c r="BU70" s="848"/>
      <c r="BV70" s="848"/>
      <c r="BW70" s="848"/>
      <c r="BX70" s="848"/>
      <c r="BY70" s="848"/>
      <c r="BZ70" s="848"/>
      <c r="CA70" s="848"/>
      <c r="CB70" s="848"/>
      <c r="CC70" s="848"/>
      <c r="CD70" s="848"/>
      <c r="CE70" s="848"/>
      <c r="CF70" s="848"/>
      <c r="CG70" s="848"/>
      <c r="CH70" s="848"/>
      <c r="CI70" s="848"/>
      <c r="CJ70" s="848"/>
      <c r="CK70" s="848"/>
      <c r="CL70" s="848"/>
      <c r="CM70" s="848"/>
      <c r="CN70" s="848"/>
      <c r="CO70" s="848"/>
      <c r="CP70" s="848"/>
      <c r="CQ70" s="848"/>
      <c r="CR70" s="848"/>
      <c r="CS70" s="848"/>
      <c r="CT70" s="848"/>
      <c r="CU70" s="848"/>
      <c r="CV70" s="848"/>
      <c r="CW70" s="848"/>
      <c r="CX70" s="848"/>
      <c r="CY70" s="848"/>
      <c r="CZ70" s="848"/>
      <c r="DA70" s="848"/>
      <c r="DB70" s="848"/>
      <c r="DC70" s="848"/>
      <c r="DD70" s="848"/>
      <c r="DE70" s="848"/>
      <c r="DF70" s="848"/>
      <c r="DG70" s="848"/>
      <c r="DH70" s="848"/>
      <c r="DI70" s="848"/>
      <c r="DJ70" s="848"/>
    </row>
    <row r="71" spans="1:114" s="4" customFormat="1" ht="12.75">
      <c r="A71" s="860"/>
      <c r="B71" s="858"/>
      <c r="C71" s="858"/>
      <c r="D71" s="858"/>
      <c r="E71" s="858"/>
      <c r="F71" s="858"/>
      <c r="G71" s="858"/>
      <c r="H71" s="858"/>
      <c r="I71" s="858"/>
      <c r="J71" s="858"/>
      <c r="K71" s="858"/>
      <c r="L71" s="858"/>
      <c r="M71" s="858"/>
      <c r="N71" s="858"/>
      <c r="O71" s="858"/>
      <c r="P71" s="858"/>
      <c r="Q71" s="858"/>
      <c r="R71" s="858"/>
      <c r="S71" s="858"/>
      <c r="T71" s="858"/>
      <c r="U71" s="858"/>
      <c r="V71" s="858"/>
      <c r="W71" s="858"/>
      <c r="X71" s="858"/>
      <c r="Y71" s="858"/>
      <c r="Z71" s="858"/>
      <c r="AA71" s="858"/>
      <c r="AB71" s="858"/>
      <c r="AC71" s="858"/>
      <c r="AD71" s="858"/>
      <c r="AE71" s="858"/>
      <c r="AF71" s="858"/>
      <c r="AG71" s="858"/>
      <c r="AH71" s="859"/>
      <c r="AI71" s="83"/>
      <c r="AJ71" s="83"/>
      <c r="AK71" s="848"/>
      <c r="AL71" s="848"/>
      <c r="AM71" s="848"/>
      <c r="AN71" s="848"/>
      <c r="AO71" s="848"/>
      <c r="AP71" s="848"/>
      <c r="AQ71" s="848"/>
      <c r="AR71" s="848"/>
      <c r="AS71" s="848"/>
      <c r="AT71" s="848"/>
      <c r="AU71" s="848"/>
      <c r="AV71" s="848"/>
      <c r="AW71" s="848"/>
      <c r="AX71" s="848"/>
      <c r="AY71" s="848"/>
      <c r="AZ71" s="848"/>
      <c r="BA71" s="848"/>
      <c r="BB71" s="848"/>
      <c r="BC71" s="848"/>
      <c r="BD71" s="848"/>
      <c r="BE71" s="848"/>
      <c r="BF71" s="848"/>
      <c r="BG71" s="848"/>
      <c r="BH71" s="848"/>
      <c r="BI71" s="848"/>
      <c r="BJ71" s="848"/>
      <c r="BK71" s="848"/>
      <c r="BL71" s="848"/>
      <c r="BM71" s="848"/>
      <c r="BN71" s="848"/>
      <c r="BO71" s="848"/>
      <c r="BP71" s="848"/>
      <c r="BQ71" s="848"/>
      <c r="BR71" s="848"/>
      <c r="BS71" s="848"/>
      <c r="BT71" s="848"/>
      <c r="BU71" s="848"/>
      <c r="BV71" s="848"/>
      <c r="BW71" s="848"/>
      <c r="BX71" s="848"/>
      <c r="BY71" s="848"/>
      <c r="BZ71" s="848"/>
      <c r="CA71" s="848"/>
      <c r="CB71" s="848"/>
      <c r="CC71" s="848"/>
      <c r="CD71" s="848"/>
      <c r="CE71" s="848"/>
      <c r="CF71" s="848"/>
      <c r="CG71" s="848"/>
      <c r="CH71" s="848"/>
      <c r="CI71" s="848"/>
      <c r="CJ71" s="848"/>
      <c r="CK71" s="848"/>
      <c r="CL71" s="848"/>
      <c r="CM71" s="848"/>
      <c r="CN71" s="848"/>
      <c r="CO71" s="848"/>
      <c r="CP71" s="848"/>
      <c r="CQ71" s="848"/>
      <c r="CR71" s="848"/>
      <c r="CS71" s="848"/>
      <c r="CT71" s="848"/>
      <c r="CU71" s="848"/>
      <c r="CV71" s="848"/>
      <c r="CW71" s="848"/>
      <c r="CX71" s="848"/>
      <c r="CY71" s="848"/>
      <c r="CZ71" s="848"/>
      <c r="DA71" s="848"/>
      <c r="DB71" s="848"/>
      <c r="DC71" s="848"/>
      <c r="DD71" s="848"/>
      <c r="DE71" s="848"/>
      <c r="DF71" s="848"/>
      <c r="DG71" s="848"/>
      <c r="DH71" s="848"/>
      <c r="DI71" s="848"/>
      <c r="DJ71" s="848"/>
    </row>
    <row r="72" spans="1:114" ht="12.75">
      <c r="A72" s="860"/>
      <c r="B72" s="858"/>
      <c r="C72" s="858"/>
      <c r="D72" s="858"/>
      <c r="E72" s="858"/>
      <c r="F72" s="858"/>
      <c r="G72" s="858"/>
      <c r="H72" s="858"/>
      <c r="I72" s="858"/>
      <c r="J72" s="858"/>
      <c r="K72" s="858"/>
      <c r="L72" s="858"/>
      <c r="M72" s="858"/>
      <c r="N72" s="858"/>
      <c r="O72" s="858"/>
      <c r="P72" s="858"/>
      <c r="Q72" s="858"/>
      <c r="R72" s="858"/>
      <c r="S72" s="858"/>
      <c r="T72" s="858"/>
      <c r="U72" s="858"/>
      <c r="V72" s="858"/>
      <c r="W72" s="858"/>
      <c r="X72" s="858"/>
      <c r="Y72" s="858"/>
      <c r="Z72" s="858"/>
      <c r="AA72" s="858"/>
      <c r="AB72" s="858"/>
      <c r="AC72" s="858"/>
      <c r="AD72" s="858"/>
      <c r="AE72" s="858"/>
      <c r="AF72" s="858"/>
      <c r="AG72" s="858"/>
      <c r="AH72" s="859"/>
      <c r="AI72" s="83"/>
      <c r="AJ72" s="83"/>
      <c r="AK72" s="848"/>
      <c r="AL72" s="848"/>
      <c r="AM72" s="848"/>
      <c r="AN72" s="848"/>
      <c r="AO72" s="848"/>
      <c r="AP72" s="848"/>
      <c r="AQ72" s="848"/>
      <c r="AR72" s="848"/>
      <c r="AS72" s="848"/>
      <c r="AT72" s="848"/>
      <c r="AU72" s="848"/>
      <c r="AV72" s="848"/>
      <c r="AW72" s="848"/>
      <c r="AX72" s="848"/>
      <c r="AY72" s="848"/>
      <c r="AZ72" s="848"/>
      <c r="BA72" s="848"/>
      <c r="BB72" s="848"/>
      <c r="BC72" s="848"/>
      <c r="BD72" s="848"/>
      <c r="BE72" s="848"/>
      <c r="BF72" s="848"/>
      <c r="BG72" s="848"/>
      <c r="BH72" s="848"/>
      <c r="BI72" s="848"/>
      <c r="BJ72" s="848"/>
      <c r="BK72" s="848"/>
      <c r="BL72" s="848"/>
      <c r="BM72" s="848"/>
      <c r="BN72" s="848"/>
      <c r="BO72" s="848"/>
      <c r="BP72" s="848"/>
      <c r="BQ72" s="848"/>
      <c r="BR72" s="848"/>
      <c r="BS72" s="848"/>
      <c r="BT72" s="848"/>
      <c r="BU72" s="848"/>
      <c r="BV72" s="848"/>
      <c r="BW72" s="848"/>
      <c r="BX72" s="848"/>
      <c r="BY72" s="848"/>
      <c r="BZ72" s="848"/>
      <c r="CA72" s="848"/>
      <c r="CB72" s="848"/>
      <c r="CC72" s="848"/>
      <c r="CD72" s="848"/>
      <c r="CE72" s="848"/>
      <c r="CF72" s="848"/>
      <c r="CG72" s="848"/>
      <c r="CH72" s="848"/>
      <c r="CI72" s="848"/>
      <c r="CJ72" s="848"/>
      <c r="CK72" s="848"/>
      <c r="CL72" s="848"/>
      <c r="CM72" s="848"/>
      <c r="CN72" s="848"/>
      <c r="CO72" s="848"/>
      <c r="CP72" s="848"/>
      <c r="CQ72" s="848"/>
      <c r="CR72" s="848"/>
      <c r="CS72" s="848"/>
      <c r="CT72" s="848"/>
      <c r="CU72" s="848"/>
      <c r="CV72" s="848"/>
      <c r="CW72" s="848"/>
      <c r="CX72" s="848"/>
      <c r="CY72" s="848"/>
      <c r="CZ72" s="848"/>
      <c r="DA72" s="848"/>
      <c r="DB72" s="848"/>
      <c r="DC72" s="848"/>
      <c r="DD72" s="848"/>
      <c r="DE72" s="848"/>
      <c r="DF72" s="848"/>
      <c r="DG72" s="848"/>
      <c r="DH72" s="848"/>
      <c r="DI72" s="848"/>
      <c r="DJ72" s="848"/>
    </row>
    <row r="73" spans="1:114" ht="12.75">
      <c r="A73" s="860"/>
      <c r="B73" s="858"/>
      <c r="C73" s="858"/>
      <c r="D73" s="858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858"/>
      <c r="P73" s="858"/>
      <c r="Q73" s="858"/>
      <c r="R73" s="858"/>
      <c r="S73" s="858"/>
      <c r="T73" s="858"/>
      <c r="U73" s="858"/>
      <c r="V73" s="858"/>
      <c r="W73" s="858"/>
      <c r="X73" s="858"/>
      <c r="Y73" s="858"/>
      <c r="Z73" s="858"/>
      <c r="AA73" s="858"/>
      <c r="AB73" s="858"/>
      <c r="AC73" s="858"/>
      <c r="AD73" s="858"/>
      <c r="AE73" s="858"/>
      <c r="AF73" s="858"/>
      <c r="AG73" s="858"/>
      <c r="AH73" s="859"/>
      <c r="AI73" s="83"/>
      <c r="AJ73" s="83"/>
      <c r="AK73" s="848"/>
      <c r="AL73" s="848"/>
      <c r="AM73" s="848"/>
      <c r="AN73" s="848"/>
      <c r="AO73" s="848"/>
      <c r="AP73" s="848"/>
      <c r="AQ73" s="848"/>
      <c r="AR73" s="848"/>
      <c r="AS73" s="848"/>
      <c r="AT73" s="848"/>
      <c r="AU73" s="848"/>
      <c r="AV73" s="848"/>
      <c r="AW73" s="848"/>
      <c r="AX73" s="848"/>
      <c r="AY73" s="848"/>
      <c r="AZ73" s="848"/>
      <c r="BA73" s="848"/>
      <c r="BB73" s="848"/>
      <c r="BC73" s="848"/>
      <c r="BD73" s="848"/>
      <c r="BE73" s="848"/>
      <c r="BF73" s="848"/>
      <c r="BG73" s="848"/>
      <c r="BH73" s="848"/>
      <c r="BI73" s="848"/>
      <c r="BJ73" s="848"/>
      <c r="BK73" s="848"/>
      <c r="BL73" s="848"/>
      <c r="BM73" s="848"/>
      <c r="BN73" s="848"/>
      <c r="BO73" s="848"/>
      <c r="BP73" s="848"/>
      <c r="BQ73" s="848"/>
      <c r="BR73" s="848"/>
      <c r="BS73" s="848"/>
      <c r="BT73" s="848"/>
      <c r="BU73" s="848"/>
      <c r="BV73" s="848"/>
      <c r="BW73" s="848"/>
      <c r="BX73" s="848"/>
      <c r="BY73" s="848"/>
      <c r="BZ73" s="848"/>
      <c r="CA73" s="848"/>
      <c r="CB73" s="848"/>
      <c r="CC73" s="848"/>
      <c r="CD73" s="848"/>
      <c r="CE73" s="848"/>
      <c r="CF73" s="848"/>
      <c r="CG73" s="848"/>
      <c r="CH73" s="848"/>
      <c r="CI73" s="848"/>
      <c r="CJ73" s="848"/>
      <c r="CK73" s="848"/>
      <c r="CL73" s="848"/>
      <c r="CM73" s="848"/>
      <c r="CN73" s="848"/>
      <c r="CO73" s="848"/>
      <c r="CP73" s="848"/>
      <c r="CQ73" s="848"/>
      <c r="CR73" s="848"/>
      <c r="CS73" s="848"/>
      <c r="CT73" s="848"/>
      <c r="CU73" s="848"/>
      <c r="CV73" s="848"/>
      <c r="CW73" s="848"/>
      <c r="CX73" s="848"/>
      <c r="CY73" s="848"/>
      <c r="CZ73" s="848"/>
      <c r="DA73" s="848"/>
      <c r="DB73" s="848"/>
      <c r="DC73" s="848"/>
      <c r="DD73" s="848"/>
      <c r="DE73" s="848"/>
      <c r="DF73" s="848"/>
      <c r="DG73" s="848"/>
      <c r="DH73" s="848"/>
      <c r="DI73" s="848"/>
      <c r="DJ73" s="848"/>
    </row>
    <row r="74" spans="1:114" s="3" customFormat="1" ht="12.75">
      <c r="A74" s="860"/>
      <c r="B74" s="858"/>
      <c r="C74" s="858"/>
      <c r="D74" s="858"/>
      <c r="E74" s="858"/>
      <c r="F74" s="858"/>
      <c r="G74" s="858"/>
      <c r="H74" s="858"/>
      <c r="I74" s="858"/>
      <c r="J74" s="858"/>
      <c r="K74" s="858"/>
      <c r="L74" s="858"/>
      <c r="M74" s="858"/>
      <c r="N74" s="858"/>
      <c r="O74" s="858"/>
      <c r="P74" s="858"/>
      <c r="Q74" s="858"/>
      <c r="R74" s="858"/>
      <c r="S74" s="858"/>
      <c r="T74" s="858"/>
      <c r="U74" s="858"/>
      <c r="V74" s="858"/>
      <c r="W74" s="858"/>
      <c r="X74" s="858"/>
      <c r="Y74" s="858"/>
      <c r="Z74" s="858"/>
      <c r="AA74" s="858"/>
      <c r="AB74" s="858"/>
      <c r="AC74" s="858"/>
      <c r="AD74" s="858"/>
      <c r="AE74" s="858"/>
      <c r="AF74" s="858"/>
      <c r="AG74" s="858"/>
      <c r="AH74" s="859"/>
      <c r="AI74" s="83"/>
      <c r="AJ74" s="83"/>
      <c r="AK74" s="848"/>
      <c r="AL74" s="848"/>
      <c r="AM74" s="848"/>
      <c r="AN74" s="848"/>
      <c r="AO74" s="848"/>
      <c r="AP74" s="848"/>
      <c r="AQ74" s="848"/>
      <c r="AR74" s="848"/>
      <c r="AS74" s="848"/>
      <c r="AT74" s="848"/>
      <c r="AU74" s="848"/>
      <c r="AV74" s="848"/>
      <c r="AW74" s="848"/>
      <c r="AX74" s="848"/>
      <c r="AY74" s="848"/>
      <c r="AZ74" s="848"/>
      <c r="BA74" s="848"/>
      <c r="BB74" s="848"/>
      <c r="BC74" s="848"/>
      <c r="BD74" s="848"/>
      <c r="BE74" s="848"/>
      <c r="BF74" s="848"/>
      <c r="BG74" s="848"/>
      <c r="BH74" s="848"/>
      <c r="BI74" s="848"/>
      <c r="BJ74" s="848"/>
      <c r="BK74" s="848"/>
      <c r="BL74" s="848"/>
      <c r="BM74" s="848"/>
      <c r="BN74" s="848"/>
      <c r="BO74" s="848"/>
      <c r="BP74" s="848"/>
      <c r="BQ74" s="848"/>
      <c r="BR74" s="848"/>
      <c r="BS74" s="848"/>
      <c r="BT74" s="848"/>
      <c r="BU74" s="848"/>
      <c r="BV74" s="848"/>
      <c r="BW74" s="848"/>
      <c r="BX74" s="848"/>
      <c r="BY74" s="848"/>
      <c r="BZ74" s="848"/>
      <c r="CA74" s="848"/>
      <c r="CB74" s="848"/>
      <c r="CC74" s="848"/>
      <c r="CD74" s="848"/>
      <c r="CE74" s="848"/>
      <c r="CF74" s="848"/>
      <c r="CG74" s="848"/>
      <c r="CH74" s="848"/>
      <c r="CI74" s="848"/>
      <c r="CJ74" s="848"/>
      <c r="CK74" s="848"/>
      <c r="CL74" s="848"/>
      <c r="CM74" s="848"/>
      <c r="CN74" s="848"/>
      <c r="CO74" s="848"/>
      <c r="CP74" s="848"/>
      <c r="CQ74" s="848"/>
      <c r="CR74" s="848"/>
      <c r="CS74" s="848"/>
      <c r="CT74" s="848"/>
      <c r="CU74" s="848"/>
      <c r="CV74" s="848"/>
      <c r="CW74" s="848"/>
      <c r="CX74" s="848"/>
      <c r="CY74" s="848"/>
      <c r="CZ74" s="848"/>
      <c r="DA74" s="848"/>
      <c r="DB74" s="848"/>
      <c r="DC74" s="848"/>
      <c r="DD74" s="848"/>
      <c r="DE74" s="848"/>
      <c r="DF74" s="848"/>
      <c r="DG74" s="848"/>
      <c r="DH74" s="848"/>
      <c r="DI74" s="848"/>
      <c r="DJ74" s="848"/>
    </row>
    <row r="75" spans="1:114" s="4" customFormat="1" ht="12.75">
      <c r="A75" s="860"/>
      <c r="B75" s="858"/>
      <c r="C75" s="858"/>
      <c r="D75" s="858"/>
      <c r="E75" s="858"/>
      <c r="F75" s="858"/>
      <c r="G75" s="858"/>
      <c r="H75" s="858"/>
      <c r="I75" s="858"/>
      <c r="J75" s="858"/>
      <c r="K75" s="858"/>
      <c r="L75" s="858"/>
      <c r="M75" s="858"/>
      <c r="N75" s="858"/>
      <c r="O75" s="858"/>
      <c r="P75" s="858"/>
      <c r="Q75" s="858"/>
      <c r="R75" s="858"/>
      <c r="S75" s="858"/>
      <c r="T75" s="858"/>
      <c r="U75" s="858"/>
      <c r="V75" s="858"/>
      <c r="W75" s="858"/>
      <c r="X75" s="858"/>
      <c r="Y75" s="858"/>
      <c r="Z75" s="858"/>
      <c r="AA75" s="858"/>
      <c r="AB75" s="858"/>
      <c r="AC75" s="858"/>
      <c r="AD75" s="858"/>
      <c r="AE75" s="858"/>
      <c r="AF75" s="858"/>
      <c r="AG75" s="858"/>
      <c r="AH75" s="859"/>
      <c r="AI75" s="83"/>
      <c r="AJ75" s="83"/>
      <c r="AK75" s="848"/>
      <c r="AL75" s="848"/>
      <c r="AM75" s="848"/>
      <c r="AN75" s="848"/>
      <c r="AO75" s="848"/>
      <c r="AP75" s="848"/>
      <c r="AQ75" s="848"/>
      <c r="AR75" s="848"/>
      <c r="AS75" s="848"/>
      <c r="AT75" s="848"/>
      <c r="AU75" s="848"/>
      <c r="AV75" s="848"/>
      <c r="AW75" s="848"/>
      <c r="AX75" s="848"/>
      <c r="AY75" s="848"/>
      <c r="AZ75" s="848"/>
      <c r="BA75" s="848"/>
      <c r="BB75" s="848"/>
      <c r="BC75" s="848"/>
      <c r="BD75" s="848"/>
      <c r="BE75" s="848"/>
      <c r="BF75" s="848"/>
      <c r="BG75" s="848"/>
      <c r="BH75" s="848"/>
      <c r="BI75" s="848"/>
      <c r="BJ75" s="848"/>
      <c r="BK75" s="848"/>
      <c r="BL75" s="848"/>
      <c r="BM75" s="848"/>
      <c r="BN75" s="848"/>
      <c r="BO75" s="848"/>
      <c r="BP75" s="848"/>
      <c r="BQ75" s="848"/>
      <c r="BR75" s="848"/>
      <c r="BS75" s="848"/>
      <c r="BT75" s="848"/>
      <c r="BU75" s="848"/>
      <c r="BV75" s="848"/>
      <c r="BW75" s="848"/>
      <c r="BX75" s="848"/>
      <c r="BY75" s="848"/>
      <c r="BZ75" s="848"/>
      <c r="CA75" s="848"/>
      <c r="CB75" s="848"/>
      <c r="CC75" s="848"/>
      <c r="CD75" s="848"/>
      <c r="CE75" s="848"/>
      <c r="CF75" s="848"/>
      <c r="CG75" s="848"/>
      <c r="CH75" s="848"/>
      <c r="CI75" s="848"/>
      <c r="CJ75" s="848"/>
      <c r="CK75" s="848"/>
      <c r="CL75" s="848"/>
      <c r="CM75" s="848"/>
      <c r="CN75" s="848"/>
      <c r="CO75" s="848"/>
      <c r="CP75" s="848"/>
      <c r="CQ75" s="848"/>
      <c r="CR75" s="848"/>
      <c r="CS75" s="848"/>
      <c r="CT75" s="848"/>
      <c r="CU75" s="848"/>
      <c r="CV75" s="848"/>
      <c r="CW75" s="848"/>
      <c r="CX75" s="848"/>
      <c r="CY75" s="848"/>
      <c r="CZ75" s="848"/>
      <c r="DA75" s="848"/>
      <c r="DB75" s="848"/>
      <c r="DC75" s="848"/>
      <c r="DD75" s="848"/>
      <c r="DE75" s="848"/>
      <c r="DF75" s="848"/>
      <c r="DG75" s="848"/>
      <c r="DH75" s="848"/>
      <c r="DI75" s="848"/>
      <c r="DJ75" s="848"/>
    </row>
    <row r="76" spans="1:114" ht="12.75">
      <c r="A76" s="860"/>
      <c r="B76" s="858"/>
      <c r="C76" s="858"/>
      <c r="D76" s="858"/>
      <c r="E76" s="858"/>
      <c r="F76" s="858"/>
      <c r="G76" s="858"/>
      <c r="H76" s="858"/>
      <c r="I76" s="858"/>
      <c r="J76" s="858"/>
      <c r="K76" s="858"/>
      <c r="L76" s="858"/>
      <c r="M76" s="858"/>
      <c r="N76" s="858"/>
      <c r="O76" s="858"/>
      <c r="P76" s="858"/>
      <c r="Q76" s="858"/>
      <c r="R76" s="858"/>
      <c r="S76" s="858"/>
      <c r="T76" s="858"/>
      <c r="U76" s="858"/>
      <c r="V76" s="858"/>
      <c r="W76" s="858"/>
      <c r="X76" s="858"/>
      <c r="Y76" s="858"/>
      <c r="Z76" s="858"/>
      <c r="AA76" s="858"/>
      <c r="AB76" s="858"/>
      <c r="AC76" s="858"/>
      <c r="AD76" s="858"/>
      <c r="AE76" s="858"/>
      <c r="AF76" s="858"/>
      <c r="AG76" s="858"/>
      <c r="AH76" s="859"/>
      <c r="AI76" s="83"/>
      <c r="AJ76" s="83"/>
      <c r="AK76" s="848"/>
      <c r="AL76" s="848"/>
      <c r="AM76" s="848"/>
      <c r="AN76" s="848"/>
      <c r="AO76" s="848"/>
      <c r="AP76" s="848"/>
      <c r="AQ76" s="848"/>
      <c r="AR76" s="848"/>
      <c r="AS76" s="848"/>
      <c r="AT76" s="848"/>
      <c r="AU76" s="848"/>
      <c r="AV76" s="848"/>
      <c r="AW76" s="848"/>
      <c r="AX76" s="848"/>
      <c r="AY76" s="848"/>
      <c r="AZ76" s="848"/>
      <c r="BA76" s="848"/>
      <c r="BB76" s="848"/>
      <c r="BC76" s="848"/>
      <c r="BD76" s="848"/>
      <c r="BE76" s="848"/>
      <c r="BF76" s="848"/>
      <c r="BG76" s="848"/>
      <c r="BH76" s="848"/>
      <c r="BI76" s="848"/>
      <c r="BJ76" s="848"/>
      <c r="BK76" s="848"/>
      <c r="BL76" s="848"/>
      <c r="BM76" s="848"/>
      <c r="BN76" s="848"/>
      <c r="BO76" s="848"/>
      <c r="BP76" s="848"/>
      <c r="BQ76" s="848"/>
      <c r="BR76" s="848"/>
      <c r="BS76" s="848"/>
      <c r="BT76" s="848"/>
      <c r="BU76" s="848"/>
      <c r="BV76" s="848"/>
      <c r="BW76" s="848"/>
      <c r="BX76" s="848"/>
      <c r="BY76" s="848"/>
      <c r="BZ76" s="848"/>
      <c r="CA76" s="848"/>
      <c r="CB76" s="848"/>
      <c r="CC76" s="848"/>
      <c r="CD76" s="848"/>
      <c r="CE76" s="848"/>
      <c r="CF76" s="848"/>
      <c r="CG76" s="848"/>
      <c r="CH76" s="848"/>
      <c r="CI76" s="848"/>
      <c r="CJ76" s="848"/>
      <c r="CK76" s="848"/>
      <c r="CL76" s="848"/>
      <c r="CM76" s="848"/>
      <c r="CN76" s="848"/>
      <c r="CO76" s="848"/>
      <c r="CP76" s="848"/>
      <c r="CQ76" s="848"/>
      <c r="CR76" s="848"/>
      <c r="CS76" s="848"/>
      <c r="CT76" s="848"/>
      <c r="CU76" s="848"/>
      <c r="CV76" s="848"/>
      <c r="CW76" s="848"/>
      <c r="CX76" s="848"/>
      <c r="CY76" s="848"/>
      <c r="CZ76" s="848"/>
      <c r="DA76" s="848"/>
      <c r="DB76" s="848"/>
      <c r="DC76" s="848"/>
      <c r="DD76" s="848"/>
      <c r="DE76" s="848"/>
      <c r="DF76" s="848"/>
      <c r="DG76" s="848"/>
      <c r="DH76" s="848"/>
      <c r="DI76" s="848"/>
      <c r="DJ76" s="848"/>
    </row>
    <row r="77" spans="1:114" ht="12.75">
      <c r="A77" s="860"/>
      <c r="B77" s="858"/>
      <c r="C77" s="858"/>
      <c r="D77" s="858"/>
      <c r="E77" s="858"/>
      <c r="F77" s="858"/>
      <c r="G77" s="858"/>
      <c r="H77" s="858"/>
      <c r="I77" s="858"/>
      <c r="J77" s="858"/>
      <c r="K77" s="858"/>
      <c r="L77" s="858"/>
      <c r="M77" s="858"/>
      <c r="N77" s="858"/>
      <c r="O77" s="858"/>
      <c r="P77" s="858"/>
      <c r="Q77" s="858"/>
      <c r="R77" s="858"/>
      <c r="S77" s="858"/>
      <c r="T77" s="858"/>
      <c r="U77" s="858"/>
      <c r="V77" s="858"/>
      <c r="W77" s="858"/>
      <c r="X77" s="858"/>
      <c r="Y77" s="858"/>
      <c r="Z77" s="858"/>
      <c r="AA77" s="858"/>
      <c r="AB77" s="858"/>
      <c r="AC77" s="858"/>
      <c r="AD77" s="858"/>
      <c r="AE77" s="858"/>
      <c r="AF77" s="858"/>
      <c r="AG77" s="858"/>
      <c r="AH77" s="859"/>
      <c r="AI77" s="83"/>
      <c r="AJ77" s="83"/>
      <c r="AK77" s="848"/>
      <c r="AL77" s="848"/>
      <c r="AM77" s="848"/>
      <c r="AN77" s="848"/>
      <c r="AO77" s="848"/>
      <c r="AP77" s="848"/>
      <c r="AQ77" s="848"/>
      <c r="AR77" s="848"/>
      <c r="AS77" s="848"/>
      <c r="AT77" s="848"/>
      <c r="AU77" s="848"/>
      <c r="AV77" s="848"/>
      <c r="AW77" s="848"/>
      <c r="AX77" s="848"/>
      <c r="AY77" s="848"/>
      <c r="AZ77" s="848"/>
      <c r="BA77" s="848"/>
      <c r="BB77" s="848"/>
      <c r="BC77" s="848"/>
      <c r="BD77" s="848"/>
      <c r="BE77" s="848"/>
      <c r="BF77" s="848"/>
      <c r="BG77" s="848"/>
      <c r="BH77" s="848"/>
      <c r="BI77" s="848"/>
      <c r="BJ77" s="848"/>
      <c r="BK77" s="848"/>
      <c r="BL77" s="848"/>
      <c r="BM77" s="848"/>
      <c r="BN77" s="848"/>
      <c r="BO77" s="848"/>
      <c r="BP77" s="848"/>
      <c r="BQ77" s="848"/>
      <c r="BR77" s="848"/>
      <c r="BS77" s="848"/>
      <c r="BT77" s="848"/>
      <c r="BU77" s="848"/>
      <c r="BV77" s="848"/>
      <c r="BW77" s="848"/>
      <c r="BX77" s="848"/>
      <c r="BY77" s="848"/>
      <c r="BZ77" s="848"/>
      <c r="CA77" s="848"/>
      <c r="CB77" s="848"/>
      <c r="CC77" s="848"/>
      <c r="CD77" s="848"/>
      <c r="CE77" s="848"/>
      <c r="CF77" s="848"/>
      <c r="CG77" s="848"/>
      <c r="CH77" s="848"/>
      <c r="CI77" s="848"/>
      <c r="CJ77" s="848"/>
      <c r="CK77" s="848"/>
      <c r="CL77" s="848"/>
      <c r="CM77" s="848"/>
      <c r="CN77" s="848"/>
      <c r="CO77" s="848"/>
      <c r="CP77" s="848"/>
      <c r="CQ77" s="848"/>
      <c r="CR77" s="848"/>
      <c r="CS77" s="848"/>
      <c r="CT77" s="848"/>
      <c r="CU77" s="848"/>
      <c r="CV77" s="848"/>
      <c r="CW77" s="848"/>
      <c r="CX77" s="848"/>
      <c r="CY77" s="848"/>
      <c r="CZ77" s="848"/>
      <c r="DA77" s="848"/>
      <c r="DB77" s="848"/>
      <c r="DC77" s="848"/>
      <c r="DD77" s="848"/>
      <c r="DE77" s="848"/>
      <c r="DF77" s="848"/>
      <c r="DG77" s="848"/>
      <c r="DH77" s="848"/>
      <c r="DI77" s="848"/>
      <c r="DJ77" s="848"/>
    </row>
    <row r="78" spans="1:114" ht="12.75">
      <c r="A78" s="860"/>
      <c r="B78" s="858"/>
      <c r="C78" s="858"/>
      <c r="D78" s="858"/>
      <c r="E78" s="858"/>
      <c r="F78" s="858"/>
      <c r="G78" s="858"/>
      <c r="H78" s="858"/>
      <c r="I78" s="858"/>
      <c r="J78" s="858"/>
      <c r="K78" s="858"/>
      <c r="L78" s="858"/>
      <c r="M78" s="858"/>
      <c r="N78" s="858"/>
      <c r="O78" s="858"/>
      <c r="P78" s="858"/>
      <c r="Q78" s="858"/>
      <c r="R78" s="858"/>
      <c r="S78" s="858"/>
      <c r="T78" s="858"/>
      <c r="U78" s="858"/>
      <c r="V78" s="858"/>
      <c r="W78" s="858"/>
      <c r="X78" s="858"/>
      <c r="Y78" s="858"/>
      <c r="Z78" s="858"/>
      <c r="AA78" s="858"/>
      <c r="AB78" s="858"/>
      <c r="AC78" s="858"/>
      <c r="AD78" s="858"/>
      <c r="AE78" s="858"/>
      <c r="AF78" s="858"/>
      <c r="AG78" s="858"/>
      <c r="AH78" s="859"/>
      <c r="AI78" s="83"/>
      <c r="AJ78" s="83"/>
      <c r="AK78" s="848"/>
      <c r="AL78" s="848"/>
      <c r="AM78" s="848"/>
      <c r="AN78" s="848"/>
      <c r="AO78" s="848"/>
      <c r="AP78" s="848"/>
      <c r="AQ78" s="848"/>
      <c r="AR78" s="848"/>
      <c r="AS78" s="848"/>
      <c r="AT78" s="848"/>
      <c r="AU78" s="848"/>
      <c r="AV78" s="848"/>
      <c r="AW78" s="848"/>
      <c r="AX78" s="848"/>
      <c r="AY78" s="848"/>
      <c r="AZ78" s="848"/>
      <c r="BA78" s="848"/>
      <c r="BB78" s="848"/>
      <c r="BC78" s="848"/>
      <c r="BD78" s="848"/>
      <c r="BE78" s="848"/>
      <c r="BF78" s="848"/>
      <c r="BG78" s="848"/>
      <c r="BH78" s="848"/>
      <c r="BI78" s="848"/>
      <c r="BJ78" s="848"/>
      <c r="BK78" s="848"/>
      <c r="BL78" s="848"/>
      <c r="BM78" s="848"/>
      <c r="BN78" s="848"/>
      <c r="BO78" s="848"/>
      <c r="BP78" s="848"/>
      <c r="BQ78" s="848"/>
      <c r="BR78" s="848"/>
      <c r="BS78" s="848"/>
      <c r="BT78" s="848"/>
      <c r="BU78" s="848"/>
      <c r="BV78" s="848"/>
      <c r="BW78" s="848"/>
      <c r="BX78" s="848"/>
      <c r="BY78" s="848"/>
      <c r="BZ78" s="848"/>
      <c r="CA78" s="848"/>
      <c r="CB78" s="848"/>
      <c r="CC78" s="848"/>
      <c r="CD78" s="848"/>
      <c r="CE78" s="848"/>
      <c r="CF78" s="848"/>
      <c r="CG78" s="848"/>
      <c r="CH78" s="848"/>
      <c r="CI78" s="848"/>
      <c r="CJ78" s="848"/>
      <c r="CK78" s="848"/>
      <c r="CL78" s="848"/>
      <c r="CM78" s="848"/>
      <c r="CN78" s="848"/>
      <c r="CO78" s="848"/>
      <c r="CP78" s="848"/>
      <c r="CQ78" s="848"/>
      <c r="CR78" s="848"/>
      <c r="CS78" s="848"/>
      <c r="CT78" s="848"/>
      <c r="CU78" s="848"/>
      <c r="CV78" s="848"/>
      <c r="CW78" s="848"/>
      <c r="CX78" s="848"/>
      <c r="CY78" s="848"/>
      <c r="CZ78" s="848"/>
      <c r="DA78" s="848"/>
      <c r="DB78" s="848"/>
      <c r="DC78" s="848"/>
      <c r="DD78" s="848"/>
      <c r="DE78" s="848"/>
      <c r="DF78" s="848"/>
      <c r="DG78" s="848"/>
      <c r="DH78" s="848"/>
      <c r="DI78" s="848"/>
      <c r="DJ78" s="848"/>
    </row>
    <row r="79" spans="1:114" s="3" customFormat="1" ht="12.75">
      <c r="A79" s="860"/>
      <c r="B79" s="858"/>
      <c r="C79" s="858"/>
      <c r="D79" s="858"/>
      <c r="E79" s="858"/>
      <c r="F79" s="858"/>
      <c r="G79" s="858"/>
      <c r="H79" s="858"/>
      <c r="I79" s="858"/>
      <c r="J79" s="858"/>
      <c r="K79" s="858"/>
      <c r="L79" s="858"/>
      <c r="M79" s="858"/>
      <c r="N79" s="858"/>
      <c r="O79" s="858"/>
      <c r="P79" s="858"/>
      <c r="Q79" s="858"/>
      <c r="R79" s="858"/>
      <c r="S79" s="858"/>
      <c r="T79" s="858"/>
      <c r="U79" s="858"/>
      <c r="V79" s="858"/>
      <c r="W79" s="858"/>
      <c r="X79" s="858"/>
      <c r="Y79" s="858"/>
      <c r="Z79" s="858"/>
      <c r="AA79" s="858"/>
      <c r="AB79" s="858"/>
      <c r="AC79" s="858"/>
      <c r="AD79" s="858"/>
      <c r="AE79" s="858"/>
      <c r="AF79" s="858"/>
      <c r="AG79" s="858"/>
      <c r="AH79" s="859"/>
      <c r="AI79" s="83"/>
      <c r="AJ79" s="83"/>
      <c r="AK79" s="848"/>
      <c r="AL79" s="848"/>
      <c r="AM79" s="848"/>
      <c r="AN79" s="848"/>
      <c r="AO79" s="848"/>
      <c r="AP79" s="848"/>
      <c r="AQ79" s="848"/>
      <c r="AR79" s="848"/>
      <c r="AS79" s="848"/>
      <c r="AT79" s="848"/>
      <c r="AU79" s="848"/>
      <c r="AV79" s="848"/>
      <c r="AW79" s="848"/>
      <c r="AX79" s="848"/>
      <c r="AY79" s="848"/>
      <c r="AZ79" s="848"/>
      <c r="BA79" s="848"/>
      <c r="BB79" s="848"/>
      <c r="BC79" s="848"/>
      <c r="BD79" s="848"/>
      <c r="BE79" s="848"/>
      <c r="BF79" s="848"/>
      <c r="BG79" s="848"/>
      <c r="BH79" s="848"/>
      <c r="BI79" s="848"/>
      <c r="BJ79" s="848"/>
      <c r="BK79" s="848"/>
      <c r="BL79" s="848"/>
      <c r="BM79" s="848"/>
      <c r="BN79" s="848"/>
      <c r="BO79" s="848"/>
      <c r="BP79" s="848"/>
      <c r="BQ79" s="848"/>
      <c r="BR79" s="848"/>
      <c r="BS79" s="848"/>
      <c r="BT79" s="848"/>
      <c r="BU79" s="848"/>
      <c r="BV79" s="848"/>
      <c r="BW79" s="848"/>
      <c r="BX79" s="848"/>
      <c r="BY79" s="848"/>
      <c r="BZ79" s="848"/>
      <c r="CA79" s="848"/>
      <c r="CB79" s="848"/>
      <c r="CC79" s="848"/>
      <c r="CD79" s="848"/>
      <c r="CE79" s="848"/>
      <c r="CF79" s="848"/>
      <c r="CG79" s="848"/>
      <c r="CH79" s="848"/>
      <c r="CI79" s="848"/>
      <c r="CJ79" s="848"/>
      <c r="CK79" s="848"/>
      <c r="CL79" s="848"/>
      <c r="CM79" s="848"/>
      <c r="CN79" s="848"/>
      <c r="CO79" s="848"/>
      <c r="CP79" s="848"/>
      <c r="CQ79" s="848"/>
      <c r="CR79" s="848"/>
      <c r="CS79" s="848"/>
      <c r="CT79" s="848"/>
      <c r="CU79" s="848"/>
      <c r="CV79" s="848"/>
      <c r="CW79" s="848"/>
      <c r="CX79" s="848"/>
      <c r="CY79" s="848"/>
      <c r="CZ79" s="848"/>
      <c r="DA79" s="848"/>
      <c r="DB79" s="848"/>
      <c r="DC79" s="848"/>
      <c r="DD79" s="848"/>
      <c r="DE79" s="848"/>
      <c r="DF79" s="848"/>
      <c r="DG79" s="848"/>
      <c r="DH79" s="848"/>
      <c r="DI79" s="848"/>
      <c r="DJ79" s="848"/>
    </row>
    <row r="80" spans="1:114" ht="12.75">
      <c r="A80" s="860"/>
      <c r="B80" s="858"/>
      <c r="C80" s="858"/>
      <c r="D80" s="858"/>
      <c r="E80" s="858"/>
      <c r="F80" s="858"/>
      <c r="G80" s="858"/>
      <c r="H80" s="858"/>
      <c r="I80" s="858"/>
      <c r="J80" s="858"/>
      <c r="K80" s="858"/>
      <c r="L80" s="858"/>
      <c r="M80" s="858"/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58"/>
      <c r="Y80" s="858"/>
      <c r="Z80" s="858"/>
      <c r="AA80" s="858"/>
      <c r="AB80" s="858"/>
      <c r="AC80" s="858"/>
      <c r="AD80" s="858"/>
      <c r="AE80" s="858"/>
      <c r="AF80" s="858"/>
      <c r="AG80" s="858"/>
      <c r="AH80" s="859"/>
      <c r="AI80" s="83"/>
      <c r="AJ80" s="83"/>
      <c r="AK80" s="848"/>
      <c r="AL80" s="848"/>
      <c r="AM80" s="848"/>
      <c r="AN80" s="848"/>
      <c r="AO80" s="848"/>
      <c r="AP80" s="848"/>
      <c r="AQ80" s="848"/>
      <c r="AR80" s="848"/>
      <c r="AS80" s="848"/>
      <c r="AT80" s="848"/>
      <c r="AU80" s="848"/>
      <c r="AV80" s="848"/>
      <c r="AW80" s="848"/>
      <c r="AX80" s="848"/>
      <c r="AY80" s="848"/>
      <c r="AZ80" s="848"/>
      <c r="BA80" s="848"/>
      <c r="BB80" s="848"/>
      <c r="BC80" s="848"/>
      <c r="BD80" s="848"/>
      <c r="BE80" s="848"/>
      <c r="BF80" s="848"/>
      <c r="BG80" s="848"/>
      <c r="BH80" s="848"/>
      <c r="BI80" s="848"/>
      <c r="BJ80" s="848"/>
      <c r="BK80" s="848"/>
      <c r="BL80" s="848"/>
      <c r="BM80" s="848"/>
      <c r="BN80" s="848"/>
      <c r="BO80" s="848"/>
      <c r="BP80" s="848"/>
      <c r="BQ80" s="848"/>
      <c r="BR80" s="848"/>
      <c r="BS80" s="848"/>
      <c r="BT80" s="848"/>
      <c r="BU80" s="848"/>
      <c r="BV80" s="848"/>
      <c r="BW80" s="848"/>
      <c r="BX80" s="848"/>
      <c r="BY80" s="848"/>
      <c r="BZ80" s="848"/>
      <c r="CA80" s="848"/>
      <c r="CB80" s="848"/>
      <c r="CC80" s="848"/>
      <c r="CD80" s="848"/>
      <c r="CE80" s="848"/>
      <c r="CF80" s="848"/>
      <c r="CG80" s="848"/>
      <c r="CH80" s="848"/>
      <c r="CI80" s="848"/>
      <c r="CJ80" s="848"/>
      <c r="CK80" s="848"/>
      <c r="CL80" s="848"/>
      <c r="CM80" s="848"/>
      <c r="CN80" s="848"/>
      <c r="CO80" s="848"/>
      <c r="CP80" s="848"/>
      <c r="CQ80" s="848"/>
      <c r="CR80" s="848"/>
      <c r="CS80" s="848"/>
      <c r="CT80" s="848"/>
      <c r="CU80" s="848"/>
      <c r="CV80" s="848"/>
      <c r="CW80" s="848"/>
      <c r="CX80" s="848"/>
      <c r="CY80" s="848"/>
      <c r="CZ80" s="848"/>
      <c r="DA80" s="848"/>
      <c r="DB80" s="848"/>
      <c r="DC80" s="848"/>
      <c r="DD80" s="848"/>
      <c r="DE80" s="848"/>
      <c r="DF80" s="848"/>
      <c r="DG80" s="848"/>
      <c r="DH80" s="848"/>
      <c r="DI80" s="848"/>
      <c r="DJ80" s="848"/>
    </row>
    <row r="81" spans="1:114" ht="12.75">
      <c r="A81" s="860"/>
      <c r="B81" s="858"/>
      <c r="C81" s="858"/>
      <c r="D81" s="858"/>
      <c r="E81" s="858"/>
      <c r="F81" s="858"/>
      <c r="G81" s="858"/>
      <c r="H81" s="858"/>
      <c r="I81" s="858"/>
      <c r="J81" s="858"/>
      <c r="K81" s="858"/>
      <c r="L81" s="858"/>
      <c r="M81" s="858"/>
      <c r="N81" s="858"/>
      <c r="O81" s="858"/>
      <c r="P81" s="858"/>
      <c r="Q81" s="858"/>
      <c r="R81" s="858"/>
      <c r="S81" s="858"/>
      <c r="T81" s="858"/>
      <c r="U81" s="858"/>
      <c r="V81" s="858"/>
      <c r="W81" s="858"/>
      <c r="X81" s="858"/>
      <c r="Y81" s="858"/>
      <c r="Z81" s="858"/>
      <c r="AA81" s="858"/>
      <c r="AB81" s="858"/>
      <c r="AC81" s="858"/>
      <c r="AD81" s="858"/>
      <c r="AE81" s="858"/>
      <c r="AF81" s="858"/>
      <c r="AG81" s="858"/>
      <c r="AH81" s="859"/>
      <c r="AI81" s="83"/>
      <c r="AJ81" s="83"/>
      <c r="AK81" s="848"/>
      <c r="AL81" s="848"/>
      <c r="AM81" s="848"/>
      <c r="AN81" s="848"/>
      <c r="AO81" s="848"/>
      <c r="AP81" s="848"/>
      <c r="AQ81" s="848"/>
      <c r="AR81" s="848"/>
      <c r="AS81" s="848"/>
      <c r="AT81" s="848"/>
      <c r="AU81" s="848"/>
      <c r="AV81" s="848"/>
      <c r="AW81" s="848"/>
      <c r="AX81" s="848"/>
      <c r="AY81" s="848"/>
      <c r="AZ81" s="848"/>
      <c r="BA81" s="848"/>
      <c r="BB81" s="848"/>
      <c r="BC81" s="848"/>
      <c r="BD81" s="848"/>
      <c r="BE81" s="848"/>
      <c r="BF81" s="848"/>
      <c r="BG81" s="848"/>
      <c r="BH81" s="848"/>
      <c r="BI81" s="848"/>
      <c r="BJ81" s="848"/>
      <c r="BK81" s="848"/>
      <c r="BL81" s="848"/>
      <c r="BM81" s="848"/>
      <c r="BN81" s="848"/>
      <c r="BO81" s="848"/>
      <c r="BP81" s="848"/>
      <c r="BQ81" s="848"/>
      <c r="BR81" s="848"/>
      <c r="BS81" s="848"/>
      <c r="BT81" s="848"/>
      <c r="BU81" s="848"/>
      <c r="BV81" s="848"/>
      <c r="BW81" s="848"/>
      <c r="BX81" s="848"/>
      <c r="BY81" s="848"/>
      <c r="BZ81" s="848"/>
      <c r="CA81" s="848"/>
      <c r="CB81" s="848"/>
      <c r="CC81" s="848"/>
      <c r="CD81" s="848"/>
      <c r="CE81" s="848"/>
      <c r="CF81" s="848"/>
      <c r="CG81" s="848"/>
      <c r="CH81" s="848"/>
      <c r="CI81" s="848"/>
      <c r="CJ81" s="848"/>
      <c r="CK81" s="848"/>
      <c r="CL81" s="848"/>
      <c r="CM81" s="848"/>
      <c r="CN81" s="848"/>
      <c r="CO81" s="848"/>
      <c r="CP81" s="848"/>
      <c r="CQ81" s="848"/>
      <c r="CR81" s="848"/>
      <c r="CS81" s="848"/>
      <c r="CT81" s="848"/>
      <c r="CU81" s="848"/>
      <c r="CV81" s="848"/>
      <c r="CW81" s="848"/>
      <c r="CX81" s="848"/>
      <c r="CY81" s="848"/>
      <c r="CZ81" s="848"/>
      <c r="DA81" s="848"/>
      <c r="DB81" s="848"/>
      <c r="DC81" s="848"/>
      <c r="DD81" s="848"/>
      <c r="DE81" s="848"/>
      <c r="DF81" s="848"/>
      <c r="DG81" s="848"/>
      <c r="DH81" s="848"/>
      <c r="DI81" s="848"/>
      <c r="DJ81" s="848"/>
    </row>
    <row r="82" spans="1:114" ht="12.75">
      <c r="A82" s="860"/>
      <c r="B82" s="858"/>
      <c r="C82" s="858"/>
      <c r="D82" s="858"/>
      <c r="E82" s="858"/>
      <c r="F82" s="858"/>
      <c r="G82" s="858"/>
      <c r="H82" s="858"/>
      <c r="I82" s="858"/>
      <c r="J82" s="858"/>
      <c r="K82" s="858"/>
      <c r="L82" s="858"/>
      <c r="M82" s="858"/>
      <c r="N82" s="858"/>
      <c r="O82" s="858"/>
      <c r="P82" s="858"/>
      <c r="Q82" s="858"/>
      <c r="R82" s="858"/>
      <c r="S82" s="858"/>
      <c r="T82" s="858"/>
      <c r="U82" s="858"/>
      <c r="V82" s="858"/>
      <c r="W82" s="858"/>
      <c r="X82" s="858"/>
      <c r="Y82" s="858"/>
      <c r="Z82" s="858"/>
      <c r="AA82" s="858"/>
      <c r="AB82" s="858"/>
      <c r="AC82" s="858"/>
      <c r="AD82" s="858"/>
      <c r="AE82" s="858"/>
      <c r="AF82" s="858"/>
      <c r="AG82" s="858"/>
      <c r="AH82" s="859"/>
      <c r="AI82" s="83"/>
      <c r="AJ82" s="83"/>
      <c r="AK82" s="848"/>
      <c r="AL82" s="848"/>
      <c r="AM82" s="848"/>
      <c r="AN82" s="848"/>
      <c r="AO82" s="848"/>
      <c r="AP82" s="848"/>
      <c r="AQ82" s="848"/>
      <c r="AR82" s="848"/>
      <c r="AS82" s="848"/>
      <c r="AT82" s="848"/>
      <c r="AU82" s="848"/>
      <c r="AV82" s="848"/>
      <c r="AW82" s="848"/>
      <c r="AX82" s="848"/>
      <c r="AY82" s="848"/>
      <c r="AZ82" s="848"/>
      <c r="BA82" s="848"/>
      <c r="BB82" s="848"/>
      <c r="BC82" s="848"/>
      <c r="BD82" s="848"/>
      <c r="BE82" s="848"/>
      <c r="BF82" s="848"/>
      <c r="BG82" s="848"/>
      <c r="BH82" s="848"/>
      <c r="BI82" s="848"/>
      <c r="BJ82" s="848"/>
      <c r="BK82" s="848"/>
      <c r="BL82" s="848"/>
      <c r="BM82" s="848"/>
      <c r="BN82" s="848"/>
      <c r="BO82" s="848"/>
      <c r="BP82" s="848"/>
      <c r="BQ82" s="848"/>
      <c r="BR82" s="848"/>
      <c r="BS82" s="848"/>
      <c r="BT82" s="848"/>
      <c r="BU82" s="848"/>
      <c r="BV82" s="848"/>
      <c r="BW82" s="848"/>
      <c r="BX82" s="848"/>
      <c r="BY82" s="848"/>
      <c r="BZ82" s="848"/>
      <c r="CA82" s="848"/>
      <c r="CB82" s="848"/>
      <c r="CC82" s="848"/>
      <c r="CD82" s="848"/>
      <c r="CE82" s="848"/>
      <c r="CF82" s="848"/>
      <c r="CG82" s="848"/>
      <c r="CH82" s="848"/>
      <c r="CI82" s="848"/>
      <c r="CJ82" s="848"/>
      <c r="CK82" s="848"/>
      <c r="CL82" s="848"/>
      <c r="CM82" s="848"/>
      <c r="CN82" s="848"/>
      <c r="CO82" s="848"/>
      <c r="CP82" s="848"/>
      <c r="CQ82" s="848"/>
      <c r="CR82" s="848"/>
      <c r="CS82" s="848"/>
      <c r="CT82" s="848"/>
      <c r="CU82" s="848"/>
      <c r="CV82" s="848"/>
      <c r="CW82" s="848"/>
      <c r="CX82" s="848"/>
      <c r="CY82" s="848"/>
      <c r="CZ82" s="848"/>
      <c r="DA82" s="848"/>
      <c r="DB82" s="848"/>
      <c r="DC82" s="848"/>
      <c r="DD82" s="848"/>
      <c r="DE82" s="848"/>
      <c r="DF82" s="848"/>
      <c r="DG82" s="848"/>
      <c r="DH82" s="848"/>
      <c r="DI82" s="848"/>
      <c r="DJ82" s="848"/>
    </row>
    <row r="83" spans="1:114" s="3" customFormat="1" ht="12.75">
      <c r="A83" s="860"/>
      <c r="B83" s="858"/>
      <c r="C83" s="858"/>
      <c r="D83" s="858"/>
      <c r="E83" s="858"/>
      <c r="F83" s="858"/>
      <c r="G83" s="858"/>
      <c r="H83" s="858"/>
      <c r="I83" s="858"/>
      <c r="J83" s="858"/>
      <c r="K83" s="858"/>
      <c r="L83" s="858"/>
      <c r="M83" s="858"/>
      <c r="N83" s="858"/>
      <c r="O83" s="858"/>
      <c r="P83" s="858"/>
      <c r="Q83" s="858"/>
      <c r="R83" s="858"/>
      <c r="S83" s="858"/>
      <c r="T83" s="858"/>
      <c r="U83" s="858"/>
      <c r="V83" s="858"/>
      <c r="W83" s="858"/>
      <c r="X83" s="858"/>
      <c r="Y83" s="858"/>
      <c r="Z83" s="858"/>
      <c r="AA83" s="858"/>
      <c r="AB83" s="858"/>
      <c r="AC83" s="858"/>
      <c r="AD83" s="858"/>
      <c r="AE83" s="858"/>
      <c r="AF83" s="858"/>
      <c r="AG83" s="858"/>
      <c r="AH83" s="859"/>
      <c r="AI83" s="83"/>
      <c r="AJ83" s="83"/>
      <c r="AK83" s="848"/>
      <c r="AL83" s="848"/>
      <c r="AM83" s="848"/>
      <c r="AN83" s="848"/>
      <c r="AO83" s="848"/>
      <c r="AP83" s="848"/>
      <c r="AQ83" s="848"/>
      <c r="AR83" s="848"/>
      <c r="AS83" s="848"/>
      <c r="AT83" s="848"/>
      <c r="AU83" s="848"/>
      <c r="AV83" s="848"/>
      <c r="AW83" s="848"/>
      <c r="AX83" s="848"/>
      <c r="AY83" s="848"/>
      <c r="AZ83" s="848"/>
      <c r="BA83" s="848"/>
      <c r="BB83" s="848"/>
      <c r="BC83" s="848"/>
      <c r="BD83" s="848"/>
      <c r="BE83" s="848"/>
      <c r="BF83" s="848"/>
      <c r="BG83" s="848"/>
      <c r="BH83" s="848"/>
      <c r="BI83" s="848"/>
      <c r="BJ83" s="848"/>
      <c r="BK83" s="848"/>
      <c r="BL83" s="848"/>
      <c r="BM83" s="848"/>
      <c r="BN83" s="848"/>
      <c r="BO83" s="848"/>
      <c r="BP83" s="848"/>
      <c r="BQ83" s="848"/>
      <c r="BR83" s="848"/>
      <c r="BS83" s="848"/>
      <c r="BT83" s="848"/>
      <c r="BU83" s="848"/>
      <c r="BV83" s="848"/>
      <c r="BW83" s="848"/>
      <c r="BX83" s="848"/>
      <c r="BY83" s="848"/>
      <c r="BZ83" s="848"/>
      <c r="CA83" s="848"/>
      <c r="CB83" s="848"/>
      <c r="CC83" s="848"/>
      <c r="CD83" s="848"/>
      <c r="CE83" s="848"/>
      <c r="CF83" s="848"/>
      <c r="CG83" s="848"/>
      <c r="CH83" s="848"/>
      <c r="CI83" s="848"/>
      <c r="CJ83" s="848"/>
      <c r="CK83" s="848"/>
      <c r="CL83" s="848"/>
      <c r="CM83" s="848"/>
      <c r="CN83" s="848"/>
      <c r="CO83" s="848"/>
      <c r="CP83" s="848"/>
      <c r="CQ83" s="848"/>
      <c r="CR83" s="848"/>
      <c r="CS83" s="848"/>
      <c r="CT83" s="848"/>
      <c r="CU83" s="848"/>
      <c r="CV83" s="848"/>
      <c r="CW83" s="848"/>
      <c r="CX83" s="848"/>
      <c r="CY83" s="848"/>
      <c r="CZ83" s="848"/>
      <c r="DA83" s="848"/>
      <c r="DB83" s="848"/>
      <c r="DC83" s="848"/>
      <c r="DD83" s="848"/>
      <c r="DE83" s="848"/>
      <c r="DF83" s="848"/>
      <c r="DG83" s="848"/>
      <c r="DH83" s="848"/>
      <c r="DI83" s="848"/>
      <c r="DJ83" s="848"/>
    </row>
    <row r="84" spans="1:114" ht="12.75">
      <c r="A84" s="860"/>
      <c r="B84" s="858"/>
      <c r="C84" s="858"/>
      <c r="D84" s="858"/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8"/>
      <c r="R84" s="858"/>
      <c r="S84" s="858"/>
      <c r="T84" s="858"/>
      <c r="U84" s="858"/>
      <c r="V84" s="858"/>
      <c r="W84" s="858"/>
      <c r="X84" s="858"/>
      <c r="Y84" s="858"/>
      <c r="Z84" s="858"/>
      <c r="AA84" s="858"/>
      <c r="AB84" s="858"/>
      <c r="AC84" s="858"/>
      <c r="AD84" s="858"/>
      <c r="AE84" s="858"/>
      <c r="AF84" s="858"/>
      <c r="AG84" s="858"/>
      <c r="AH84" s="859"/>
      <c r="AI84" s="83"/>
      <c r="AJ84" s="83"/>
      <c r="AK84" s="848"/>
      <c r="AL84" s="848"/>
      <c r="AM84" s="848"/>
      <c r="AN84" s="848"/>
      <c r="AO84" s="848"/>
      <c r="AP84" s="848"/>
      <c r="AQ84" s="848"/>
      <c r="AR84" s="848"/>
      <c r="AS84" s="848"/>
      <c r="AT84" s="848"/>
      <c r="AU84" s="848"/>
      <c r="AV84" s="848"/>
      <c r="AW84" s="848"/>
      <c r="AX84" s="848"/>
      <c r="AY84" s="848"/>
      <c r="AZ84" s="848"/>
      <c r="BA84" s="848"/>
      <c r="BB84" s="848"/>
      <c r="BC84" s="848"/>
      <c r="BD84" s="848"/>
      <c r="BE84" s="848"/>
      <c r="BF84" s="848"/>
      <c r="BG84" s="848"/>
      <c r="BH84" s="848"/>
      <c r="BI84" s="848"/>
      <c r="BJ84" s="848"/>
      <c r="BK84" s="848"/>
      <c r="BL84" s="848"/>
      <c r="BM84" s="848"/>
      <c r="BN84" s="848"/>
      <c r="BO84" s="848"/>
      <c r="BP84" s="848"/>
      <c r="BQ84" s="848"/>
      <c r="BR84" s="848"/>
      <c r="BS84" s="848"/>
      <c r="BT84" s="848"/>
      <c r="BU84" s="848"/>
      <c r="BV84" s="848"/>
      <c r="BW84" s="848"/>
      <c r="BX84" s="848"/>
      <c r="BY84" s="848"/>
      <c r="BZ84" s="848"/>
      <c r="CA84" s="848"/>
      <c r="CB84" s="848"/>
      <c r="CC84" s="848"/>
      <c r="CD84" s="848"/>
      <c r="CE84" s="848"/>
      <c r="CF84" s="848"/>
      <c r="CG84" s="848"/>
      <c r="CH84" s="848"/>
      <c r="CI84" s="848"/>
      <c r="CJ84" s="848"/>
      <c r="CK84" s="848"/>
      <c r="CL84" s="848"/>
      <c r="CM84" s="848"/>
      <c r="CN84" s="848"/>
      <c r="CO84" s="848"/>
      <c r="CP84" s="848"/>
      <c r="CQ84" s="848"/>
      <c r="CR84" s="848"/>
      <c r="CS84" s="848"/>
      <c r="CT84" s="848"/>
      <c r="CU84" s="848"/>
      <c r="CV84" s="848"/>
      <c r="CW84" s="848"/>
      <c r="CX84" s="848"/>
      <c r="CY84" s="848"/>
      <c r="CZ84" s="848"/>
      <c r="DA84" s="848"/>
      <c r="DB84" s="848"/>
      <c r="DC84" s="848"/>
      <c r="DD84" s="848"/>
      <c r="DE84" s="848"/>
      <c r="DF84" s="848"/>
      <c r="DG84" s="848"/>
      <c r="DH84" s="848"/>
      <c r="DI84" s="848"/>
      <c r="DJ84" s="848"/>
    </row>
    <row r="85" spans="1:114" ht="12.75">
      <c r="A85" s="860"/>
      <c r="B85" s="858"/>
      <c r="C85" s="858"/>
      <c r="D85" s="858"/>
      <c r="E85" s="858"/>
      <c r="F85" s="858"/>
      <c r="G85" s="858"/>
      <c r="H85" s="858"/>
      <c r="I85" s="858"/>
      <c r="J85" s="858"/>
      <c r="K85" s="858"/>
      <c r="L85" s="858"/>
      <c r="M85" s="858"/>
      <c r="N85" s="858"/>
      <c r="O85" s="858"/>
      <c r="P85" s="858"/>
      <c r="Q85" s="858"/>
      <c r="R85" s="858"/>
      <c r="S85" s="858"/>
      <c r="T85" s="858"/>
      <c r="U85" s="858"/>
      <c r="V85" s="858"/>
      <c r="W85" s="858"/>
      <c r="X85" s="858"/>
      <c r="Y85" s="858"/>
      <c r="Z85" s="858"/>
      <c r="AA85" s="858"/>
      <c r="AB85" s="858"/>
      <c r="AC85" s="858"/>
      <c r="AD85" s="858"/>
      <c r="AE85" s="858"/>
      <c r="AF85" s="858"/>
      <c r="AG85" s="858"/>
      <c r="AH85" s="859"/>
      <c r="AI85" s="83"/>
      <c r="AJ85" s="83"/>
      <c r="AK85" s="848"/>
      <c r="AL85" s="848"/>
      <c r="AM85" s="848"/>
      <c r="AN85" s="848"/>
      <c r="AO85" s="848"/>
      <c r="AP85" s="848"/>
      <c r="AQ85" s="848"/>
      <c r="AR85" s="848"/>
      <c r="AS85" s="848"/>
      <c r="AT85" s="848"/>
      <c r="AU85" s="848"/>
      <c r="AV85" s="848"/>
      <c r="AW85" s="848"/>
      <c r="AX85" s="848"/>
      <c r="AY85" s="848"/>
      <c r="AZ85" s="848"/>
      <c r="BA85" s="848"/>
      <c r="BB85" s="848"/>
      <c r="BC85" s="848"/>
      <c r="BD85" s="848"/>
      <c r="BE85" s="848"/>
      <c r="BF85" s="848"/>
      <c r="BG85" s="848"/>
      <c r="BH85" s="848"/>
      <c r="BI85" s="848"/>
      <c r="BJ85" s="848"/>
      <c r="BK85" s="848"/>
      <c r="BL85" s="848"/>
      <c r="BM85" s="848"/>
      <c r="BN85" s="848"/>
      <c r="BO85" s="848"/>
      <c r="BP85" s="848"/>
      <c r="BQ85" s="848"/>
      <c r="BR85" s="848"/>
      <c r="BS85" s="848"/>
      <c r="BT85" s="848"/>
      <c r="BU85" s="848"/>
      <c r="BV85" s="848"/>
      <c r="BW85" s="848"/>
      <c r="BX85" s="848"/>
      <c r="BY85" s="848"/>
      <c r="BZ85" s="848"/>
      <c r="CA85" s="848"/>
      <c r="CB85" s="848"/>
      <c r="CC85" s="848"/>
      <c r="CD85" s="848"/>
      <c r="CE85" s="848"/>
      <c r="CF85" s="848"/>
      <c r="CG85" s="848"/>
      <c r="CH85" s="848"/>
      <c r="CI85" s="848"/>
      <c r="CJ85" s="848"/>
      <c r="CK85" s="848"/>
      <c r="CL85" s="848"/>
      <c r="CM85" s="848"/>
      <c r="CN85" s="848"/>
      <c r="CO85" s="848"/>
      <c r="CP85" s="848"/>
      <c r="CQ85" s="848"/>
      <c r="CR85" s="848"/>
      <c r="CS85" s="848"/>
      <c r="CT85" s="848"/>
      <c r="CU85" s="848"/>
      <c r="CV85" s="848"/>
      <c r="CW85" s="848"/>
      <c r="CX85" s="848"/>
      <c r="CY85" s="848"/>
      <c r="CZ85" s="848"/>
      <c r="DA85" s="848"/>
      <c r="DB85" s="848"/>
      <c r="DC85" s="848"/>
      <c r="DD85" s="848"/>
      <c r="DE85" s="848"/>
      <c r="DF85" s="848"/>
      <c r="DG85" s="848"/>
      <c r="DH85" s="848"/>
      <c r="DI85" s="848"/>
      <c r="DJ85" s="848"/>
    </row>
    <row r="86" spans="1:114" ht="12.75">
      <c r="A86" s="860"/>
      <c r="B86" s="858"/>
      <c r="C86" s="858"/>
      <c r="D86" s="858"/>
      <c r="E86" s="858"/>
      <c r="F86" s="858"/>
      <c r="G86" s="858"/>
      <c r="H86" s="858"/>
      <c r="I86" s="858"/>
      <c r="J86" s="858"/>
      <c r="K86" s="858"/>
      <c r="L86" s="858"/>
      <c r="M86" s="858"/>
      <c r="N86" s="858"/>
      <c r="O86" s="858"/>
      <c r="P86" s="858"/>
      <c r="Q86" s="858"/>
      <c r="R86" s="858"/>
      <c r="S86" s="858"/>
      <c r="T86" s="858"/>
      <c r="U86" s="858"/>
      <c r="V86" s="858"/>
      <c r="W86" s="858"/>
      <c r="X86" s="858"/>
      <c r="Y86" s="858"/>
      <c r="Z86" s="858"/>
      <c r="AA86" s="858"/>
      <c r="AB86" s="858"/>
      <c r="AC86" s="858"/>
      <c r="AD86" s="858"/>
      <c r="AE86" s="858"/>
      <c r="AF86" s="858"/>
      <c r="AG86" s="858"/>
      <c r="AH86" s="859"/>
      <c r="AI86" s="83"/>
      <c r="AJ86" s="83"/>
      <c r="AK86" s="848"/>
      <c r="AL86" s="848"/>
      <c r="AM86" s="848"/>
      <c r="AN86" s="848"/>
      <c r="AO86" s="848"/>
      <c r="AP86" s="848"/>
      <c r="AQ86" s="848"/>
      <c r="AR86" s="848"/>
      <c r="AS86" s="848"/>
      <c r="AT86" s="848"/>
      <c r="AU86" s="848"/>
      <c r="AV86" s="848"/>
      <c r="AW86" s="848"/>
      <c r="AX86" s="848"/>
      <c r="AY86" s="848"/>
      <c r="AZ86" s="848"/>
      <c r="BA86" s="848"/>
      <c r="BB86" s="848"/>
      <c r="BC86" s="848"/>
      <c r="BD86" s="848"/>
      <c r="BE86" s="848"/>
      <c r="BF86" s="848"/>
      <c r="BG86" s="848"/>
      <c r="BH86" s="848"/>
      <c r="BI86" s="848"/>
      <c r="BJ86" s="848"/>
      <c r="BK86" s="848"/>
      <c r="BL86" s="848"/>
      <c r="BM86" s="848"/>
      <c r="BN86" s="848"/>
      <c r="BO86" s="848"/>
      <c r="BP86" s="848"/>
      <c r="BQ86" s="848"/>
      <c r="BR86" s="848"/>
      <c r="BS86" s="848"/>
      <c r="BT86" s="848"/>
      <c r="BU86" s="848"/>
      <c r="BV86" s="848"/>
      <c r="BW86" s="848"/>
      <c r="BX86" s="848"/>
      <c r="BY86" s="848"/>
      <c r="BZ86" s="848"/>
      <c r="CA86" s="848"/>
      <c r="CB86" s="848"/>
      <c r="CC86" s="848"/>
      <c r="CD86" s="848"/>
      <c r="CE86" s="848"/>
      <c r="CF86" s="848"/>
      <c r="CG86" s="848"/>
      <c r="CH86" s="848"/>
      <c r="CI86" s="848"/>
      <c r="CJ86" s="848"/>
      <c r="CK86" s="848"/>
      <c r="CL86" s="848"/>
      <c r="CM86" s="848"/>
      <c r="CN86" s="848"/>
      <c r="CO86" s="848"/>
      <c r="CP86" s="848"/>
      <c r="CQ86" s="848"/>
      <c r="CR86" s="848"/>
      <c r="CS86" s="848"/>
      <c r="CT86" s="848"/>
      <c r="CU86" s="848"/>
      <c r="CV86" s="848"/>
      <c r="CW86" s="848"/>
      <c r="CX86" s="848"/>
      <c r="CY86" s="848"/>
      <c r="CZ86" s="848"/>
      <c r="DA86" s="848"/>
      <c r="DB86" s="848"/>
      <c r="DC86" s="848"/>
      <c r="DD86" s="848"/>
      <c r="DE86" s="848"/>
      <c r="DF86" s="848"/>
      <c r="DG86" s="848"/>
      <c r="DH86" s="848"/>
      <c r="DI86" s="848"/>
      <c r="DJ86" s="848"/>
    </row>
    <row r="87" spans="1:114" s="3" customFormat="1" ht="12.75">
      <c r="A87" s="860"/>
      <c r="B87" s="858"/>
      <c r="C87" s="858"/>
      <c r="D87" s="858"/>
      <c r="E87" s="858"/>
      <c r="F87" s="858"/>
      <c r="G87" s="858"/>
      <c r="H87" s="858"/>
      <c r="I87" s="858"/>
      <c r="J87" s="858"/>
      <c r="K87" s="858"/>
      <c r="L87" s="858"/>
      <c r="M87" s="858"/>
      <c r="N87" s="858"/>
      <c r="O87" s="858"/>
      <c r="P87" s="858"/>
      <c r="Q87" s="858"/>
      <c r="R87" s="858"/>
      <c r="S87" s="858"/>
      <c r="T87" s="858"/>
      <c r="U87" s="858"/>
      <c r="V87" s="858"/>
      <c r="W87" s="858"/>
      <c r="X87" s="858"/>
      <c r="Y87" s="858"/>
      <c r="Z87" s="858"/>
      <c r="AA87" s="858"/>
      <c r="AB87" s="858"/>
      <c r="AC87" s="858"/>
      <c r="AD87" s="858"/>
      <c r="AE87" s="858"/>
      <c r="AF87" s="858"/>
      <c r="AG87" s="858"/>
      <c r="AH87" s="859"/>
      <c r="AI87" s="83"/>
      <c r="AJ87" s="83"/>
      <c r="AK87" s="848"/>
      <c r="AL87" s="848"/>
      <c r="AM87" s="848"/>
      <c r="AN87" s="848"/>
      <c r="AO87" s="848"/>
      <c r="AP87" s="848"/>
      <c r="AQ87" s="848"/>
      <c r="AR87" s="848"/>
      <c r="AS87" s="848"/>
      <c r="AT87" s="848"/>
      <c r="AU87" s="848"/>
      <c r="AV87" s="848"/>
      <c r="AW87" s="848"/>
      <c r="AX87" s="848"/>
      <c r="AY87" s="848"/>
      <c r="AZ87" s="848"/>
      <c r="BA87" s="848"/>
      <c r="BB87" s="848"/>
      <c r="BC87" s="848"/>
      <c r="BD87" s="848"/>
      <c r="BE87" s="848"/>
      <c r="BF87" s="848"/>
      <c r="BG87" s="848"/>
      <c r="BH87" s="848"/>
      <c r="BI87" s="848"/>
      <c r="BJ87" s="848"/>
      <c r="BK87" s="848"/>
      <c r="BL87" s="848"/>
      <c r="BM87" s="848"/>
      <c r="BN87" s="848"/>
      <c r="BO87" s="848"/>
      <c r="BP87" s="848"/>
      <c r="BQ87" s="848"/>
      <c r="BR87" s="848"/>
      <c r="BS87" s="848"/>
      <c r="BT87" s="848"/>
      <c r="BU87" s="848"/>
      <c r="BV87" s="848"/>
      <c r="BW87" s="848"/>
      <c r="BX87" s="848"/>
      <c r="BY87" s="848"/>
      <c r="BZ87" s="848"/>
      <c r="CA87" s="848"/>
      <c r="CB87" s="848"/>
      <c r="CC87" s="848"/>
      <c r="CD87" s="848"/>
      <c r="CE87" s="848"/>
      <c r="CF87" s="848"/>
      <c r="CG87" s="848"/>
      <c r="CH87" s="848"/>
      <c r="CI87" s="848"/>
      <c r="CJ87" s="848"/>
      <c r="CK87" s="848"/>
      <c r="CL87" s="848"/>
      <c r="CM87" s="848"/>
      <c r="CN87" s="848"/>
      <c r="CO87" s="848"/>
      <c r="CP87" s="848"/>
      <c r="CQ87" s="848"/>
      <c r="CR87" s="848"/>
      <c r="CS87" s="848"/>
      <c r="CT87" s="848"/>
      <c r="CU87" s="848"/>
      <c r="CV87" s="848"/>
      <c r="CW87" s="848"/>
      <c r="CX87" s="848"/>
      <c r="CY87" s="848"/>
      <c r="CZ87" s="848"/>
      <c r="DA87" s="848"/>
      <c r="DB87" s="848"/>
      <c r="DC87" s="848"/>
      <c r="DD87" s="848"/>
      <c r="DE87" s="848"/>
      <c r="DF87" s="848"/>
      <c r="DG87" s="848"/>
      <c r="DH87" s="848"/>
      <c r="DI87" s="848"/>
      <c r="DJ87" s="848"/>
    </row>
    <row r="88" spans="1:114" s="4" customFormat="1" ht="12.75">
      <c r="A88" s="860"/>
      <c r="B88" s="858"/>
      <c r="C88" s="858"/>
      <c r="D88" s="858"/>
      <c r="E88" s="858"/>
      <c r="F88" s="858"/>
      <c r="G88" s="858"/>
      <c r="H88" s="858"/>
      <c r="I88" s="858"/>
      <c r="J88" s="858"/>
      <c r="K88" s="858"/>
      <c r="L88" s="858"/>
      <c r="M88" s="858"/>
      <c r="N88" s="858"/>
      <c r="O88" s="858"/>
      <c r="P88" s="858"/>
      <c r="Q88" s="858"/>
      <c r="R88" s="858"/>
      <c r="S88" s="858"/>
      <c r="T88" s="858"/>
      <c r="U88" s="858"/>
      <c r="V88" s="858"/>
      <c r="W88" s="858"/>
      <c r="X88" s="858"/>
      <c r="Y88" s="858"/>
      <c r="Z88" s="858"/>
      <c r="AA88" s="858"/>
      <c r="AB88" s="858"/>
      <c r="AC88" s="858"/>
      <c r="AD88" s="858"/>
      <c r="AE88" s="858"/>
      <c r="AF88" s="858"/>
      <c r="AG88" s="858"/>
      <c r="AH88" s="859"/>
      <c r="AI88" s="83"/>
      <c r="AJ88" s="83"/>
      <c r="AK88" s="848"/>
      <c r="AL88" s="848"/>
      <c r="AM88" s="848"/>
      <c r="AN88" s="848"/>
      <c r="AO88" s="848"/>
      <c r="AP88" s="848"/>
      <c r="AQ88" s="848"/>
      <c r="AR88" s="848"/>
      <c r="AS88" s="848"/>
      <c r="AT88" s="848"/>
      <c r="AU88" s="848"/>
      <c r="AV88" s="848"/>
      <c r="AW88" s="848"/>
      <c r="AX88" s="848"/>
      <c r="AY88" s="848"/>
      <c r="AZ88" s="848"/>
      <c r="BA88" s="848"/>
      <c r="BB88" s="848"/>
      <c r="BC88" s="848"/>
      <c r="BD88" s="848"/>
      <c r="BE88" s="848"/>
      <c r="BF88" s="848"/>
      <c r="BG88" s="848"/>
      <c r="BH88" s="848"/>
      <c r="BI88" s="848"/>
      <c r="BJ88" s="848"/>
      <c r="BK88" s="848"/>
      <c r="BL88" s="848"/>
      <c r="BM88" s="848"/>
      <c r="BN88" s="848"/>
      <c r="BO88" s="848"/>
      <c r="BP88" s="848"/>
      <c r="BQ88" s="848"/>
      <c r="BR88" s="848"/>
      <c r="BS88" s="848"/>
      <c r="BT88" s="848"/>
      <c r="BU88" s="848"/>
      <c r="BV88" s="848"/>
      <c r="BW88" s="848"/>
      <c r="BX88" s="848"/>
      <c r="BY88" s="848"/>
      <c r="BZ88" s="848"/>
      <c r="CA88" s="848"/>
      <c r="CB88" s="848"/>
      <c r="CC88" s="848"/>
      <c r="CD88" s="848"/>
      <c r="CE88" s="848"/>
      <c r="CF88" s="848"/>
      <c r="CG88" s="848"/>
      <c r="CH88" s="848"/>
      <c r="CI88" s="848"/>
      <c r="CJ88" s="848"/>
      <c r="CK88" s="848"/>
      <c r="CL88" s="848"/>
      <c r="CM88" s="848"/>
      <c r="CN88" s="848"/>
      <c r="CO88" s="848"/>
      <c r="CP88" s="848"/>
      <c r="CQ88" s="848"/>
      <c r="CR88" s="848"/>
      <c r="CS88" s="848"/>
      <c r="CT88" s="848"/>
      <c r="CU88" s="848"/>
      <c r="CV88" s="848"/>
      <c r="CW88" s="848"/>
      <c r="CX88" s="848"/>
      <c r="CY88" s="848"/>
      <c r="CZ88" s="848"/>
      <c r="DA88" s="848"/>
      <c r="DB88" s="848"/>
      <c r="DC88" s="848"/>
      <c r="DD88" s="848"/>
      <c r="DE88" s="848"/>
      <c r="DF88" s="848"/>
      <c r="DG88" s="848"/>
      <c r="DH88" s="848"/>
      <c r="DI88" s="848"/>
      <c r="DJ88" s="848"/>
    </row>
    <row r="89" spans="1:114" ht="12.75">
      <c r="A89" s="860"/>
      <c r="B89" s="858"/>
      <c r="C89" s="858"/>
      <c r="D89" s="858"/>
      <c r="E89" s="858"/>
      <c r="F89" s="858"/>
      <c r="G89" s="858"/>
      <c r="H89" s="858"/>
      <c r="I89" s="858"/>
      <c r="J89" s="858"/>
      <c r="K89" s="858"/>
      <c r="L89" s="858"/>
      <c r="M89" s="858"/>
      <c r="N89" s="858"/>
      <c r="O89" s="858"/>
      <c r="P89" s="858"/>
      <c r="Q89" s="858"/>
      <c r="R89" s="858"/>
      <c r="S89" s="858"/>
      <c r="T89" s="858"/>
      <c r="U89" s="858"/>
      <c r="V89" s="858"/>
      <c r="W89" s="858"/>
      <c r="X89" s="858"/>
      <c r="Y89" s="858"/>
      <c r="Z89" s="858"/>
      <c r="AA89" s="858"/>
      <c r="AB89" s="858"/>
      <c r="AC89" s="858"/>
      <c r="AD89" s="858"/>
      <c r="AE89" s="858"/>
      <c r="AF89" s="858"/>
      <c r="AG89" s="858"/>
      <c r="AH89" s="859"/>
      <c r="AI89" s="83"/>
      <c r="AJ89" s="83"/>
      <c r="AK89" s="848"/>
      <c r="AL89" s="848"/>
      <c r="AM89" s="848"/>
      <c r="AN89" s="848"/>
      <c r="AO89" s="848"/>
      <c r="AP89" s="848"/>
      <c r="AQ89" s="848"/>
      <c r="AR89" s="848"/>
      <c r="AS89" s="848"/>
      <c r="AT89" s="848"/>
      <c r="AU89" s="848"/>
      <c r="AV89" s="848"/>
      <c r="AW89" s="848"/>
      <c r="AX89" s="848"/>
      <c r="AY89" s="848"/>
      <c r="AZ89" s="848"/>
      <c r="BA89" s="848"/>
      <c r="BB89" s="848"/>
      <c r="BC89" s="848"/>
      <c r="BD89" s="848"/>
      <c r="BE89" s="848"/>
      <c r="BF89" s="848"/>
      <c r="BG89" s="848"/>
      <c r="BH89" s="848"/>
      <c r="BI89" s="848"/>
      <c r="BJ89" s="848"/>
      <c r="BK89" s="848"/>
      <c r="BL89" s="848"/>
      <c r="BM89" s="848"/>
      <c r="BN89" s="848"/>
      <c r="BO89" s="848"/>
      <c r="BP89" s="848"/>
      <c r="BQ89" s="848"/>
      <c r="BR89" s="848"/>
      <c r="BS89" s="848"/>
      <c r="BT89" s="848"/>
      <c r="BU89" s="848"/>
      <c r="BV89" s="848"/>
      <c r="BW89" s="848"/>
      <c r="BX89" s="848"/>
      <c r="BY89" s="848"/>
      <c r="BZ89" s="848"/>
      <c r="CA89" s="848"/>
      <c r="CB89" s="848"/>
      <c r="CC89" s="848"/>
      <c r="CD89" s="848"/>
      <c r="CE89" s="848"/>
      <c r="CF89" s="848"/>
      <c r="CG89" s="848"/>
      <c r="CH89" s="848"/>
      <c r="CI89" s="848"/>
      <c r="CJ89" s="848"/>
      <c r="CK89" s="848"/>
      <c r="CL89" s="848"/>
      <c r="CM89" s="848"/>
      <c r="CN89" s="848"/>
      <c r="CO89" s="848"/>
      <c r="CP89" s="848"/>
      <c r="CQ89" s="848"/>
      <c r="CR89" s="848"/>
      <c r="CS89" s="848"/>
      <c r="CT89" s="848"/>
      <c r="CU89" s="848"/>
      <c r="CV89" s="848"/>
      <c r="CW89" s="848"/>
      <c r="CX89" s="848"/>
      <c r="CY89" s="848"/>
      <c r="CZ89" s="848"/>
      <c r="DA89" s="848"/>
      <c r="DB89" s="848"/>
      <c r="DC89" s="848"/>
      <c r="DD89" s="848"/>
      <c r="DE89" s="848"/>
      <c r="DF89" s="848"/>
      <c r="DG89" s="848"/>
      <c r="DH89" s="848"/>
      <c r="DI89" s="848"/>
      <c r="DJ89" s="848"/>
    </row>
    <row r="90" spans="1:114" ht="12.75">
      <c r="A90" s="860"/>
      <c r="B90" s="858"/>
      <c r="C90" s="858"/>
      <c r="D90" s="858"/>
      <c r="E90" s="858"/>
      <c r="F90" s="858"/>
      <c r="G90" s="858"/>
      <c r="H90" s="858"/>
      <c r="I90" s="858"/>
      <c r="J90" s="858"/>
      <c r="K90" s="858"/>
      <c r="L90" s="858"/>
      <c r="M90" s="858"/>
      <c r="N90" s="858"/>
      <c r="O90" s="858"/>
      <c r="P90" s="858"/>
      <c r="Q90" s="858"/>
      <c r="R90" s="858"/>
      <c r="S90" s="858"/>
      <c r="T90" s="858"/>
      <c r="U90" s="858"/>
      <c r="V90" s="858"/>
      <c r="W90" s="858"/>
      <c r="X90" s="858"/>
      <c r="Y90" s="858"/>
      <c r="Z90" s="858"/>
      <c r="AA90" s="858"/>
      <c r="AB90" s="858"/>
      <c r="AC90" s="858"/>
      <c r="AD90" s="858"/>
      <c r="AE90" s="858"/>
      <c r="AF90" s="858"/>
      <c r="AG90" s="858"/>
      <c r="AH90" s="859"/>
      <c r="AI90" s="83"/>
      <c r="AJ90" s="83"/>
      <c r="AK90" s="848"/>
      <c r="AL90" s="848"/>
      <c r="AM90" s="848"/>
      <c r="AN90" s="848"/>
      <c r="AO90" s="848"/>
      <c r="AP90" s="848"/>
      <c r="AQ90" s="848"/>
      <c r="AR90" s="848"/>
      <c r="AS90" s="848"/>
      <c r="AT90" s="848"/>
      <c r="AU90" s="848"/>
      <c r="AV90" s="848"/>
      <c r="AW90" s="848"/>
      <c r="AX90" s="848"/>
      <c r="AY90" s="848"/>
      <c r="AZ90" s="848"/>
      <c r="BA90" s="848"/>
      <c r="BB90" s="848"/>
      <c r="BC90" s="848"/>
      <c r="BD90" s="848"/>
      <c r="BE90" s="848"/>
      <c r="BF90" s="848"/>
      <c r="BG90" s="848"/>
      <c r="BH90" s="848"/>
      <c r="BI90" s="848"/>
      <c r="BJ90" s="848"/>
      <c r="BK90" s="848"/>
      <c r="BL90" s="848"/>
      <c r="BM90" s="848"/>
      <c r="BN90" s="848"/>
      <c r="BO90" s="848"/>
      <c r="BP90" s="848"/>
      <c r="BQ90" s="848"/>
      <c r="BR90" s="848"/>
      <c r="BS90" s="848"/>
      <c r="BT90" s="848"/>
      <c r="BU90" s="848"/>
      <c r="BV90" s="848"/>
      <c r="BW90" s="848"/>
      <c r="BX90" s="848"/>
      <c r="BY90" s="848"/>
      <c r="BZ90" s="848"/>
      <c r="CA90" s="848"/>
      <c r="CB90" s="848"/>
      <c r="CC90" s="848"/>
      <c r="CD90" s="848"/>
      <c r="CE90" s="848"/>
      <c r="CF90" s="848"/>
      <c r="CG90" s="848"/>
      <c r="CH90" s="848"/>
      <c r="CI90" s="848"/>
      <c r="CJ90" s="848"/>
      <c r="CK90" s="848"/>
      <c r="CL90" s="848"/>
      <c r="CM90" s="848"/>
      <c r="CN90" s="848"/>
      <c r="CO90" s="848"/>
      <c r="CP90" s="848"/>
      <c r="CQ90" s="848"/>
      <c r="CR90" s="848"/>
      <c r="CS90" s="848"/>
      <c r="CT90" s="848"/>
      <c r="CU90" s="848"/>
      <c r="CV90" s="848"/>
      <c r="CW90" s="848"/>
      <c r="CX90" s="848"/>
      <c r="CY90" s="848"/>
      <c r="CZ90" s="848"/>
      <c r="DA90" s="848"/>
      <c r="DB90" s="848"/>
      <c r="DC90" s="848"/>
      <c r="DD90" s="848"/>
      <c r="DE90" s="848"/>
      <c r="DF90" s="848"/>
      <c r="DG90" s="848"/>
      <c r="DH90" s="848"/>
      <c r="DI90" s="848"/>
      <c r="DJ90" s="848"/>
    </row>
    <row r="91" spans="1:114" s="3" customFormat="1" ht="12.75">
      <c r="A91" s="860"/>
      <c r="B91" s="858"/>
      <c r="C91" s="858"/>
      <c r="D91" s="858"/>
      <c r="E91" s="858"/>
      <c r="F91" s="858"/>
      <c r="G91" s="858"/>
      <c r="H91" s="858"/>
      <c r="I91" s="858"/>
      <c r="J91" s="858"/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858"/>
      <c r="X91" s="858"/>
      <c r="Y91" s="858"/>
      <c r="Z91" s="858"/>
      <c r="AA91" s="858"/>
      <c r="AB91" s="858"/>
      <c r="AC91" s="858"/>
      <c r="AD91" s="858"/>
      <c r="AE91" s="858"/>
      <c r="AF91" s="858"/>
      <c r="AG91" s="858"/>
      <c r="AH91" s="859"/>
      <c r="AI91" s="83"/>
      <c r="AJ91" s="83"/>
      <c r="AK91" s="848"/>
      <c r="AL91" s="848"/>
      <c r="AM91" s="848"/>
      <c r="AN91" s="848"/>
      <c r="AO91" s="848"/>
      <c r="AP91" s="848"/>
      <c r="AQ91" s="848"/>
      <c r="AR91" s="848"/>
      <c r="AS91" s="848"/>
      <c r="AT91" s="848"/>
      <c r="AU91" s="848"/>
      <c r="AV91" s="848"/>
      <c r="AW91" s="848"/>
      <c r="AX91" s="848"/>
      <c r="AY91" s="848"/>
      <c r="AZ91" s="848"/>
      <c r="BA91" s="848"/>
      <c r="BB91" s="848"/>
      <c r="BC91" s="848"/>
      <c r="BD91" s="848"/>
      <c r="BE91" s="848"/>
      <c r="BF91" s="848"/>
      <c r="BG91" s="848"/>
      <c r="BH91" s="848"/>
      <c r="BI91" s="848"/>
      <c r="BJ91" s="848"/>
      <c r="BK91" s="848"/>
      <c r="BL91" s="848"/>
      <c r="BM91" s="848"/>
      <c r="BN91" s="848"/>
      <c r="BO91" s="848"/>
      <c r="BP91" s="848"/>
      <c r="BQ91" s="848"/>
      <c r="BR91" s="848"/>
      <c r="BS91" s="848"/>
      <c r="BT91" s="848"/>
      <c r="BU91" s="848"/>
      <c r="BV91" s="848"/>
      <c r="BW91" s="848"/>
      <c r="BX91" s="848"/>
      <c r="BY91" s="848"/>
      <c r="BZ91" s="848"/>
      <c r="CA91" s="848"/>
      <c r="CB91" s="848"/>
      <c r="CC91" s="848"/>
      <c r="CD91" s="848"/>
      <c r="CE91" s="848"/>
      <c r="CF91" s="848"/>
      <c r="CG91" s="848"/>
      <c r="CH91" s="848"/>
      <c r="CI91" s="848"/>
      <c r="CJ91" s="848"/>
      <c r="CK91" s="848"/>
      <c r="CL91" s="848"/>
      <c r="CM91" s="848"/>
      <c r="CN91" s="848"/>
      <c r="CO91" s="848"/>
      <c r="CP91" s="848"/>
      <c r="CQ91" s="848"/>
      <c r="CR91" s="848"/>
      <c r="CS91" s="848"/>
      <c r="CT91" s="848"/>
      <c r="CU91" s="848"/>
      <c r="CV91" s="848"/>
      <c r="CW91" s="848"/>
      <c r="CX91" s="848"/>
      <c r="CY91" s="848"/>
      <c r="CZ91" s="848"/>
      <c r="DA91" s="848"/>
      <c r="DB91" s="848"/>
      <c r="DC91" s="848"/>
      <c r="DD91" s="848"/>
      <c r="DE91" s="848"/>
      <c r="DF91" s="848"/>
      <c r="DG91" s="848"/>
      <c r="DH91" s="848"/>
      <c r="DI91" s="848"/>
      <c r="DJ91" s="848"/>
    </row>
    <row r="92" spans="1:114" s="4" customFormat="1" ht="12.75">
      <c r="A92" s="860"/>
      <c r="B92" s="858"/>
      <c r="C92" s="858"/>
      <c r="D92" s="858"/>
      <c r="E92" s="858"/>
      <c r="F92" s="858"/>
      <c r="G92" s="858"/>
      <c r="H92" s="858"/>
      <c r="I92" s="858"/>
      <c r="J92" s="858"/>
      <c r="K92" s="858"/>
      <c r="L92" s="858"/>
      <c r="M92" s="858"/>
      <c r="N92" s="858"/>
      <c r="O92" s="858"/>
      <c r="P92" s="858"/>
      <c r="Q92" s="858"/>
      <c r="R92" s="858"/>
      <c r="S92" s="858"/>
      <c r="T92" s="858"/>
      <c r="U92" s="858"/>
      <c r="V92" s="858"/>
      <c r="W92" s="858"/>
      <c r="X92" s="858"/>
      <c r="Y92" s="858"/>
      <c r="Z92" s="858"/>
      <c r="AA92" s="858"/>
      <c r="AB92" s="858"/>
      <c r="AC92" s="858"/>
      <c r="AD92" s="858"/>
      <c r="AE92" s="858"/>
      <c r="AF92" s="858"/>
      <c r="AG92" s="858"/>
      <c r="AH92" s="859"/>
      <c r="AI92" s="83"/>
      <c r="AJ92" s="83"/>
      <c r="AK92" s="848"/>
      <c r="AL92" s="848"/>
      <c r="AM92" s="848"/>
      <c r="AN92" s="848"/>
      <c r="AO92" s="848"/>
      <c r="AP92" s="848"/>
      <c r="AQ92" s="848"/>
      <c r="AR92" s="848"/>
      <c r="AS92" s="848"/>
      <c r="AT92" s="848"/>
      <c r="AU92" s="848"/>
      <c r="AV92" s="848"/>
      <c r="AW92" s="848"/>
      <c r="AX92" s="848"/>
      <c r="AY92" s="848"/>
      <c r="AZ92" s="848"/>
      <c r="BA92" s="848"/>
      <c r="BB92" s="848"/>
      <c r="BC92" s="848"/>
      <c r="BD92" s="848"/>
      <c r="BE92" s="848"/>
      <c r="BF92" s="848"/>
      <c r="BG92" s="848"/>
      <c r="BH92" s="848"/>
      <c r="BI92" s="848"/>
      <c r="BJ92" s="848"/>
      <c r="BK92" s="848"/>
      <c r="BL92" s="848"/>
      <c r="BM92" s="848"/>
      <c r="BN92" s="848"/>
      <c r="BO92" s="848"/>
      <c r="BP92" s="848"/>
      <c r="BQ92" s="848"/>
      <c r="BR92" s="848"/>
      <c r="BS92" s="848"/>
      <c r="BT92" s="848"/>
      <c r="BU92" s="848"/>
      <c r="BV92" s="848"/>
      <c r="BW92" s="848"/>
      <c r="BX92" s="848"/>
      <c r="BY92" s="848"/>
      <c r="BZ92" s="848"/>
      <c r="CA92" s="848"/>
      <c r="CB92" s="848"/>
      <c r="CC92" s="848"/>
      <c r="CD92" s="848"/>
      <c r="CE92" s="848"/>
      <c r="CF92" s="848"/>
      <c r="CG92" s="848"/>
      <c r="CH92" s="848"/>
      <c r="CI92" s="848"/>
      <c r="CJ92" s="848"/>
      <c r="CK92" s="848"/>
      <c r="CL92" s="848"/>
      <c r="CM92" s="848"/>
      <c r="CN92" s="848"/>
      <c r="CO92" s="848"/>
      <c r="CP92" s="848"/>
      <c r="CQ92" s="848"/>
      <c r="CR92" s="848"/>
      <c r="CS92" s="848"/>
      <c r="CT92" s="848"/>
      <c r="CU92" s="848"/>
      <c r="CV92" s="848"/>
      <c r="CW92" s="848"/>
      <c r="CX92" s="848"/>
      <c r="CY92" s="848"/>
      <c r="CZ92" s="848"/>
      <c r="DA92" s="848"/>
      <c r="DB92" s="848"/>
      <c r="DC92" s="848"/>
      <c r="DD92" s="848"/>
      <c r="DE92" s="848"/>
      <c r="DF92" s="848"/>
      <c r="DG92" s="848"/>
      <c r="DH92" s="848"/>
      <c r="DI92" s="848"/>
      <c r="DJ92" s="848"/>
    </row>
    <row r="93" spans="1:114" ht="12.75">
      <c r="A93" s="860"/>
      <c r="B93" s="858"/>
      <c r="C93" s="858"/>
      <c r="D93" s="858"/>
      <c r="E93" s="858"/>
      <c r="F93" s="858"/>
      <c r="G93" s="858"/>
      <c r="H93" s="858"/>
      <c r="I93" s="858"/>
      <c r="J93" s="858"/>
      <c r="K93" s="858"/>
      <c r="L93" s="858"/>
      <c r="M93" s="858"/>
      <c r="N93" s="858"/>
      <c r="O93" s="858"/>
      <c r="P93" s="858"/>
      <c r="Q93" s="858"/>
      <c r="R93" s="858"/>
      <c r="S93" s="858"/>
      <c r="T93" s="858"/>
      <c r="U93" s="858"/>
      <c r="V93" s="858"/>
      <c r="W93" s="858"/>
      <c r="X93" s="858"/>
      <c r="Y93" s="858"/>
      <c r="Z93" s="858"/>
      <c r="AA93" s="858"/>
      <c r="AB93" s="858"/>
      <c r="AC93" s="858"/>
      <c r="AD93" s="858"/>
      <c r="AE93" s="858"/>
      <c r="AF93" s="858"/>
      <c r="AG93" s="858"/>
      <c r="AH93" s="859"/>
      <c r="AI93" s="83"/>
      <c r="AJ93" s="83"/>
      <c r="AK93" s="848"/>
      <c r="AL93" s="848"/>
      <c r="AM93" s="848"/>
      <c r="AN93" s="848"/>
      <c r="AO93" s="848"/>
      <c r="AP93" s="848"/>
      <c r="AQ93" s="848"/>
      <c r="AR93" s="848"/>
      <c r="AS93" s="848"/>
      <c r="AT93" s="848"/>
      <c r="AU93" s="848"/>
      <c r="AV93" s="848"/>
      <c r="AW93" s="848"/>
      <c r="AX93" s="848"/>
      <c r="AY93" s="848"/>
      <c r="AZ93" s="848"/>
      <c r="BA93" s="848"/>
      <c r="BB93" s="848"/>
      <c r="BC93" s="848"/>
      <c r="BD93" s="848"/>
      <c r="BE93" s="848"/>
      <c r="BF93" s="848"/>
      <c r="BG93" s="848"/>
      <c r="BH93" s="848"/>
      <c r="BI93" s="848"/>
      <c r="BJ93" s="848"/>
      <c r="BK93" s="848"/>
      <c r="BL93" s="848"/>
      <c r="BM93" s="848"/>
      <c r="BN93" s="848"/>
      <c r="BO93" s="848"/>
      <c r="BP93" s="848"/>
      <c r="BQ93" s="848"/>
      <c r="BR93" s="848"/>
      <c r="BS93" s="848"/>
      <c r="BT93" s="848"/>
      <c r="BU93" s="848"/>
      <c r="BV93" s="848"/>
      <c r="BW93" s="848"/>
      <c r="BX93" s="848"/>
      <c r="BY93" s="848"/>
      <c r="BZ93" s="848"/>
      <c r="CA93" s="848"/>
      <c r="CB93" s="848"/>
      <c r="CC93" s="848"/>
      <c r="CD93" s="848"/>
      <c r="CE93" s="848"/>
      <c r="CF93" s="848"/>
      <c r="CG93" s="848"/>
      <c r="CH93" s="848"/>
      <c r="CI93" s="848"/>
      <c r="CJ93" s="848"/>
      <c r="CK93" s="848"/>
      <c r="CL93" s="848"/>
      <c r="CM93" s="848"/>
      <c r="CN93" s="848"/>
      <c r="CO93" s="848"/>
      <c r="CP93" s="848"/>
      <c r="CQ93" s="848"/>
      <c r="CR93" s="848"/>
      <c r="CS93" s="848"/>
      <c r="CT93" s="848"/>
      <c r="CU93" s="848"/>
      <c r="CV93" s="848"/>
      <c r="CW93" s="848"/>
      <c r="CX93" s="848"/>
      <c r="CY93" s="848"/>
      <c r="CZ93" s="848"/>
      <c r="DA93" s="848"/>
      <c r="DB93" s="848"/>
      <c r="DC93" s="848"/>
      <c r="DD93" s="848"/>
      <c r="DE93" s="848"/>
      <c r="DF93" s="848"/>
      <c r="DG93" s="848"/>
      <c r="DH93" s="848"/>
      <c r="DI93" s="848"/>
      <c r="DJ93" s="848"/>
    </row>
    <row r="94" spans="1:114" ht="12.75">
      <c r="A94" s="860"/>
      <c r="B94" s="858"/>
      <c r="C94" s="858"/>
      <c r="D94" s="858"/>
      <c r="E94" s="858"/>
      <c r="F94" s="858"/>
      <c r="G94" s="858"/>
      <c r="H94" s="858"/>
      <c r="I94" s="858"/>
      <c r="J94" s="858"/>
      <c r="K94" s="858"/>
      <c r="L94" s="858"/>
      <c r="M94" s="858"/>
      <c r="N94" s="858"/>
      <c r="O94" s="858"/>
      <c r="P94" s="858"/>
      <c r="Q94" s="858"/>
      <c r="R94" s="858"/>
      <c r="S94" s="858"/>
      <c r="T94" s="858"/>
      <c r="U94" s="858"/>
      <c r="V94" s="858"/>
      <c r="W94" s="858"/>
      <c r="X94" s="858"/>
      <c r="Y94" s="858"/>
      <c r="Z94" s="858"/>
      <c r="AA94" s="858"/>
      <c r="AB94" s="858"/>
      <c r="AC94" s="858"/>
      <c r="AD94" s="858"/>
      <c r="AE94" s="858"/>
      <c r="AF94" s="858"/>
      <c r="AG94" s="858"/>
      <c r="AH94" s="859"/>
      <c r="AI94" s="83"/>
      <c r="AJ94" s="83"/>
      <c r="AK94" s="848"/>
      <c r="AL94" s="848"/>
      <c r="AM94" s="848"/>
      <c r="AN94" s="848"/>
      <c r="AO94" s="848"/>
      <c r="AP94" s="848"/>
      <c r="AQ94" s="848"/>
      <c r="AR94" s="848"/>
      <c r="AS94" s="848"/>
      <c r="AT94" s="848"/>
      <c r="AU94" s="848"/>
      <c r="AV94" s="848"/>
      <c r="AW94" s="848"/>
      <c r="AX94" s="848"/>
      <c r="AY94" s="848"/>
      <c r="AZ94" s="848"/>
      <c r="BA94" s="848"/>
      <c r="BB94" s="848"/>
      <c r="BC94" s="848"/>
      <c r="BD94" s="848"/>
      <c r="BE94" s="848"/>
      <c r="BF94" s="848"/>
      <c r="BG94" s="848"/>
      <c r="BH94" s="848"/>
      <c r="BI94" s="848"/>
      <c r="BJ94" s="848"/>
      <c r="BK94" s="848"/>
      <c r="BL94" s="848"/>
      <c r="BM94" s="848"/>
      <c r="BN94" s="848"/>
      <c r="BO94" s="848"/>
      <c r="BP94" s="848"/>
      <c r="BQ94" s="848"/>
      <c r="BR94" s="848"/>
      <c r="BS94" s="848"/>
      <c r="BT94" s="848"/>
      <c r="BU94" s="848"/>
      <c r="BV94" s="848"/>
      <c r="BW94" s="848"/>
      <c r="BX94" s="848"/>
      <c r="BY94" s="848"/>
      <c r="BZ94" s="848"/>
      <c r="CA94" s="848"/>
      <c r="CB94" s="848"/>
      <c r="CC94" s="848"/>
      <c r="CD94" s="848"/>
      <c r="CE94" s="848"/>
      <c r="CF94" s="848"/>
      <c r="CG94" s="848"/>
      <c r="CH94" s="848"/>
      <c r="CI94" s="848"/>
      <c r="CJ94" s="848"/>
      <c r="CK94" s="848"/>
      <c r="CL94" s="848"/>
      <c r="CM94" s="848"/>
      <c r="CN94" s="848"/>
      <c r="CO94" s="848"/>
      <c r="CP94" s="848"/>
      <c r="CQ94" s="848"/>
      <c r="CR94" s="848"/>
      <c r="CS94" s="848"/>
      <c r="CT94" s="848"/>
      <c r="CU94" s="848"/>
      <c r="CV94" s="848"/>
      <c r="CW94" s="848"/>
      <c r="CX94" s="848"/>
      <c r="CY94" s="848"/>
      <c r="CZ94" s="848"/>
      <c r="DA94" s="848"/>
      <c r="DB94" s="848"/>
      <c r="DC94" s="848"/>
      <c r="DD94" s="848"/>
      <c r="DE94" s="848"/>
      <c r="DF94" s="848"/>
      <c r="DG94" s="848"/>
      <c r="DH94" s="848"/>
      <c r="DI94" s="848"/>
      <c r="DJ94" s="848"/>
    </row>
    <row r="95" spans="1:114" s="3" customFormat="1" ht="12.75">
      <c r="A95" s="860"/>
      <c r="B95" s="858"/>
      <c r="C95" s="858"/>
      <c r="D95" s="858"/>
      <c r="E95" s="858"/>
      <c r="F95" s="858"/>
      <c r="G95" s="858"/>
      <c r="H95" s="858"/>
      <c r="I95" s="858"/>
      <c r="J95" s="858"/>
      <c r="K95" s="858"/>
      <c r="L95" s="858"/>
      <c r="M95" s="858"/>
      <c r="N95" s="858"/>
      <c r="O95" s="858"/>
      <c r="P95" s="858"/>
      <c r="Q95" s="858"/>
      <c r="R95" s="858"/>
      <c r="S95" s="858"/>
      <c r="T95" s="858"/>
      <c r="U95" s="858"/>
      <c r="V95" s="858"/>
      <c r="W95" s="858"/>
      <c r="X95" s="858"/>
      <c r="Y95" s="858"/>
      <c r="Z95" s="858"/>
      <c r="AA95" s="858"/>
      <c r="AB95" s="858"/>
      <c r="AC95" s="858"/>
      <c r="AD95" s="858"/>
      <c r="AE95" s="858"/>
      <c r="AF95" s="858"/>
      <c r="AG95" s="858"/>
      <c r="AH95" s="859"/>
      <c r="AI95" s="83"/>
      <c r="AJ95" s="83"/>
      <c r="AK95" s="848"/>
      <c r="AL95" s="848"/>
      <c r="AM95" s="848"/>
      <c r="AN95" s="848"/>
      <c r="AO95" s="848"/>
      <c r="AP95" s="848"/>
      <c r="AQ95" s="848"/>
      <c r="AR95" s="848"/>
      <c r="AS95" s="848"/>
      <c r="AT95" s="848"/>
      <c r="AU95" s="848"/>
      <c r="AV95" s="848"/>
      <c r="AW95" s="848"/>
      <c r="AX95" s="848"/>
      <c r="AY95" s="848"/>
      <c r="AZ95" s="848"/>
      <c r="BA95" s="848"/>
      <c r="BB95" s="848"/>
      <c r="BC95" s="848"/>
      <c r="BD95" s="848"/>
      <c r="BE95" s="848"/>
      <c r="BF95" s="848"/>
      <c r="BG95" s="848"/>
      <c r="BH95" s="848"/>
      <c r="BI95" s="848"/>
      <c r="BJ95" s="848"/>
      <c r="BK95" s="848"/>
      <c r="BL95" s="848"/>
      <c r="BM95" s="848"/>
      <c r="BN95" s="848"/>
      <c r="BO95" s="848"/>
      <c r="BP95" s="848"/>
      <c r="BQ95" s="848"/>
      <c r="BR95" s="848"/>
      <c r="BS95" s="848"/>
      <c r="BT95" s="848"/>
      <c r="BU95" s="848"/>
      <c r="BV95" s="848"/>
      <c r="BW95" s="848"/>
      <c r="BX95" s="848"/>
      <c r="BY95" s="848"/>
      <c r="BZ95" s="848"/>
      <c r="CA95" s="848"/>
      <c r="CB95" s="848"/>
      <c r="CC95" s="848"/>
      <c r="CD95" s="848"/>
      <c r="CE95" s="848"/>
      <c r="CF95" s="848"/>
      <c r="CG95" s="848"/>
      <c r="CH95" s="848"/>
      <c r="CI95" s="848"/>
      <c r="CJ95" s="848"/>
      <c r="CK95" s="848"/>
      <c r="CL95" s="848"/>
      <c r="CM95" s="848"/>
      <c r="CN95" s="848"/>
      <c r="CO95" s="848"/>
      <c r="CP95" s="848"/>
      <c r="CQ95" s="848"/>
      <c r="CR95" s="848"/>
      <c r="CS95" s="848"/>
      <c r="CT95" s="848"/>
      <c r="CU95" s="848"/>
      <c r="CV95" s="848"/>
      <c r="CW95" s="848"/>
      <c r="CX95" s="848"/>
      <c r="CY95" s="848"/>
      <c r="CZ95" s="848"/>
      <c r="DA95" s="848"/>
      <c r="DB95" s="848"/>
      <c r="DC95" s="848"/>
      <c r="DD95" s="848"/>
      <c r="DE95" s="848"/>
      <c r="DF95" s="848"/>
      <c r="DG95" s="848"/>
      <c r="DH95" s="848"/>
      <c r="DI95" s="848"/>
      <c r="DJ95" s="848"/>
    </row>
    <row r="96" spans="1:114" s="4" customFormat="1" ht="12.75">
      <c r="A96" s="860"/>
      <c r="B96" s="858"/>
      <c r="C96" s="858"/>
      <c r="D96" s="858"/>
      <c r="E96" s="858"/>
      <c r="F96" s="858"/>
      <c r="G96" s="858"/>
      <c r="H96" s="858"/>
      <c r="I96" s="858"/>
      <c r="J96" s="858"/>
      <c r="K96" s="858"/>
      <c r="L96" s="858"/>
      <c r="M96" s="858"/>
      <c r="N96" s="858"/>
      <c r="O96" s="858"/>
      <c r="P96" s="858"/>
      <c r="Q96" s="858"/>
      <c r="R96" s="858"/>
      <c r="S96" s="858"/>
      <c r="T96" s="858"/>
      <c r="U96" s="858"/>
      <c r="V96" s="858"/>
      <c r="W96" s="858"/>
      <c r="X96" s="858"/>
      <c r="Y96" s="858"/>
      <c r="Z96" s="858"/>
      <c r="AA96" s="858"/>
      <c r="AB96" s="858"/>
      <c r="AC96" s="858"/>
      <c r="AD96" s="858"/>
      <c r="AE96" s="858"/>
      <c r="AF96" s="858"/>
      <c r="AG96" s="858"/>
      <c r="AH96" s="859"/>
      <c r="AI96" s="83"/>
      <c r="AJ96" s="83"/>
      <c r="AK96" s="848"/>
      <c r="AL96" s="848"/>
      <c r="AM96" s="848"/>
      <c r="AN96" s="848"/>
      <c r="AO96" s="848"/>
      <c r="AP96" s="848"/>
      <c r="AQ96" s="848"/>
      <c r="AR96" s="848"/>
      <c r="AS96" s="848"/>
      <c r="AT96" s="848"/>
      <c r="AU96" s="848"/>
      <c r="AV96" s="848"/>
      <c r="AW96" s="848"/>
      <c r="AX96" s="848"/>
      <c r="AY96" s="848"/>
      <c r="AZ96" s="848"/>
      <c r="BA96" s="848"/>
      <c r="BB96" s="848"/>
      <c r="BC96" s="848"/>
      <c r="BD96" s="848"/>
      <c r="BE96" s="848"/>
      <c r="BF96" s="848"/>
      <c r="BG96" s="848"/>
      <c r="BH96" s="848"/>
      <c r="BI96" s="848"/>
      <c r="BJ96" s="848"/>
      <c r="BK96" s="848"/>
      <c r="BL96" s="848"/>
      <c r="BM96" s="848"/>
      <c r="BN96" s="848"/>
      <c r="BO96" s="848"/>
      <c r="BP96" s="848"/>
      <c r="BQ96" s="848"/>
      <c r="BR96" s="848"/>
      <c r="BS96" s="848"/>
      <c r="BT96" s="848"/>
      <c r="BU96" s="848"/>
      <c r="BV96" s="848"/>
      <c r="BW96" s="848"/>
      <c r="BX96" s="848"/>
      <c r="BY96" s="848"/>
      <c r="BZ96" s="848"/>
      <c r="CA96" s="848"/>
      <c r="CB96" s="848"/>
      <c r="CC96" s="848"/>
      <c r="CD96" s="848"/>
      <c r="CE96" s="848"/>
      <c r="CF96" s="848"/>
      <c r="CG96" s="848"/>
      <c r="CH96" s="848"/>
      <c r="CI96" s="848"/>
      <c r="CJ96" s="848"/>
      <c r="CK96" s="848"/>
      <c r="CL96" s="848"/>
      <c r="CM96" s="848"/>
      <c r="CN96" s="848"/>
      <c r="CO96" s="848"/>
      <c r="CP96" s="848"/>
      <c r="CQ96" s="848"/>
      <c r="CR96" s="848"/>
      <c r="CS96" s="848"/>
      <c r="CT96" s="848"/>
      <c r="CU96" s="848"/>
      <c r="CV96" s="848"/>
      <c r="CW96" s="848"/>
      <c r="CX96" s="848"/>
      <c r="CY96" s="848"/>
      <c r="CZ96" s="848"/>
      <c r="DA96" s="848"/>
      <c r="DB96" s="848"/>
      <c r="DC96" s="848"/>
      <c r="DD96" s="848"/>
      <c r="DE96" s="848"/>
      <c r="DF96" s="848"/>
      <c r="DG96" s="848"/>
      <c r="DH96" s="848"/>
      <c r="DI96" s="848"/>
      <c r="DJ96" s="848"/>
    </row>
    <row r="97" spans="1:114" ht="12.75">
      <c r="A97" s="860"/>
      <c r="B97" s="858"/>
      <c r="C97" s="858"/>
      <c r="D97" s="858"/>
      <c r="E97" s="858"/>
      <c r="F97" s="858"/>
      <c r="G97" s="858"/>
      <c r="H97" s="858"/>
      <c r="I97" s="858"/>
      <c r="J97" s="858"/>
      <c r="K97" s="858"/>
      <c r="L97" s="858"/>
      <c r="M97" s="858"/>
      <c r="N97" s="858"/>
      <c r="O97" s="858"/>
      <c r="P97" s="858"/>
      <c r="Q97" s="858"/>
      <c r="R97" s="858"/>
      <c r="S97" s="858"/>
      <c r="T97" s="858"/>
      <c r="U97" s="858"/>
      <c r="V97" s="858"/>
      <c r="W97" s="858"/>
      <c r="X97" s="858"/>
      <c r="Y97" s="858"/>
      <c r="Z97" s="858"/>
      <c r="AA97" s="858"/>
      <c r="AB97" s="858"/>
      <c r="AC97" s="858"/>
      <c r="AD97" s="858"/>
      <c r="AE97" s="858"/>
      <c r="AF97" s="858"/>
      <c r="AG97" s="858"/>
      <c r="AH97" s="859"/>
      <c r="AI97" s="83"/>
      <c r="AJ97" s="83"/>
      <c r="AK97" s="848"/>
      <c r="AL97" s="848"/>
      <c r="AM97" s="848"/>
      <c r="AN97" s="848"/>
      <c r="AO97" s="848"/>
      <c r="AP97" s="848"/>
      <c r="AQ97" s="848"/>
      <c r="AR97" s="848"/>
      <c r="AS97" s="848"/>
      <c r="AT97" s="848"/>
      <c r="AU97" s="848"/>
      <c r="AV97" s="848"/>
      <c r="AW97" s="848"/>
      <c r="AX97" s="848"/>
      <c r="AY97" s="848"/>
      <c r="AZ97" s="848"/>
      <c r="BA97" s="848"/>
      <c r="BB97" s="848"/>
      <c r="BC97" s="848"/>
      <c r="BD97" s="848"/>
      <c r="BE97" s="848"/>
      <c r="BF97" s="848"/>
      <c r="BG97" s="848"/>
      <c r="BH97" s="848"/>
      <c r="BI97" s="848"/>
      <c r="BJ97" s="848"/>
      <c r="BK97" s="848"/>
      <c r="BL97" s="848"/>
      <c r="BM97" s="848"/>
      <c r="BN97" s="848"/>
      <c r="BO97" s="848"/>
      <c r="BP97" s="848"/>
      <c r="BQ97" s="848"/>
      <c r="BR97" s="848"/>
      <c r="BS97" s="848"/>
      <c r="BT97" s="848"/>
      <c r="BU97" s="848"/>
      <c r="BV97" s="848"/>
      <c r="BW97" s="848"/>
      <c r="BX97" s="848"/>
      <c r="BY97" s="848"/>
      <c r="BZ97" s="848"/>
      <c r="CA97" s="848"/>
      <c r="CB97" s="848"/>
      <c r="CC97" s="848"/>
      <c r="CD97" s="848"/>
      <c r="CE97" s="848"/>
      <c r="CF97" s="848"/>
      <c r="CG97" s="848"/>
      <c r="CH97" s="848"/>
      <c r="CI97" s="848"/>
      <c r="CJ97" s="848"/>
      <c r="CK97" s="848"/>
      <c r="CL97" s="848"/>
      <c r="CM97" s="848"/>
      <c r="CN97" s="848"/>
      <c r="CO97" s="848"/>
      <c r="CP97" s="848"/>
      <c r="CQ97" s="848"/>
      <c r="CR97" s="848"/>
      <c r="CS97" s="848"/>
      <c r="CT97" s="848"/>
      <c r="CU97" s="848"/>
      <c r="CV97" s="848"/>
      <c r="CW97" s="848"/>
      <c r="CX97" s="848"/>
      <c r="CY97" s="848"/>
      <c r="CZ97" s="848"/>
      <c r="DA97" s="848"/>
      <c r="DB97" s="848"/>
      <c r="DC97" s="848"/>
      <c r="DD97" s="848"/>
      <c r="DE97" s="848"/>
      <c r="DF97" s="848"/>
      <c r="DG97" s="848"/>
      <c r="DH97" s="848"/>
      <c r="DI97" s="848"/>
      <c r="DJ97" s="848"/>
    </row>
    <row r="98" spans="1:114" ht="12.75">
      <c r="A98" s="860"/>
      <c r="B98" s="858"/>
      <c r="C98" s="858"/>
      <c r="D98" s="858"/>
      <c r="E98" s="858"/>
      <c r="F98" s="858"/>
      <c r="G98" s="858"/>
      <c r="H98" s="858"/>
      <c r="I98" s="858"/>
      <c r="J98" s="858"/>
      <c r="K98" s="858"/>
      <c r="L98" s="858"/>
      <c r="M98" s="858"/>
      <c r="N98" s="858"/>
      <c r="O98" s="858"/>
      <c r="P98" s="858"/>
      <c r="Q98" s="858"/>
      <c r="R98" s="858"/>
      <c r="S98" s="858"/>
      <c r="T98" s="858"/>
      <c r="U98" s="858"/>
      <c r="V98" s="858"/>
      <c r="W98" s="858"/>
      <c r="X98" s="858"/>
      <c r="Y98" s="858"/>
      <c r="Z98" s="858"/>
      <c r="AA98" s="858"/>
      <c r="AB98" s="858"/>
      <c r="AC98" s="858"/>
      <c r="AD98" s="858"/>
      <c r="AE98" s="858"/>
      <c r="AF98" s="858"/>
      <c r="AG98" s="858"/>
      <c r="AH98" s="859"/>
      <c r="AI98" s="83"/>
      <c r="AJ98" s="83"/>
      <c r="AK98" s="848"/>
      <c r="AL98" s="848"/>
      <c r="AM98" s="848"/>
      <c r="AN98" s="848"/>
      <c r="AO98" s="848"/>
      <c r="AP98" s="848"/>
      <c r="AQ98" s="848"/>
      <c r="AR98" s="848"/>
      <c r="AS98" s="848"/>
      <c r="AT98" s="848"/>
      <c r="AU98" s="848"/>
      <c r="AV98" s="848"/>
      <c r="AW98" s="848"/>
      <c r="AX98" s="848"/>
      <c r="AY98" s="848"/>
      <c r="AZ98" s="848"/>
      <c r="BA98" s="848"/>
      <c r="BB98" s="848"/>
      <c r="BC98" s="848"/>
      <c r="BD98" s="848"/>
      <c r="BE98" s="848"/>
      <c r="BF98" s="848"/>
      <c r="BG98" s="848"/>
      <c r="BH98" s="848"/>
      <c r="BI98" s="848"/>
      <c r="BJ98" s="848"/>
      <c r="BK98" s="848"/>
      <c r="BL98" s="848"/>
      <c r="BM98" s="848"/>
      <c r="BN98" s="848"/>
      <c r="BO98" s="848"/>
      <c r="BP98" s="848"/>
      <c r="BQ98" s="848"/>
      <c r="BR98" s="848"/>
      <c r="BS98" s="848"/>
      <c r="BT98" s="848"/>
      <c r="BU98" s="848"/>
      <c r="BV98" s="848"/>
      <c r="BW98" s="848"/>
      <c r="BX98" s="848"/>
      <c r="BY98" s="848"/>
      <c r="BZ98" s="848"/>
      <c r="CA98" s="848"/>
      <c r="CB98" s="848"/>
      <c r="CC98" s="848"/>
      <c r="CD98" s="848"/>
      <c r="CE98" s="848"/>
      <c r="CF98" s="848"/>
      <c r="CG98" s="848"/>
      <c r="CH98" s="848"/>
      <c r="CI98" s="848"/>
      <c r="CJ98" s="848"/>
      <c r="CK98" s="848"/>
      <c r="CL98" s="848"/>
      <c r="CM98" s="848"/>
      <c r="CN98" s="848"/>
      <c r="CO98" s="848"/>
      <c r="CP98" s="848"/>
      <c r="CQ98" s="848"/>
      <c r="CR98" s="848"/>
      <c r="CS98" s="848"/>
      <c r="CT98" s="848"/>
      <c r="CU98" s="848"/>
      <c r="CV98" s="848"/>
      <c r="CW98" s="848"/>
      <c r="CX98" s="848"/>
      <c r="CY98" s="848"/>
      <c r="CZ98" s="848"/>
      <c r="DA98" s="848"/>
      <c r="DB98" s="848"/>
      <c r="DC98" s="848"/>
      <c r="DD98" s="848"/>
      <c r="DE98" s="848"/>
      <c r="DF98" s="848"/>
      <c r="DG98" s="848"/>
      <c r="DH98" s="848"/>
      <c r="DI98" s="848"/>
      <c r="DJ98" s="848"/>
    </row>
    <row r="99" spans="1:114" s="3" customFormat="1" ht="12.75">
      <c r="A99" s="860"/>
      <c r="B99" s="858"/>
      <c r="C99" s="858"/>
      <c r="D99" s="858"/>
      <c r="E99" s="858"/>
      <c r="F99" s="858"/>
      <c r="G99" s="858"/>
      <c r="H99" s="858"/>
      <c r="I99" s="858"/>
      <c r="J99" s="858"/>
      <c r="K99" s="858"/>
      <c r="L99" s="858"/>
      <c r="M99" s="858"/>
      <c r="N99" s="858"/>
      <c r="O99" s="858"/>
      <c r="P99" s="858"/>
      <c r="Q99" s="858"/>
      <c r="R99" s="858"/>
      <c r="S99" s="858"/>
      <c r="T99" s="858"/>
      <c r="U99" s="858"/>
      <c r="V99" s="858"/>
      <c r="W99" s="858"/>
      <c r="X99" s="858"/>
      <c r="Y99" s="858"/>
      <c r="Z99" s="858"/>
      <c r="AA99" s="858"/>
      <c r="AB99" s="858"/>
      <c r="AC99" s="858"/>
      <c r="AD99" s="858"/>
      <c r="AE99" s="858"/>
      <c r="AF99" s="858"/>
      <c r="AG99" s="858"/>
      <c r="AH99" s="859"/>
      <c r="AI99" s="83"/>
      <c r="AJ99" s="83"/>
      <c r="AK99" s="848"/>
      <c r="AL99" s="848"/>
      <c r="AM99" s="848"/>
      <c r="AN99" s="848"/>
      <c r="AO99" s="848"/>
      <c r="AP99" s="848"/>
      <c r="AQ99" s="848"/>
      <c r="AR99" s="848"/>
      <c r="AS99" s="848"/>
      <c r="AT99" s="848"/>
      <c r="AU99" s="848"/>
      <c r="AV99" s="848"/>
      <c r="AW99" s="848"/>
      <c r="AX99" s="848"/>
      <c r="AY99" s="848"/>
      <c r="AZ99" s="848"/>
      <c r="BA99" s="848"/>
      <c r="BB99" s="848"/>
      <c r="BC99" s="848"/>
      <c r="BD99" s="848"/>
      <c r="BE99" s="848"/>
      <c r="BF99" s="848"/>
      <c r="BG99" s="848"/>
      <c r="BH99" s="848"/>
      <c r="BI99" s="848"/>
      <c r="BJ99" s="848"/>
      <c r="BK99" s="848"/>
      <c r="BL99" s="848"/>
      <c r="BM99" s="848"/>
      <c r="BN99" s="848"/>
      <c r="BO99" s="848"/>
      <c r="BP99" s="848"/>
      <c r="BQ99" s="848"/>
      <c r="BR99" s="848"/>
      <c r="BS99" s="848"/>
      <c r="BT99" s="848"/>
      <c r="BU99" s="848"/>
      <c r="BV99" s="848"/>
      <c r="BW99" s="848"/>
      <c r="BX99" s="848"/>
      <c r="BY99" s="848"/>
      <c r="BZ99" s="848"/>
      <c r="CA99" s="848"/>
      <c r="CB99" s="848"/>
      <c r="CC99" s="848"/>
      <c r="CD99" s="848"/>
      <c r="CE99" s="848"/>
      <c r="CF99" s="848"/>
      <c r="CG99" s="848"/>
      <c r="CH99" s="848"/>
      <c r="CI99" s="848"/>
      <c r="CJ99" s="848"/>
      <c r="CK99" s="848"/>
      <c r="CL99" s="848"/>
      <c r="CM99" s="848"/>
      <c r="CN99" s="848"/>
      <c r="CO99" s="848"/>
      <c r="CP99" s="848"/>
      <c r="CQ99" s="848"/>
      <c r="CR99" s="848"/>
      <c r="CS99" s="848"/>
      <c r="CT99" s="848"/>
      <c r="CU99" s="848"/>
      <c r="CV99" s="848"/>
      <c r="CW99" s="848"/>
      <c r="CX99" s="848"/>
      <c r="CY99" s="848"/>
      <c r="CZ99" s="848"/>
      <c r="DA99" s="848"/>
      <c r="DB99" s="848"/>
      <c r="DC99" s="848"/>
      <c r="DD99" s="848"/>
      <c r="DE99" s="848"/>
      <c r="DF99" s="848"/>
      <c r="DG99" s="848"/>
      <c r="DH99" s="848"/>
      <c r="DI99" s="848"/>
      <c r="DJ99" s="848"/>
    </row>
    <row r="100" spans="1:114" s="2" customFormat="1">
      <c r="A100" s="14"/>
      <c r="B100" s="15"/>
      <c r="C100" s="16"/>
      <c r="D100" s="16"/>
      <c r="E100" s="14"/>
      <c r="F100" s="538"/>
      <c r="G100" s="14"/>
      <c r="H100" s="527"/>
      <c r="I100" s="14"/>
      <c r="J100" s="527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3" spans="1:114" s="3" customFormat="1">
      <c r="A103" s="17"/>
      <c r="B103" s="10"/>
      <c r="C103" s="18"/>
      <c r="D103" s="18"/>
      <c r="E103" s="17"/>
      <c r="F103" s="539"/>
      <c r="G103" s="17"/>
      <c r="H103" s="528"/>
      <c r="I103" s="17"/>
      <c r="J103" s="528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1:114" s="2" customFormat="1">
      <c r="A104" s="14"/>
      <c r="B104" s="15"/>
      <c r="C104" s="16"/>
      <c r="D104" s="16"/>
      <c r="E104" s="14"/>
      <c r="F104" s="538"/>
      <c r="G104" s="14"/>
      <c r="H104" s="527"/>
      <c r="I104" s="14"/>
      <c r="J104" s="527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</row>
    <row r="107" spans="1:114" s="3" customFormat="1">
      <c r="A107" s="17"/>
      <c r="B107" s="10"/>
      <c r="C107" s="18"/>
      <c r="D107" s="18"/>
      <c r="E107" s="17"/>
      <c r="F107" s="539"/>
      <c r="G107" s="17"/>
      <c r="H107" s="528"/>
      <c r="I107" s="17"/>
      <c r="J107" s="528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</row>
    <row r="108" spans="1:114" s="2" customFormat="1">
      <c r="A108" s="14"/>
      <c r="B108" s="15"/>
      <c r="C108" s="16"/>
      <c r="D108" s="16"/>
      <c r="E108" s="14"/>
      <c r="F108" s="538"/>
      <c r="G108" s="14"/>
      <c r="H108" s="527"/>
      <c r="I108" s="14"/>
      <c r="J108" s="527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</row>
    <row r="111" spans="1:114" s="3" customFormat="1">
      <c r="A111" s="17"/>
      <c r="B111" s="10"/>
      <c r="C111" s="18"/>
      <c r="D111" s="18"/>
      <c r="E111" s="17"/>
      <c r="F111" s="539"/>
      <c r="G111" s="17"/>
      <c r="H111" s="528"/>
      <c r="I111" s="17"/>
      <c r="J111" s="528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114" s="2" customFormat="1">
      <c r="A112" s="14"/>
      <c r="B112" s="15"/>
      <c r="C112" s="16"/>
      <c r="D112" s="16"/>
      <c r="E112" s="14"/>
      <c r="F112" s="538"/>
      <c r="G112" s="14"/>
      <c r="H112" s="527"/>
      <c r="I112" s="14"/>
      <c r="J112" s="527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5" spans="1:36" s="3" customFormat="1">
      <c r="A115" s="17"/>
      <c r="B115" s="10"/>
      <c r="C115" s="18"/>
      <c r="D115" s="18"/>
      <c r="E115" s="17"/>
      <c r="F115" s="539"/>
      <c r="G115" s="17"/>
      <c r="H115" s="528"/>
      <c r="I115" s="17"/>
      <c r="J115" s="528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</row>
    <row r="116" spans="1:36" s="2" customFormat="1">
      <c r="A116" s="14"/>
      <c r="B116" s="15"/>
      <c r="C116" s="16"/>
      <c r="D116" s="16"/>
      <c r="E116" s="14"/>
      <c r="F116" s="538"/>
      <c r="G116" s="14"/>
      <c r="H116" s="527"/>
      <c r="I116" s="14"/>
      <c r="J116" s="527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9" spans="1:36" s="3" customFormat="1">
      <c r="A119" s="17"/>
      <c r="B119" s="10"/>
      <c r="C119" s="18"/>
      <c r="D119" s="18"/>
      <c r="E119" s="17"/>
      <c r="F119" s="539"/>
      <c r="G119" s="17"/>
      <c r="H119" s="528"/>
      <c r="I119" s="17"/>
      <c r="J119" s="528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1:36" s="2" customFormat="1">
      <c r="A120" s="14"/>
      <c r="B120" s="15"/>
      <c r="C120" s="16"/>
      <c r="D120" s="16"/>
      <c r="E120" s="14"/>
      <c r="F120" s="538"/>
      <c r="G120" s="14"/>
      <c r="H120" s="527"/>
      <c r="I120" s="14"/>
      <c r="J120" s="527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3" spans="1:36" s="3" customFormat="1">
      <c r="A123" s="17"/>
      <c r="B123" s="10"/>
      <c r="C123" s="18"/>
      <c r="D123" s="18"/>
      <c r="E123" s="17"/>
      <c r="F123" s="539"/>
      <c r="G123" s="17"/>
      <c r="H123" s="528"/>
      <c r="I123" s="17"/>
      <c r="J123" s="528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1:36" s="2" customFormat="1">
      <c r="A124" s="14"/>
      <c r="B124" s="15"/>
      <c r="C124" s="16"/>
      <c r="D124" s="16"/>
      <c r="E124" s="14"/>
      <c r="F124" s="538"/>
      <c r="G124" s="14"/>
      <c r="H124" s="527"/>
      <c r="I124" s="14"/>
      <c r="J124" s="527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7" spans="1:36" s="3" customFormat="1">
      <c r="A127" s="17"/>
      <c r="B127" s="10"/>
      <c r="C127" s="18"/>
      <c r="D127" s="18"/>
      <c r="E127" s="17"/>
      <c r="F127" s="539"/>
      <c r="G127" s="17"/>
      <c r="H127" s="528"/>
      <c r="I127" s="17"/>
      <c r="J127" s="528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1:36" s="2" customFormat="1">
      <c r="A128" s="14"/>
      <c r="B128" s="15"/>
      <c r="C128" s="16"/>
      <c r="D128" s="16"/>
      <c r="E128" s="14"/>
      <c r="F128" s="538"/>
      <c r="G128" s="14"/>
      <c r="H128" s="527"/>
      <c r="I128" s="14"/>
      <c r="J128" s="527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</row>
    <row r="131" spans="1:36" s="3" customFormat="1">
      <c r="A131" s="17"/>
      <c r="B131" s="10"/>
      <c r="C131" s="18"/>
      <c r="D131" s="18"/>
      <c r="E131" s="17"/>
      <c r="F131" s="539"/>
      <c r="G131" s="17"/>
      <c r="H131" s="528"/>
      <c r="I131" s="17"/>
      <c r="J131" s="528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1:36" s="2" customFormat="1">
      <c r="A132" s="14"/>
      <c r="B132" s="15"/>
      <c r="C132" s="16"/>
      <c r="D132" s="16"/>
      <c r="E132" s="14"/>
      <c r="F132" s="538"/>
      <c r="G132" s="14"/>
      <c r="H132" s="527"/>
      <c r="I132" s="14"/>
      <c r="J132" s="527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</row>
    <row r="135" spans="1:36" s="3" customFormat="1">
      <c r="A135" s="17"/>
      <c r="B135" s="10"/>
      <c r="C135" s="18"/>
      <c r="D135" s="18"/>
      <c r="E135" s="17"/>
      <c r="F135" s="539"/>
      <c r="G135" s="17"/>
      <c r="H135" s="528"/>
      <c r="I135" s="17"/>
      <c r="J135" s="528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1:36" s="2" customFormat="1">
      <c r="A136" s="14"/>
      <c r="B136" s="15"/>
      <c r="C136" s="16"/>
      <c r="D136" s="16"/>
      <c r="E136" s="14"/>
      <c r="F136" s="538"/>
      <c r="G136" s="14"/>
      <c r="H136" s="527"/>
      <c r="I136" s="14"/>
      <c r="J136" s="527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</row>
    <row r="139" spans="1:36" s="3" customFormat="1">
      <c r="A139" s="17"/>
      <c r="B139" s="10"/>
      <c r="C139" s="18"/>
      <c r="D139" s="18"/>
      <c r="E139" s="17"/>
      <c r="F139" s="539"/>
      <c r="G139" s="17"/>
      <c r="H139" s="528"/>
      <c r="I139" s="17"/>
      <c r="J139" s="528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1:36" s="2" customFormat="1">
      <c r="A140" s="14"/>
      <c r="B140" s="15"/>
      <c r="C140" s="16"/>
      <c r="D140" s="16"/>
      <c r="E140" s="14"/>
      <c r="F140" s="538"/>
      <c r="G140" s="14"/>
      <c r="H140" s="527"/>
      <c r="I140" s="14"/>
      <c r="J140" s="527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</row>
    <row r="143" spans="1:36" s="3" customFormat="1">
      <c r="A143" s="17"/>
      <c r="B143" s="10"/>
      <c r="C143" s="18"/>
      <c r="D143" s="18"/>
      <c r="E143" s="17"/>
      <c r="F143" s="539"/>
      <c r="G143" s="17"/>
      <c r="H143" s="528"/>
      <c r="I143" s="17"/>
      <c r="J143" s="528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spans="1:36" s="2" customFormat="1">
      <c r="A144" s="14"/>
      <c r="B144" s="15"/>
      <c r="C144" s="16"/>
      <c r="D144" s="16"/>
      <c r="E144" s="14"/>
      <c r="F144" s="538"/>
      <c r="G144" s="14"/>
      <c r="H144" s="527"/>
      <c r="I144" s="14"/>
      <c r="J144" s="527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</row>
    <row r="147" spans="1:36" s="3" customFormat="1">
      <c r="A147" s="17"/>
      <c r="B147" s="10"/>
      <c r="C147" s="18"/>
      <c r="D147" s="18"/>
      <c r="E147" s="17"/>
      <c r="F147" s="539"/>
      <c r="G147" s="17"/>
      <c r="H147" s="528"/>
      <c r="I147" s="17"/>
      <c r="J147" s="528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</row>
    <row r="148" spans="1:36" s="2" customFormat="1">
      <c r="A148" s="14"/>
      <c r="B148" s="15"/>
      <c r="C148" s="16"/>
      <c r="D148" s="16"/>
      <c r="E148" s="14"/>
      <c r="F148" s="538"/>
      <c r="G148" s="14"/>
      <c r="H148" s="527"/>
      <c r="I148" s="14"/>
      <c r="J148" s="527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</row>
    <row r="151" spans="1:36" s="3" customFormat="1">
      <c r="A151" s="17"/>
      <c r="B151" s="10"/>
      <c r="C151" s="18"/>
      <c r="D151" s="18"/>
      <c r="E151" s="17"/>
      <c r="F151" s="539"/>
      <c r="G151" s="17"/>
      <c r="H151" s="528"/>
      <c r="I151" s="17"/>
      <c r="J151" s="528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</row>
    <row r="152" spans="1:36" s="2" customFormat="1">
      <c r="A152" s="14"/>
      <c r="B152" s="15"/>
      <c r="C152" s="16"/>
      <c r="D152" s="16"/>
      <c r="E152" s="14"/>
      <c r="F152" s="538"/>
      <c r="G152" s="14"/>
      <c r="H152" s="527"/>
      <c r="I152" s="14"/>
      <c r="J152" s="527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</row>
    <row r="155" spans="1:36" s="3" customFormat="1">
      <c r="A155" s="17"/>
      <c r="B155" s="10"/>
      <c r="C155" s="18"/>
      <c r="D155" s="18"/>
      <c r="E155" s="17"/>
      <c r="F155" s="539"/>
      <c r="G155" s="17"/>
      <c r="H155" s="528"/>
      <c r="I155" s="17"/>
      <c r="J155" s="528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s="2" customFormat="1">
      <c r="A156" s="14"/>
      <c r="B156" s="15"/>
      <c r="C156" s="16"/>
      <c r="D156" s="16"/>
      <c r="E156" s="14"/>
      <c r="F156" s="538"/>
      <c r="G156" s="14"/>
      <c r="H156" s="527"/>
      <c r="I156" s="14"/>
      <c r="J156" s="527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</row>
    <row r="159" spans="1:36" s="3" customFormat="1">
      <c r="A159" s="17"/>
      <c r="B159" s="10"/>
      <c r="C159" s="18"/>
      <c r="D159" s="18"/>
      <c r="E159" s="17"/>
      <c r="F159" s="539"/>
      <c r="G159" s="17"/>
      <c r="H159" s="528"/>
      <c r="I159" s="17"/>
      <c r="J159" s="528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1:36" s="2" customFormat="1">
      <c r="A160" s="14"/>
      <c r="B160" s="15"/>
      <c r="C160" s="16"/>
      <c r="D160" s="16"/>
      <c r="E160" s="14"/>
      <c r="F160" s="538"/>
      <c r="G160" s="14"/>
      <c r="H160" s="527"/>
      <c r="I160" s="14"/>
      <c r="J160" s="527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</row>
    <row r="163" spans="1:36" s="3" customFormat="1">
      <c r="A163" s="17"/>
      <c r="B163" s="10"/>
      <c r="C163" s="18"/>
      <c r="D163" s="18"/>
      <c r="E163" s="17"/>
      <c r="F163" s="539"/>
      <c r="G163" s="17"/>
      <c r="H163" s="528"/>
      <c r="I163" s="17"/>
      <c r="J163" s="528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36" s="2" customFormat="1">
      <c r="A164" s="14"/>
      <c r="B164" s="15"/>
      <c r="C164" s="16"/>
      <c r="D164" s="16"/>
      <c r="E164" s="14"/>
      <c r="F164" s="538"/>
      <c r="G164" s="14"/>
      <c r="H164" s="527"/>
      <c r="I164" s="14"/>
      <c r="J164" s="527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</row>
    <row r="167" spans="1:36" s="3" customFormat="1">
      <c r="A167" s="17"/>
      <c r="B167" s="10"/>
      <c r="C167" s="18"/>
      <c r="D167" s="18"/>
      <c r="E167" s="17"/>
      <c r="F167" s="539"/>
      <c r="G167" s="17"/>
      <c r="H167" s="528"/>
      <c r="I167" s="17"/>
      <c r="J167" s="528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</row>
    <row r="168" spans="1:36" s="2" customFormat="1">
      <c r="A168" s="14"/>
      <c r="B168" s="15"/>
      <c r="C168" s="16"/>
      <c r="D168" s="16"/>
      <c r="E168" s="14"/>
      <c r="F168" s="538"/>
      <c r="G168" s="14"/>
      <c r="H168" s="527"/>
      <c r="I168" s="14"/>
      <c r="J168" s="527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</row>
    <row r="171" spans="1:36" s="3" customFormat="1">
      <c r="A171" s="17"/>
      <c r="B171" s="10"/>
      <c r="C171" s="18"/>
      <c r="D171" s="18"/>
      <c r="E171" s="17"/>
      <c r="F171" s="539"/>
      <c r="G171" s="17"/>
      <c r="H171" s="528"/>
      <c r="I171" s="17"/>
      <c r="J171" s="528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</row>
    <row r="172" spans="1:36" s="2" customFormat="1">
      <c r="A172" s="14"/>
      <c r="B172" s="15"/>
      <c r="C172" s="16"/>
      <c r="D172" s="16"/>
      <c r="E172" s="14"/>
      <c r="F172" s="538"/>
      <c r="G172" s="14"/>
      <c r="H172" s="527"/>
      <c r="I172" s="14"/>
      <c r="J172" s="527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</row>
    <row r="175" spans="1:36" s="3" customFormat="1">
      <c r="A175" s="17"/>
      <c r="B175" s="10"/>
      <c r="C175" s="18"/>
      <c r="D175" s="18"/>
      <c r="E175" s="17"/>
      <c r="F175" s="539"/>
      <c r="G175" s="17"/>
      <c r="H175" s="528"/>
      <c r="I175" s="17"/>
      <c r="J175" s="528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</row>
    <row r="176" spans="1:36" s="2" customFormat="1">
      <c r="A176" s="14"/>
      <c r="B176" s="15"/>
      <c r="C176" s="16"/>
      <c r="D176" s="16"/>
      <c r="E176" s="14"/>
      <c r="F176" s="538"/>
      <c r="G176" s="14"/>
      <c r="H176" s="527"/>
      <c r="I176" s="14"/>
      <c r="J176" s="527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</row>
    <row r="179" spans="1:36" s="3" customFormat="1">
      <c r="A179" s="17"/>
      <c r="B179" s="10"/>
      <c r="C179" s="18"/>
      <c r="D179" s="18"/>
      <c r="E179" s="17"/>
      <c r="F179" s="539"/>
      <c r="G179" s="17"/>
      <c r="H179" s="528"/>
      <c r="I179" s="17"/>
      <c r="J179" s="528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:36" s="2" customFormat="1">
      <c r="A180" s="14"/>
      <c r="B180" s="15"/>
      <c r="C180" s="16"/>
      <c r="D180" s="16"/>
      <c r="E180" s="14"/>
      <c r="F180" s="538"/>
      <c r="G180" s="14"/>
      <c r="H180" s="527"/>
      <c r="I180" s="14"/>
      <c r="J180" s="527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</row>
    <row r="183" spans="1:36" s="3" customFormat="1">
      <c r="A183" s="17"/>
      <c r="B183" s="10"/>
      <c r="C183" s="18"/>
      <c r="D183" s="18"/>
      <c r="E183" s="17"/>
      <c r="F183" s="539"/>
      <c r="G183" s="17"/>
      <c r="H183" s="528"/>
      <c r="I183" s="17"/>
      <c r="J183" s="528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:36" s="2" customFormat="1">
      <c r="A184" s="14"/>
      <c r="B184" s="15"/>
      <c r="C184" s="16"/>
      <c r="D184" s="16"/>
      <c r="E184" s="14"/>
      <c r="F184" s="538"/>
      <c r="G184" s="14"/>
      <c r="H184" s="527"/>
      <c r="I184" s="14"/>
      <c r="J184" s="527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</row>
    <row r="187" spans="1:36" s="3" customFormat="1">
      <c r="A187" s="17"/>
      <c r="B187" s="10"/>
      <c r="C187" s="18"/>
      <c r="D187" s="18"/>
      <c r="E187" s="17"/>
      <c r="F187" s="539"/>
      <c r="G187" s="17"/>
      <c r="H187" s="528"/>
      <c r="I187" s="17"/>
      <c r="J187" s="528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36" s="2" customFormat="1">
      <c r="A188" s="14"/>
      <c r="B188" s="15"/>
      <c r="C188" s="16"/>
      <c r="D188" s="16"/>
      <c r="E188" s="14"/>
      <c r="F188" s="538"/>
      <c r="G188" s="14"/>
      <c r="H188" s="527"/>
      <c r="I188" s="14"/>
      <c r="J188" s="527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</row>
    <row r="191" spans="1:36" s="3" customFormat="1">
      <c r="A191" s="17"/>
      <c r="B191" s="10"/>
      <c r="C191" s="18"/>
      <c r="D191" s="18"/>
      <c r="E191" s="17"/>
      <c r="F191" s="539"/>
      <c r="G191" s="17"/>
      <c r="H191" s="528"/>
      <c r="I191" s="17"/>
      <c r="J191" s="528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5" spans="1:36" s="6" customFormat="1">
      <c r="A195" s="17"/>
      <c r="B195" s="10"/>
      <c r="C195" s="18"/>
      <c r="D195" s="18"/>
      <c r="E195" s="17"/>
      <c r="F195" s="539"/>
      <c r="G195" s="17"/>
      <c r="H195" s="528"/>
      <c r="I195" s="17"/>
      <c r="J195" s="528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7" spans="1:36" s="7" customFormat="1">
      <c r="A197" s="9"/>
      <c r="B197" s="10"/>
      <c r="C197" s="240"/>
      <c r="D197" s="240"/>
      <c r="E197" s="9"/>
      <c r="F197" s="529"/>
      <c r="G197" s="9"/>
      <c r="H197" s="519"/>
      <c r="I197" s="9"/>
      <c r="J197" s="51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1:36" s="7" customFormat="1">
      <c r="A198" s="9"/>
      <c r="B198" s="10"/>
      <c r="C198" s="240"/>
      <c r="D198" s="240"/>
      <c r="E198" s="9"/>
      <c r="F198" s="529"/>
      <c r="G198" s="9"/>
      <c r="H198" s="519"/>
      <c r="I198" s="9"/>
      <c r="J198" s="51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1:36" s="6" customFormat="1">
      <c r="A199" s="17"/>
      <c r="B199" s="10"/>
      <c r="C199" s="18"/>
      <c r="D199" s="18"/>
      <c r="E199" s="17"/>
      <c r="F199" s="539"/>
      <c r="G199" s="17"/>
      <c r="H199" s="528"/>
      <c r="I199" s="17"/>
      <c r="J199" s="528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1" spans="1:36" s="7" customFormat="1">
      <c r="A201" s="9"/>
      <c r="B201" s="10"/>
      <c r="C201" s="240"/>
      <c r="D201" s="240"/>
      <c r="E201" s="9"/>
      <c r="F201" s="529"/>
      <c r="G201" s="9"/>
      <c r="H201" s="519"/>
      <c r="I201" s="9"/>
      <c r="J201" s="51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1:36" s="7" customFormat="1">
      <c r="A202" s="9"/>
      <c r="B202" s="10"/>
      <c r="C202" s="240"/>
      <c r="D202" s="240"/>
      <c r="E202" s="9"/>
      <c r="F202" s="529"/>
      <c r="G202" s="9"/>
      <c r="H202" s="519"/>
      <c r="I202" s="9"/>
      <c r="J202" s="51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1:36" s="6" customFormat="1">
      <c r="A203" s="17"/>
      <c r="B203" s="10"/>
      <c r="C203" s="18"/>
      <c r="D203" s="18"/>
      <c r="E203" s="17"/>
      <c r="F203" s="539"/>
      <c r="G203" s="17"/>
      <c r="H203" s="528"/>
      <c r="I203" s="17"/>
      <c r="J203" s="528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:36" s="2" customFormat="1">
      <c r="A204" s="14"/>
      <c r="B204" s="15"/>
      <c r="C204" s="16"/>
      <c r="D204" s="16"/>
      <c r="E204" s="14"/>
      <c r="F204" s="538"/>
      <c r="G204" s="14"/>
      <c r="H204" s="527"/>
      <c r="I204" s="14"/>
      <c r="J204" s="527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</row>
    <row r="205" spans="1:36" s="7" customFormat="1">
      <c r="A205" s="9"/>
      <c r="B205" s="10"/>
      <c r="C205" s="240"/>
      <c r="D205" s="240"/>
      <c r="E205" s="9"/>
      <c r="F205" s="529"/>
      <c r="G205" s="9"/>
      <c r="H205" s="519"/>
      <c r="I205" s="9"/>
      <c r="J205" s="51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1:36" s="7" customFormat="1">
      <c r="A206" s="9"/>
      <c r="B206" s="10"/>
      <c r="C206" s="240"/>
      <c r="D206" s="240"/>
      <c r="E206" s="9"/>
      <c r="F206" s="529"/>
      <c r="G206" s="9"/>
      <c r="H206" s="519"/>
      <c r="I206" s="9"/>
      <c r="J206" s="51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1:36" s="6" customFormat="1">
      <c r="A207" s="17"/>
      <c r="B207" s="10"/>
      <c r="C207" s="18"/>
      <c r="D207" s="18"/>
      <c r="E207" s="17"/>
      <c r="F207" s="539"/>
      <c r="G207" s="17"/>
      <c r="H207" s="528"/>
      <c r="I207" s="17"/>
      <c r="J207" s="528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:36" s="2" customFormat="1">
      <c r="A208" s="14"/>
      <c r="B208" s="15"/>
      <c r="C208" s="16"/>
      <c r="D208" s="16"/>
      <c r="E208" s="14"/>
      <c r="F208" s="538"/>
      <c r="G208" s="14"/>
      <c r="H208" s="527"/>
      <c r="I208" s="14"/>
      <c r="J208" s="527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</row>
    <row r="211" spans="1:36" s="6" customFormat="1">
      <c r="A211" s="17"/>
      <c r="B211" s="10"/>
      <c r="C211" s="18"/>
      <c r="D211" s="18"/>
      <c r="E211" s="17"/>
      <c r="F211" s="539"/>
      <c r="G211" s="17"/>
      <c r="H211" s="528"/>
      <c r="I211" s="17"/>
      <c r="J211" s="528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1:36" s="2" customFormat="1">
      <c r="A212" s="14"/>
      <c r="B212" s="15"/>
      <c r="C212" s="16"/>
      <c r="D212" s="16"/>
      <c r="E212" s="14"/>
      <c r="F212" s="538"/>
      <c r="G212" s="14"/>
      <c r="H212" s="527"/>
      <c r="I212" s="14"/>
      <c r="J212" s="527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</row>
    <row r="213" spans="1:36" s="7" customFormat="1">
      <c r="A213" s="9"/>
      <c r="B213" s="10"/>
      <c r="C213" s="240"/>
      <c r="D213" s="240"/>
      <c r="E213" s="9"/>
      <c r="F213" s="529"/>
      <c r="G213" s="9"/>
      <c r="H213" s="519"/>
      <c r="I213" s="9"/>
      <c r="J213" s="51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1:36" s="7" customFormat="1">
      <c r="A214" s="9"/>
      <c r="B214" s="10"/>
      <c r="C214" s="240"/>
      <c r="D214" s="240"/>
      <c r="E214" s="9"/>
      <c r="F214" s="529"/>
      <c r="G214" s="9"/>
      <c r="H214" s="519"/>
      <c r="I214" s="9"/>
      <c r="J214" s="51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1:36" s="6" customFormat="1">
      <c r="A215" s="17"/>
      <c r="B215" s="10"/>
      <c r="C215" s="18"/>
      <c r="D215" s="18"/>
      <c r="E215" s="17"/>
      <c r="F215" s="539"/>
      <c r="G215" s="17"/>
      <c r="H215" s="528"/>
      <c r="I215" s="17"/>
      <c r="J215" s="528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1:36" s="2" customFormat="1">
      <c r="A216" s="14"/>
      <c r="B216" s="15"/>
      <c r="C216" s="16"/>
      <c r="D216" s="16"/>
      <c r="E216" s="14"/>
      <c r="F216" s="538"/>
      <c r="G216" s="14"/>
      <c r="H216" s="527"/>
      <c r="I216" s="14"/>
      <c r="J216" s="527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</row>
    <row r="217" spans="1:36" s="7" customFormat="1">
      <c r="A217" s="9"/>
      <c r="B217" s="10"/>
      <c r="C217" s="240"/>
      <c r="D217" s="240"/>
      <c r="E217" s="9"/>
      <c r="F217" s="529"/>
      <c r="G217" s="9"/>
      <c r="H217" s="519"/>
      <c r="I217" s="9"/>
      <c r="J217" s="51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1:36" s="7" customFormat="1">
      <c r="A218" s="9"/>
      <c r="B218" s="10"/>
      <c r="C218" s="240"/>
      <c r="D218" s="240"/>
      <c r="E218" s="9"/>
      <c r="F218" s="529"/>
      <c r="G218" s="9"/>
      <c r="H218" s="519"/>
      <c r="I218" s="9"/>
      <c r="J218" s="51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1:36" s="6" customFormat="1">
      <c r="A219" s="17"/>
      <c r="B219" s="10"/>
      <c r="C219" s="18"/>
      <c r="D219" s="18"/>
      <c r="E219" s="17"/>
      <c r="F219" s="539"/>
      <c r="G219" s="17"/>
      <c r="H219" s="528"/>
      <c r="I219" s="17"/>
      <c r="J219" s="528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1:36" s="2" customFormat="1">
      <c r="A220" s="14"/>
      <c r="B220" s="15"/>
      <c r="C220" s="16"/>
      <c r="D220" s="16"/>
      <c r="E220" s="14"/>
      <c r="F220" s="538"/>
      <c r="G220" s="14"/>
      <c r="H220" s="527"/>
      <c r="I220" s="14"/>
      <c r="J220" s="527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</row>
    <row r="221" spans="1:36" s="7" customFormat="1">
      <c r="A221" s="9"/>
      <c r="B221" s="10"/>
      <c r="C221" s="240"/>
      <c r="D221" s="240"/>
      <c r="E221" s="9"/>
      <c r="F221" s="529"/>
      <c r="G221" s="9"/>
      <c r="H221" s="519"/>
      <c r="I221" s="9"/>
      <c r="J221" s="51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1:36" s="7" customFormat="1">
      <c r="A222" s="9"/>
      <c r="B222" s="10"/>
      <c r="C222" s="240"/>
      <c r="D222" s="240"/>
      <c r="E222" s="9"/>
      <c r="F222" s="529"/>
      <c r="G222" s="9"/>
      <c r="H222" s="519"/>
      <c r="I222" s="9"/>
      <c r="J222" s="51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1:36" s="6" customFormat="1">
      <c r="A223" s="17"/>
      <c r="B223" s="10"/>
      <c r="C223" s="18"/>
      <c r="D223" s="18"/>
      <c r="E223" s="17"/>
      <c r="F223" s="539"/>
      <c r="G223" s="17"/>
      <c r="H223" s="528"/>
      <c r="I223" s="17"/>
      <c r="J223" s="528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spans="1:36" s="2" customFormat="1">
      <c r="A224" s="14"/>
      <c r="B224" s="15"/>
      <c r="C224" s="16"/>
      <c r="D224" s="16"/>
      <c r="E224" s="14"/>
      <c r="F224" s="538"/>
      <c r="G224" s="14"/>
      <c r="H224" s="527"/>
      <c r="I224" s="14"/>
      <c r="J224" s="527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</row>
    <row r="225" spans="1:36" s="7" customFormat="1">
      <c r="A225" s="9"/>
      <c r="B225" s="10"/>
      <c r="C225" s="240"/>
      <c r="D225" s="240"/>
      <c r="E225" s="9"/>
      <c r="F225" s="529"/>
      <c r="G225" s="9"/>
      <c r="H225" s="519"/>
      <c r="I225" s="9"/>
      <c r="J225" s="51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1:36" s="7" customFormat="1">
      <c r="A226" s="9"/>
      <c r="B226" s="10"/>
      <c r="C226" s="240"/>
      <c r="D226" s="240"/>
      <c r="E226" s="9"/>
      <c r="F226" s="529"/>
      <c r="G226" s="9"/>
      <c r="H226" s="519"/>
      <c r="I226" s="9"/>
      <c r="J226" s="51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1:36" s="6" customFormat="1">
      <c r="A227" s="17"/>
      <c r="B227" s="10"/>
      <c r="C227" s="18"/>
      <c r="D227" s="18"/>
      <c r="E227" s="17"/>
      <c r="F227" s="539"/>
      <c r="G227" s="17"/>
      <c r="H227" s="528"/>
      <c r="I227" s="17"/>
      <c r="J227" s="528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</row>
    <row r="228" spans="1:36" s="2" customFormat="1">
      <c r="A228" s="14"/>
      <c r="B228" s="15"/>
      <c r="C228" s="16"/>
      <c r="D228" s="16"/>
      <c r="E228" s="14"/>
      <c r="F228" s="538"/>
      <c r="G228" s="14"/>
      <c r="H228" s="527"/>
      <c r="I228" s="14"/>
      <c r="J228" s="527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</row>
    <row r="229" spans="1:36" s="8" customFormat="1">
      <c r="A229" s="9"/>
      <c r="B229" s="10"/>
      <c r="C229" s="240"/>
      <c r="D229" s="240"/>
      <c r="E229" s="9"/>
      <c r="F229" s="529"/>
      <c r="G229" s="9"/>
      <c r="H229" s="519"/>
      <c r="I229" s="9"/>
      <c r="J229" s="51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1:36" s="8" customFormat="1">
      <c r="A230" s="9"/>
      <c r="B230" s="10"/>
      <c r="C230" s="240"/>
      <c r="D230" s="240"/>
      <c r="E230" s="9"/>
      <c r="F230" s="529"/>
      <c r="G230" s="9"/>
      <c r="H230" s="519"/>
      <c r="I230" s="9"/>
      <c r="J230" s="51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1:36" s="3" customFormat="1">
      <c r="A231" s="17"/>
      <c r="B231" s="10"/>
      <c r="C231" s="18"/>
      <c r="D231" s="18"/>
      <c r="E231" s="17"/>
      <c r="F231" s="539"/>
      <c r="G231" s="17"/>
      <c r="H231" s="528"/>
      <c r="I231" s="17"/>
      <c r="J231" s="528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</row>
    <row r="232" spans="1:36" s="2" customFormat="1">
      <c r="A232" s="14"/>
      <c r="B232" s="15"/>
      <c r="C232" s="16"/>
      <c r="D232" s="16"/>
      <c r="E232" s="14"/>
      <c r="F232" s="538"/>
      <c r="G232" s="14"/>
      <c r="H232" s="527"/>
      <c r="I232" s="14"/>
      <c r="J232" s="527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</row>
    <row r="233" spans="1:36" s="7" customFormat="1">
      <c r="A233" s="9"/>
      <c r="B233" s="10"/>
      <c r="C233" s="240"/>
      <c r="D233" s="240"/>
      <c r="E233" s="9"/>
      <c r="F233" s="529"/>
      <c r="G233" s="9"/>
      <c r="H233" s="519"/>
      <c r="I233" s="9"/>
      <c r="J233" s="51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1:36" s="7" customFormat="1">
      <c r="A234" s="9"/>
      <c r="B234" s="10"/>
      <c r="C234" s="240"/>
      <c r="D234" s="240"/>
      <c r="E234" s="9"/>
      <c r="F234" s="529"/>
      <c r="G234" s="9"/>
      <c r="H234" s="519"/>
      <c r="I234" s="9"/>
      <c r="J234" s="51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1:36" s="6" customFormat="1">
      <c r="A235" s="17"/>
      <c r="B235" s="10"/>
      <c r="C235" s="18"/>
      <c r="D235" s="18"/>
      <c r="E235" s="17"/>
      <c r="F235" s="539"/>
      <c r="G235" s="17"/>
      <c r="H235" s="528"/>
      <c r="I235" s="17"/>
      <c r="J235" s="528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</row>
    <row r="236" spans="1:36" s="2" customFormat="1">
      <c r="A236" s="14"/>
      <c r="B236" s="15"/>
      <c r="C236" s="16"/>
      <c r="D236" s="16"/>
      <c r="E236" s="14"/>
      <c r="F236" s="538"/>
      <c r="G236" s="14"/>
      <c r="H236" s="527"/>
      <c r="I236" s="14"/>
      <c r="J236" s="527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</row>
    <row r="237" spans="1:36" s="2" customFormat="1" ht="15" customHeight="1">
      <c r="A237" s="14"/>
      <c r="B237" s="15"/>
      <c r="C237" s="16"/>
      <c r="D237" s="16"/>
      <c r="E237" s="14"/>
      <c r="F237" s="538"/>
      <c r="G237" s="14"/>
      <c r="H237" s="527"/>
      <c r="I237" s="14"/>
      <c r="J237" s="527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</row>
    <row r="238" spans="1:36" s="2" customFormat="1">
      <c r="A238" s="14"/>
      <c r="B238" s="15"/>
      <c r="C238" s="16"/>
      <c r="D238" s="16"/>
      <c r="E238" s="14"/>
      <c r="F238" s="538"/>
      <c r="G238" s="14"/>
      <c r="H238" s="527"/>
      <c r="I238" s="14"/>
      <c r="J238" s="527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</row>
    <row r="239" spans="1:36" s="2" customFormat="1" ht="18" customHeight="1">
      <c r="A239" s="14"/>
      <c r="B239" s="15"/>
      <c r="C239" s="16"/>
      <c r="D239" s="16"/>
      <c r="E239" s="14"/>
      <c r="F239" s="538"/>
      <c r="G239" s="14"/>
      <c r="H239" s="527"/>
      <c r="I239" s="14"/>
      <c r="J239" s="527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</row>
    <row r="240" spans="1:36" ht="20.25" customHeight="1"/>
    <row r="241" spans="1:36" s="6" customFormat="1">
      <c r="A241" s="17"/>
      <c r="B241" s="10"/>
      <c r="C241" s="18"/>
      <c r="D241" s="18"/>
      <c r="E241" s="17"/>
      <c r="F241" s="539"/>
      <c r="G241" s="17"/>
      <c r="H241" s="528"/>
      <c r="I241" s="17"/>
      <c r="J241" s="528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</row>
  </sheetData>
  <mergeCells count="41">
    <mergeCell ref="W1:X1"/>
    <mergeCell ref="AK1:DJ99"/>
    <mergeCell ref="D2:W2"/>
    <mergeCell ref="A3:AB3"/>
    <mergeCell ref="A4:A7"/>
    <mergeCell ref="B4:B7"/>
    <mergeCell ref="C4:C7"/>
    <mergeCell ref="D4:D7"/>
    <mergeCell ref="E4:K5"/>
    <mergeCell ref="L4:V4"/>
    <mergeCell ref="W4:X5"/>
    <mergeCell ref="Y4:AB5"/>
    <mergeCell ref="AC4:AH5"/>
    <mergeCell ref="AJ4:AJ7"/>
    <mergeCell ref="L5:N5"/>
    <mergeCell ref="O5:O7"/>
    <mergeCell ref="P5:P7"/>
    <mergeCell ref="Q5:Q7"/>
    <mergeCell ref="R5:R7"/>
    <mergeCell ref="S5:S7"/>
    <mergeCell ref="I6:I7"/>
    <mergeCell ref="K6:K7"/>
    <mergeCell ref="L6:L7"/>
    <mergeCell ref="M6:M7"/>
    <mergeCell ref="N6:N7"/>
    <mergeCell ref="AC6:AC7"/>
    <mergeCell ref="AD6:AF6"/>
    <mergeCell ref="AG6:AG7"/>
    <mergeCell ref="AH6:AH7"/>
    <mergeCell ref="A67:AH99"/>
    <mergeCell ref="W6:W7"/>
    <mergeCell ref="X6:X7"/>
    <mergeCell ref="Y6:Y7"/>
    <mergeCell ref="Z6:Z7"/>
    <mergeCell ref="AA6:AA7"/>
    <mergeCell ref="AB6:AB7"/>
    <mergeCell ref="T5:T7"/>
    <mergeCell ref="U5:U7"/>
    <mergeCell ref="V5:V7"/>
    <mergeCell ref="E6:E7"/>
    <mergeCell ref="G6:G7"/>
  </mergeCells>
  <pageMargins left="0.27" right="0.16" top="0.22" bottom="0.2" header="0.17" footer="0.17"/>
  <pageSetup paperSize="9" scale="65" orientation="landscape" r:id="rId1"/>
  <headerFooter alignWithMargins="0"/>
  <rowBreaks count="2" manualBreakCount="2">
    <brk id="34" max="109" man="1"/>
    <brk id="66" max="106" man="1"/>
  </rowBreaks>
  <colBreaks count="3" manualBreakCount="3">
    <brk id="20" max="65" man="1"/>
    <brk id="36" max="65" man="1"/>
    <brk id="88" max="6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3"/>
  <sheetViews>
    <sheetView zoomScaleSheetLayoutView="55" workbookViewId="0">
      <pane xSplit="4" ySplit="5" topLeftCell="BI6" activePane="bottomRight" state="frozen"/>
      <selection pane="topRight" activeCell="E1" sqref="E1"/>
      <selection pane="bottomLeft" activeCell="A138" sqref="A138"/>
      <selection pane="bottomRight" activeCell="BI194" sqref="BI194"/>
    </sheetView>
  </sheetViews>
  <sheetFormatPr defaultColWidth="9.28515625" defaultRowHeight="12.75"/>
  <cols>
    <col min="1" max="1" width="4.28515625" style="286" customWidth="1"/>
    <col min="2" max="2" width="5.42578125" style="286" customWidth="1"/>
    <col min="3" max="3" width="41.5703125" style="286" customWidth="1"/>
    <col min="4" max="4" width="7.42578125" style="286" customWidth="1"/>
    <col min="5" max="5" width="13.140625" style="279" hidden="1" customWidth="1"/>
    <col min="6" max="6" width="11.7109375" style="279" hidden="1" customWidth="1"/>
    <col min="7" max="7" width="14.7109375" style="279" hidden="1" customWidth="1"/>
    <col min="8" max="8" width="11.7109375" style="279" hidden="1" customWidth="1"/>
    <col min="9" max="9" width="12" style="282" hidden="1" customWidth="1"/>
    <col min="10" max="10" width="9.7109375" style="282" hidden="1" customWidth="1"/>
    <col min="11" max="12" width="9.42578125" style="282" hidden="1" customWidth="1"/>
    <col min="13" max="13" width="10.7109375" style="282" hidden="1" customWidth="1"/>
    <col min="14" max="14" width="13.42578125" style="282" hidden="1" customWidth="1"/>
    <col min="15" max="15" width="12" style="282" hidden="1" customWidth="1"/>
    <col min="16" max="16" width="11" style="282" hidden="1" customWidth="1"/>
    <col min="17" max="17" width="11.42578125" style="282" customWidth="1"/>
    <col min="18" max="18" width="10.42578125" style="282" hidden="1" customWidth="1"/>
    <col min="19" max="19" width="10.7109375" style="282" hidden="1" customWidth="1"/>
    <col min="20" max="20" width="11.140625" style="282" hidden="1" customWidth="1"/>
    <col min="21" max="21" width="10.85546875" style="282" customWidth="1"/>
    <col min="22" max="22" width="10.5703125" style="282" hidden="1" customWidth="1"/>
    <col min="23" max="23" width="10.85546875" style="282" hidden="1" customWidth="1"/>
    <col min="24" max="24" width="9.85546875" style="282" hidden="1" customWidth="1"/>
    <col min="25" max="25" width="10.42578125" style="282" customWidth="1"/>
    <col min="26" max="26" width="11.42578125" style="282" hidden="1" customWidth="1"/>
    <col min="27" max="27" width="12" style="282" hidden="1" customWidth="1"/>
    <col min="28" max="28" width="9.85546875" style="282" hidden="1" customWidth="1"/>
    <col min="29" max="29" width="10.28515625" style="282" customWidth="1"/>
    <col min="30" max="30" width="11.140625" style="282" hidden="1" customWidth="1"/>
    <col min="31" max="31" width="11.42578125" style="282" hidden="1" customWidth="1"/>
    <col min="32" max="32" width="9.85546875" style="282" hidden="1" customWidth="1"/>
    <col min="33" max="36" width="9.85546875" style="279" hidden="1" customWidth="1"/>
    <col min="37" max="37" width="10" style="282" customWidth="1"/>
    <col min="38" max="39" width="11.7109375" style="282" hidden="1" customWidth="1"/>
    <col min="40" max="40" width="9.85546875" style="282" hidden="1" customWidth="1"/>
    <col min="41" max="41" width="10" style="282" customWidth="1"/>
    <col min="42" max="42" width="11.42578125" style="282" hidden="1" customWidth="1"/>
    <col min="43" max="43" width="11.140625" style="282" hidden="1" customWidth="1"/>
    <col min="44" max="44" width="10.42578125" style="282" hidden="1" customWidth="1"/>
    <col min="45" max="45" width="10.28515625" style="282" customWidth="1"/>
    <col min="46" max="47" width="11.140625" style="282" hidden="1" customWidth="1"/>
    <col min="48" max="48" width="9.85546875" style="282" hidden="1" customWidth="1"/>
    <col min="49" max="60" width="9.85546875" style="279" hidden="1" customWidth="1"/>
    <col min="61" max="61" width="10" style="282" customWidth="1"/>
    <col min="62" max="62" width="12.42578125" style="282" hidden="1" customWidth="1"/>
    <col min="63" max="63" width="10.140625" style="282" hidden="1" customWidth="1"/>
    <col min="64" max="64" width="9.140625" style="282" hidden="1" customWidth="1"/>
    <col min="65" max="65" width="9.42578125" style="282" customWidth="1"/>
    <col min="66" max="67" width="9.7109375" style="282" hidden="1" customWidth="1"/>
    <col min="68" max="68" width="8.42578125" style="282" hidden="1" customWidth="1"/>
    <col min="69" max="69" width="9.28515625" style="282" customWidth="1"/>
    <col min="70" max="70" width="10.85546875" style="282" hidden="1" customWidth="1"/>
    <col min="71" max="71" width="11.7109375" style="282" hidden="1" customWidth="1"/>
    <col min="72" max="72" width="9" style="282" hidden="1" customWidth="1"/>
    <col min="73" max="73" width="9.85546875" style="282" customWidth="1"/>
    <col min="74" max="74" width="10.5703125" style="282" hidden="1" customWidth="1"/>
    <col min="75" max="75" width="11.7109375" style="282" hidden="1" customWidth="1"/>
    <col min="76" max="76" width="11" style="282" hidden="1" customWidth="1"/>
    <col min="77" max="77" width="10.140625" style="282" customWidth="1"/>
    <col min="78" max="80" width="11.140625" style="282" hidden="1" customWidth="1"/>
    <col min="81" max="81" width="8.7109375" style="282" hidden="1" customWidth="1"/>
    <col min="82" max="82" width="11.140625" style="282" hidden="1" customWidth="1"/>
    <col min="83" max="83" width="0" style="282" hidden="1" customWidth="1"/>
    <col min="84" max="84" width="11.140625" style="282" hidden="1" customWidth="1"/>
    <col min="85" max="85" width="9.7109375" style="282" customWidth="1"/>
    <col min="86" max="86" width="12.28515625" style="282" hidden="1" customWidth="1"/>
    <col min="87" max="87" width="12" style="282" hidden="1" customWidth="1"/>
    <col min="88" max="88" width="9.85546875" style="282" hidden="1" customWidth="1"/>
    <col min="89" max="89" width="11" style="282" hidden="1" customWidth="1"/>
    <col min="90" max="90" width="12.28515625" style="282" hidden="1" customWidth="1"/>
    <col min="91" max="91" width="12" style="282" hidden="1" customWidth="1"/>
    <col min="92" max="92" width="9.85546875" style="282" hidden="1" customWidth="1"/>
    <col min="93" max="93" width="7.85546875" style="282" customWidth="1"/>
    <col min="94" max="95" width="12.42578125" style="282" hidden="1" customWidth="1"/>
    <col min="96" max="96" width="9.85546875" style="282" hidden="1" customWidth="1"/>
    <col min="97" max="97" width="8.7109375" style="282" customWidth="1"/>
    <col min="98" max="98" width="12.28515625" style="282" hidden="1" customWidth="1"/>
    <col min="99" max="99" width="12" style="282" hidden="1" customWidth="1"/>
    <col min="100" max="100" width="9.85546875" style="282" hidden="1" customWidth="1"/>
    <col min="101" max="101" width="9.85546875" style="282" customWidth="1"/>
    <col min="102" max="102" width="12.28515625" style="282" hidden="1" customWidth="1"/>
    <col min="103" max="103" width="12" style="282" hidden="1" customWidth="1"/>
    <col min="104" max="104" width="9.85546875" style="282" hidden="1" customWidth="1"/>
    <col min="105" max="105" width="8.7109375" style="282" customWidth="1"/>
    <col min="106" max="106" width="12.28515625" style="282" hidden="1" customWidth="1"/>
    <col min="107" max="107" width="12" style="282" hidden="1" customWidth="1"/>
    <col min="108" max="108" width="9.85546875" style="282" hidden="1" customWidth="1"/>
    <col min="109" max="109" width="9.28515625" style="282" customWidth="1"/>
    <col min="110" max="110" width="12.28515625" style="282" hidden="1" customWidth="1"/>
    <col min="111" max="111" width="12" style="282" hidden="1" customWidth="1"/>
    <col min="112" max="112" width="9.85546875" style="282" hidden="1" customWidth="1"/>
    <col min="113" max="113" width="11" style="282" hidden="1" customWidth="1"/>
    <col min="114" max="114" width="12.28515625" style="282" hidden="1" customWidth="1"/>
    <col min="115" max="115" width="12" style="282" hidden="1" customWidth="1"/>
    <col min="116" max="116" width="9.85546875" style="282" hidden="1" customWidth="1"/>
    <col min="117" max="117" width="9.85546875" style="282" customWidth="1"/>
    <col min="118" max="118" width="12.28515625" style="282" hidden="1" customWidth="1"/>
    <col min="119" max="119" width="12" style="282" hidden="1" customWidth="1"/>
    <col min="120" max="120" width="9.85546875" style="282" hidden="1" customWidth="1"/>
    <col min="121" max="121" width="7.85546875" style="282" customWidth="1"/>
    <col min="122" max="122" width="12.28515625" style="282" hidden="1" customWidth="1"/>
    <col min="123" max="123" width="12" style="282" hidden="1" customWidth="1"/>
    <col min="124" max="124" width="9.85546875" style="282" hidden="1" customWidth="1"/>
    <col min="125" max="125" width="9.28515625" style="282" customWidth="1"/>
    <col min="126" max="126" width="12.28515625" style="282" hidden="1" customWidth="1"/>
    <col min="127" max="127" width="12" style="282" hidden="1" customWidth="1"/>
    <col min="128" max="128" width="9.85546875" style="282" hidden="1" customWidth="1"/>
    <col min="129" max="129" width="11" style="282" hidden="1" customWidth="1"/>
    <col min="130" max="130" width="12.28515625" style="282" hidden="1" customWidth="1"/>
    <col min="131" max="131" width="12" style="282" hidden="1" customWidth="1"/>
    <col min="132" max="132" width="9.85546875" style="282" hidden="1" customWidth="1"/>
    <col min="133" max="133" width="11" style="282" hidden="1" customWidth="1"/>
    <col min="134" max="134" width="12.28515625" style="282" hidden="1" customWidth="1"/>
    <col min="135" max="135" width="12" style="282" hidden="1" customWidth="1"/>
    <col min="136" max="136" width="9.85546875" style="282" hidden="1" customWidth="1"/>
    <col min="137" max="137" width="9" style="282" customWidth="1"/>
    <col min="138" max="138" width="12.28515625" style="282" hidden="1" customWidth="1"/>
    <col min="139" max="139" width="12" style="282" hidden="1" customWidth="1"/>
    <col min="140" max="140" width="9.85546875" style="282" hidden="1" customWidth="1"/>
    <col min="141" max="141" width="11" style="282" hidden="1" customWidth="1"/>
    <col min="142" max="142" width="12.28515625" style="282" hidden="1" customWidth="1"/>
    <col min="143" max="143" width="12" style="282" hidden="1" customWidth="1"/>
    <col min="144" max="144" width="9.85546875" style="282" hidden="1" customWidth="1"/>
    <col min="145" max="145" width="7.85546875" style="282" customWidth="1"/>
    <col min="146" max="146" width="12.28515625" style="282" hidden="1" customWidth="1"/>
    <col min="147" max="147" width="12" style="282" hidden="1" customWidth="1"/>
    <col min="148" max="148" width="9.85546875" style="282" hidden="1" customWidth="1"/>
    <col min="149" max="149" width="11" style="282" hidden="1" customWidth="1"/>
    <col min="150" max="150" width="12.28515625" style="282" hidden="1" customWidth="1"/>
    <col min="151" max="151" width="12" style="282" hidden="1" customWidth="1"/>
    <col min="152" max="152" width="9.85546875" style="282" hidden="1" customWidth="1"/>
    <col min="153" max="153" width="11.7109375" style="282" hidden="1" customWidth="1"/>
    <col min="154" max="154" width="10.85546875" style="282" hidden="1" customWidth="1"/>
    <col min="155" max="155" width="11.7109375" style="282" hidden="1" customWidth="1"/>
    <col min="156" max="156" width="9" style="282" hidden="1" customWidth="1"/>
    <col min="157" max="157" width="8.85546875" style="282" customWidth="1"/>
    <col min="158" max="158" width="12.28515625" style="282" hidden="1" customWidth="1"/>
    <col min="159" max="159" width="12" style="282" hidden="1" customWidth="1"/>
    <col min="160" max="160" width="9.85546875" style="282" hidden="1" customWidth="1"/>
    <col min="161" max="161" width="9.28515625" style="282" customWidth="1"/>
    <col min="162" max="162" width="12.28515625" style="282" hidden="1" customWidth="1"/>
    <col min="163" max="163" width="12" style="282" hidden="1" customWidth="1"/>
    <col min="164" max="164" width="9.85546875" style="282" hidden="1" customWidth="1"/>
    <col min="165" max="165" width="11" style="282" hidden="1" customWidth="1"/>
    <col min="166" max="166" width="12.28515625" style="282" hidden="1" customWidth="1"/>
    <col min="167" max="167" width="12" style="282" hidden="1" customWidth="1"/>
    <col min="168" max="168" width="9.85546875" style="282" hidden="1" customWidth="1"/>
    <col min="169" max="172" width="0" style="282" hidden="1" customWidth="1"/>
    <col min="173" max="173" width="9.28515625" style="282" customWidth="1"/>
    <col min="174" max="174" width="12.28515625" style="282" hidden="1" customWidth="1"/>
    <col min="175" max="175" width="12" style="282" hidden="1" customWidth="1"/>
    <col min="176" max="176" width="9.85546875" style="282" hidden="1" customWidth="1"/>
    <col min="177" max="177" width="9" style="282" customWidth="1"/>
    <col min="178" max="178" width="12.28515625" style="282" hidden="1" customWidth="1"/>
    <col min="179" max="179" width="12" style="282" hidden="1" customWidth="1"/>
    <col min="180" max="180" width="9.85546875" style="282" hidden="1" customWidth="1"/>
    <col min="181" max="181" width="11" style="282" hidden="1" customWidth="1"/>
    <col min="182" max="182" width="12.28515625" style="282" hidden="1" customWidth="1"/>
    <col min="183" max="183" width="12" style="282" hidden="1" customWidth="1"/>
    <col min="184" max="184" width="9.85546875" style="282" hidden="1" customWidth="1"/>
    <col min="185" max="185" width="7.5703125" style="282" customWidth="1"/>
    <col min="186" max="186" width="12.28515625" style="282" hidden="1" customWidth="1"/>
    <col min="187" max="187" width="12" style="282" hidden="1" customWidth="1"/>
    <col min="188" max="188" width="9.85546875" style="282" hidden="1" customWidth="1"/>
    <col min="189" max="189" width="11" style="282" hidden="1" customWidth="1"/>
    <col min="190" max="190" width="12.28515625" style="282" hidden="1" customWidth="1"/>
    <col min="191" max="191" width="12" style="282" hidden="1" customWidth="1"/>
    <col min="192" max="192" width="9.85546875" style="282" hidden="1" customWidth="1"/>
    <col min="193" max="193" width="11" style="282" hidden="1" customWidth="1"/>
    <col min="194" max="194" width="12.28515625" style="282" hidden="1" customWidth="1"/>
    <col min="195" max="195" width="12" style="282" hidden="1" customWidth="1"/>
    <col min="196" max="196" width="9.85546875" style="282" hidden="1" customWidth="1"/>
    <col min="197" max="197" width="11" style="282" hidden="1" customWidth="1"/>
    <col min="198" max="198" width="12.28515625" style="282" hidden="1" customWidth="1"/>
    <col min="199" max="199" width="12" style="282" hidden="1" customWidth="1"/>
    <col min="200" max="200" width="9.85546875" style="282" hidden="1" customWidth="1"/>
    <col min="201" max="201" width="11" style="282" hidden="1" customWidth="1"/>
    <col min="202" max="202" width="12.28515625" style="282" hidden="1" customWidth="1"/>
    <col min="203" max="203" width="12" style="282" hidden="1" customWidth="1"/>
    <col min="204" max="204" width="9.85546875" style="282" hidden="1" customWidth="1"/>
    <col min="205" max="205" width="11" style="282" hidden="1" customWidth="1"/>
    <col min="206" max="206" width="12.28515625" style="282" hidden="1" customWidth="1"/>
    <col min="207" max="207" width="12" style="282" hidden="1" customWidth="1"/>
    <col min="208" max="208" width="9.85546875" style="282" hidden="1" customWidth="1"/>
    <col min="209" max="209" width="0" style="471" hidden="1" customWidth="1"/>
    <col min="210" max="210" width="0" style="285" hidden="1" customWidth="1"/>
    <col min="211" max="223" width="0" style="286" hidden="1" customWidth="1"/>
    <col min="224" max="224" width="9.85546875" style="286" customWidth="1"/>
    <col min="225" max="225" width="10.42578125" style="286" customWidth="1"/>
    <col min="226" max="226" width="9" style="286" customWidth="1"/>
    <col min="227" max="227" width="11.28515625" style="286" customWidth="1"/>
    <col min="228" max="228" width="10.140625" style="286" customWidth="1"/>
    <col min="229" max="229" width="10.7109375" style="286" customWidth="1"/>
    <col min="230" max="230" width="9.28515625" style="286"/>
    <col min="231" max="232" width="9.140625" style="286" customWidth="1"/>
    <col min="233" max="256" width="9.28515625" style="286"/>
    <col min="257" max="257" width="4.28515625" style="286" customWidth="1"/>
    <col min="258" max="258" width="5.42578125" style="286" customWidth="1"/>
    <col min="259" max="259" width="41.5703125" style="286" customWidth="1"/>
    <col min="260" max="260" width="7.42578125" style="286" customWidth="1"/>
    <col min="261" max="261" width="13.140625" style="286" customWidth="1"/>
    <col min="262" max="262" width="11.7109375" style="286" customWidth="1"/>
    <col min="263" max="263" width="14.7109375" style="286" customWidth="1"/>
    <col min="264" max="264" width="11.7109375" style="286" customWidth="1"/>
    <col min="265" max="265" width="12" style="286" customWidth="1"/>
    <col min="266" max="266" width="9.7109375" style="286" customWidth="1"/>
    <col min="267" max="268" width="9.42578125" style="286" customWidth="1"/>
    <col min="269" max="269" width="10.7109375" style="286" customWidth="1"/>
    <col min="270" max="270" width="13.42578125" style="286" customWidth="1"/>
    <col min="271" max="271" width="12" style="286" customWidth="1"/>
    <col min="272" max="272" width="11" style="286" customWidth="1"/>
    <col min="273" max="273" width="10.5703125" style="286" customWidth="1"/>
    <col min="274" max="274" width="10.42578125" style="286" customWidth="1"/>
    <col min="275" max="275" width="10.7109375" style="286" customWidth="1"/>
    <col min="276" max="277" width="11.140625" style="286" customWidth="1"/>
    <col min="278" max="278" width="10.5703125" style="286" customWidth="1"/>
    <col min="279" max="279" width="10.85546875" style="286" customWidth="1"/>
    <col min="280" max="280" width="9.85546875" style="286" customWidth="1"/>
    <col min="281" max="281" width="11" style="286" customWidth="1"/>
    <col min="282" max="282" width="11.42578125" style="286" customWidth="1"/>
    <col min="283" max="283" width="12" style="286" customWidth="1"/>
    <col min="284" max="284" width="9.85546875" style="286" customWidth="1"/>
    <col min="285" max="285" width="10.5703125" style="286" customWidth="1"/>
    <col min="286" max="286" width="11.140625" style="286" customWidth="1"/>
    <col min="287" max="287" width="11.42578125" style="286" customWidth="1"/>
    <col min="288" max="292" width="9.85546875" style="286" customWidth="1"/>
    <col min="293" max="295" width="11.7109375" style="286" customWidth="1"/>
    <col min="296" max="296" width="9.85546875" style="286" customWidth="1"/>
    <col min="297" max="297" width="11" style="286" customWidth="1"/>
    <col min="298" max="298" width="11.42578125" style="286" customWidth="1"/>
    <col min="299" max="299" width="11.140625" style="286" customWidth="1"/>
    <col min="300" max="300" width="10.42578125" style="286" customWidth="1"/>
    <col min="301" max="301" width="11.5703125" style="286" customWidth="1"/>
    <col min="302" max="303" width="11.140625" style="286" customWidth="1"/>
    <col min="304" max="316" width="9.85546875" style="286" customWidth="1"/>
    <col min="317" max="317" width="10.5703125" style="286" customWidth="1"/>
    <col min="318" max="318" width="12.42578125" style="286" customWidth="1"/>
    <col min="319" max="319" width="10.140625" style="286" customWidth="1"/>
    <col min="320" max="320" width="9.140625" style="286" customWidth="1"/>
    <col min="321" max="321" width="9" style="286" customWidth="1"/>
    <col min="322" max="323" width="9.7109375" style="286" customWidth="1"/>
    <col min="324" max="324" width="8.42578125" style="286" customWidth="1"/>
    <col min="325" max="325" width="11.7109375" style="286" customWidth="1"/>
    <col min="326" max="326" width="10.85546875" style="286" customWidth="1"/>
    <col min="327" max="327" width="11.7109375" style="286" customWidth="1"/>
    <col min="328" max="328" width="9" style="286" customWidth="1"/>
    <col min="329" max="329" width="11" style="286" customWidth="1"/>
    <col min="330" max="330" width="10.5703125" style="286" customWidth="1"/>
    <col min="331" max="331" width="11.7109375" style="286" customWidth="1"/>
    <col min="332" max="333" width="11" style="286" customWidth="1"/>
    <col min="334" max="336" width="11.140625" style="286" customWidth="1"/>
    <col min="337" max="337" width="8.7109375" style="286" customWidth="1"/>
    <col min="338" max="338" width="11.140625" style="286" customWidth="1"/>
    <col min="339" max="339" width="9.28515625" style="286"/>
    <col min="340" max="340" width="11.140625" style="286" customWidth="1"/>
    <col min="341" max="341" width="10.5703125" style="286" customWidth="1"/>
    <col min="342" max="342" width="12.28515625" style="286" customWidth="1"/>
    <col min="343" max="343" width="12" style="286" customWidth="1"/>
    <col min="344" max="344" width="9.85546875" style="286" customWidth="1"/>
    <col min="345" max="345" width="11" style="286" customWidth="1"/>
    <col min="346" max="346" width="12.28515625" style="286" customWidth="1"/>
    <col min="347" max="347" width="12" style="286" customWidth="1"/>
    <col min="348" max="348" width="9.85546875" style="286" customWidth="1"/>
    <col min="349" max="349" width="11" style="286" customWidth="1"/>
    <col min="350" max="350" width="12.28515625" style="286" customWidth="1"/>
    <col min="351" max="351" width="12" style="286" customWidth="1"/>
    <col min="352" max="352" width="9.85546875" style="286" customWidth="1"/>
    <col min="353" max="353" width="11" style="286" customWidth="1"/>
    <col min="354" max="354" width="12.28515625" style="286" customWidth="1"/>
    <col min="355" max="355" width="12" style="286" customWidth="1"/>
    <col min="356" max="356" width="9.85546875" style="286" customWidth="1"/>
    <col min="357" max="357" width="11" style="286" customWidth="1"/>
    <col min="358" max="358" width="12.28515625" style="286" customWidth="1"/>
    <col min="359" max="359" width="12" style="286" customWidth="1"/>
    <col min="360" max="360" width="9.85546875" style="286" customWidth="1"/>
    <col min="361" max="361" width="11" style="286" customWidth="1"/>
    <col min="362" max="362" width="12.28515625" style="286" customWidth="1"/>
    <col min="363" max="363" width="12" style="286" customWidth="1"/>
    <col min="364" max="364" width="9.85546875" style="286" customWidth="1"/>
    <col min="365" max="365" width="11" style="286" customWidth="1"/>
    <col min="366" max="366" width="12.28515625" style="286" customWidth="1"/>
    <col min="367" max="367" width="12" style="286" customWidth="1"/>
    <col min="368" max="368" width="9.85546875" style="286" customWidth="1"/>
    <col min="369" max="369" width="11" style="286" customWidth="1"/>
    <col min="370" max="370" width="12.28515625" style="286" customWidth="1"/>
    <col min="371" max="371" width="12" style="286" customWidth="1"/>
    <col min="372" max="372" width="9.85546875" style="286" customWidth="1"/>
    <col min="373" max="373" width="11" style="286" customWidth="1"/>
    <col min="374" max="374" width="12.28515625" style="286" customWidth="1"/>
    <col min="375" max="375" width="12" style="286" customWidth="1"/>
    <col min="376" max="376" width="9.85546875" style="286" customWidth="1"/>
    <col min="377" max="377" width="11" style="286" customWidth="1"/>
    <col min="378" max="378" width="12.28515625" style="286" customWidth="1"/>
    <col min="379" max="379" width="12" style="286" customWidth="1"/>
    <col min="380" max="380" width="9.85546875" style="286" customWidth="1"/>
    <col min="381" max="381" width="11" style="286" customWidth="1"/>
    <col min="382" max="382" width="12.28515625" style="286" customWidth="1"/>
    <col min="383" max="383" width="12" style="286" customWidth="1"/>
    <col min="384" max="384" width="9.85546875" style="286" customWidth="1"/>
    <col min="385" max="385" width="11" style="286" customWidth="1"/>
    <col min="386" max="386" width="12.28515625" style="286" customWidth="1"/>
    <col min="387" max="387" width="12" style="286" customWidth="1"/>
    <col min="388" max="388" width="9.85546875" style="286" customWidth="1"/>
    <col min="389" max="389" width="11" style="286" customWidth="1"/>
    <col min="390" max="390" width="12.28515625" style="286" customWidth="1"/>
    <col min="391" max="391" width="12" style="286" customWidth="1"/>
    <col min="392" max="392" width="9.85546875" style="286" customWidth="1"/>
    <col min="393" max="393" width="11" style="286" customWidth="1"/>
    <col min="394" max="394" width="12.28515625" style="286" customWidth="1"/>
    <col min="395" max="395" width="12" style="286" customWidth="1"/>
    <col min="396" max="396" width="9.85546875" style="286" customWidth="1"/>
    <col min="397" max="397" width="11" style="286" customWidth="1"/>
    <col min="398" max="398" width="12.28515625" style="286" customWidth="1"/>
    <col min="399" max="399" width="12" style="286" customWidth="1"/>
    <col min="400" max="400" width="9.85546875" style="286" customWidth="1"/>
    <col min="401" max="401" width="11" style="286" customWidth="1"/>
    <col min="402" max="402" width="12.28515625" style="286" customWidth="1"/>
    <col min="403" max="403" width="12" style="286" customWidth="1"/>
    <col min="404" max="404" width="9.85546875" style="286" customWidth="1"/>
    <col min="405" max="405" width="11" style="286" customWidth="1"/>
    <col min="406" max="406" width="12.28515625" style="286" customWidth="1"/>
    <col min="407" max="407" width="12" style="286" customWidth="1"/>
    <col min="408" max="408" width="9.85546875" style="286" customWidth="1"/>
    <col min="409" max="409" width="11.7109375" style="286" customWidth="1"/>
    <col min="410" max="410" width="10.85546875" style="286" customWidth="1"/>
    <col min="411" max="411" width="11.7109375" style="286" customWidth="1"/>
    <col min="412" max="412" width="9" style="286" customWidth="1"/>
    <col min="413" max="413" width="11" style="286" customWidth="1"/>
    <col min="414" max="414" width="12.28515625" style="286" customWidth="1"/>
    <col min="415" max="415" width="12" style="286" customWidth="1"/>
    <col min="416" max="416" width="9.85546875" style="286" customWidth="1"/>
    <col min="417" max="417" width="11" style="286" customWidth="1"/>
    <col min="418" max="418" width="12.28515625" style="286" customWidth="1"/>
    <col min="419" max="419" width="12" style="286" customWidth="1"/>
    <col min="420" max="420" width="9.85546875" style="286" customWidth="1"/>
    <col min="421" max="421" width="11" style="286" customWidth="1"/>
    <col min="422" max="422" width="12.28515625" style="286" customWidth="1"/>
    <col min="423" max="423" width="12" style="286" customWidth="1"/>
    <col min="424" max="424" width="9.85546875" style="286" customWidth="1"/>
    <col min="425" max="428" width="0" style="286" hidden="1" customWidth="1"/>
    <col min="429" max="429" width="11" style="286" customWidth="1"/>
    <col min="430" max="430" width="12.28515625" style="286" customWidth="1"/>
    <col min="431" max="431" width="12" style="286" customWidth="1"/>
    <col min="432" max="432" width="9.85546875" style="286" customWidth="1"/>
    <col min="433" max="433" width="11" style="286" customWidth="1"/>
    <col min="434" max="434" width="12.28515625" style="286" customWidth="1"/>
    <col min="435" max="435" width="12" style="286" customWidth="1"/>
    <col min="436" max="436" width="9.85546875" style="286" customWidth="1"/>
    <col min="437" max="437" width="11" style="286" customWidth="1"/>
    <col min="438" max="438" width="12.28515625" style="286" customWidth="1"/>
    <col min="439" max="439" width="12" style="286" customWidth="1"/>
    <col min="440" max="440" width="9.85546875" style="286" customWidth="1"/>
    <col min="441" max="441" width="11" style="286" customWidth="1"/>
    <col min="442" max="442" width="12.28515625" style="286" customWidth="1"/>
    <col min="443" max="443" width="12" style="286" customWidth="1"/>
    <col min="444" max="444" width="9.85546875" style="286" customWidth="1"/>
    <col min="445" max="445" width="11" style="286" customWidth="1"/>
    <col min="446" max="446" width="12.28515625" style="286" customWidth="1"/>
    <col min="447" max="447" width="12" style="286" customWidth="1"/>
    <col min="448" max="448" width="9.85546875" style="286" customWidth="1"/>
    <col min="449" max="449" width="11" style="286" customWidth="1"/>
    <col min="450" max="450" width="12.28515625" style="286" customWidth="1"/>
    <col min="451" max="451" width="12" style="286" customWidth="1"/>
    <col min="452" max="452" width="9.85546875" style="286" customWidth="1"/>
    <col min="453" max="453" width="11" style="286" customWidth="1"/>
    <col min="454" max="454" width="12.28515625" style="286" customWidth="1"/>
    <col min="455" max="455" width="12" style="286" customWidth="1"/>
    <col min="456" max="456" width="9.85546875" style="286" customWidth="1"/>
    <col min="457" max="457" width="11" style="286" customWidth="1"/>
    <col min="458" max="458" width="12.28515625" style="286" customWidth="1"/>
    <col min="459" max="459" width="12" style="286" customWidth="1"/>
    <col min="460" max="460" width="9.85546875" style="286" customWidth="1"/>
    <col min="461" max="461" width="11" style="286" customWidth="1"/>
    <col min="462" max="462" width="12.28515625" style="286" customWidth="1"/>
    <col min="463" max="463" width="12" style="286" customWidth="1"/>
    <col min="464" max="464" width="9.85546875" style="286" customWidth="1"/>
    <col min="465" max="479" width="0" style="286" hidden="1" customWidth="1"/>
    <col min="480" max="480" width="9.85546875" style="286" customWidth="1"/>
    <col min="481" max="481" width="10.42578125" style="286" customWidth="1"/>
    <col min="482" max="482" width="9" style="286" customWidth="1"/>
    <col min="483" max="483" width="11.28515625" style="286" customWidth="1"/>
    <col min="484" max="484" width="10.140625" style="286" customWidth="1"/>
    <col min="485" max="485" width="10.7109375" style="286" customWidth="1"/>
    <col min="486" max="486" width="9.28515625" style="286"/>
    <col min="487" max="488" width="9.140625" style="286" customWidth="1"/>
    <col min="489" max="512" width="9.28515625" style="286"/>
    <col min="513" max="513" width="4.28515625" style="286" customWidth="1"/>
    <col min="514" max="514" width="5.42578125" style="286" customWidth="1"/>
    <col min="515" max="515" width="41.5703125" style="286" customWidth="1"/>
    <col min="516" max="516" width="7.42578125" style="286" customWidth="1"/>
    <col min="517" max="517" width="13.140625" style="286" customWidth="1"/>
    <col min="518" max="518" width="11.7109375" style="286" customWidth="1"/>
    <col min="519" max="519" width="14.7109375" style="286" customWidth="1"/>
    <col min="520" max="520" width="11.7109375" style="286" customWidth="1"/>
    <col min="521" max="521" width="12" style="286" customWidth="1"/>
    <col min="522" max="522" width="9.7109375" style="286" customWidth="1"/>
    <col min="523" max="524" width="9.42578125" style="286" customWidth="1"/>
    <col min="525" max="525" width="10.7109375" style="286" customWidth="1"/>
    <col min="526" max="526" width="13.42578125" style="286" customWidth="1"/>
    <col min="527" max="527" width="12" style="286" customWidth="1"/>
    <col min="528" max="528" width="11" style="286" customWidth="1"/>
    <col min="529" max="529" width="10.5703125" style="286" customWidth="1"/>
    <col min="530" max="530" width="10.42578125" style="286" customWidth="1"/>
    <col min="531" max="531" width="10.7109375" style="286" customWidth="1"/>
    <col min="532" max="533" width="11.140625" style="286" customWidth="1"/>
    <col min="534" max="534" width="10.5703125" style="286" customWidth="1"/>
    <col min="535" max="535" width="10.85546875" style="286" customWidth="1"/>
    <col min="536" max="536" width="9.85546875" style="286" customWidth="1"/>
    <col min="537" max="537" width="11" style="286" customWidth="1"/>
    <col min="538" max="538" width="11.42578125" style="286" customWidth="1"/>
    <col min="539" max="539" width="12" style="286" customWidth="1"/>
    <col min="540" max="540" width="9.85546875" style="286" customWidth="1"/>
    <col min="541" max="541" width="10.5703125" style="286" customWidth="1"/>
    <col min="542" max="542" width="11.140625" style="286" customWidth="1"/>
    <col min="543" max="543" width="11.42578125" style="286" customWidth="1"/>
    <col min="544" max="548" width="9.85546875" style="286" customWidth="1"/>
    <col min="549" max="551" width="11.7109375" style="286" customWidth="1"/>
    <col min="552" max="552" width="9.85546875" style="286" customWidth="1"/>
    <col min="553" max="553" width="11" style="286" customWidth="1"/>
    <col min="554" max="554" width="11.42578125" style="286" customWidth="1"/>
    <col min="555" max="555" width="11.140625" style="286" customWidth="1"/>
    <col min="556" max="556" width="10.42578125" style="286" customWidth="1"/>
    <col min="557" max="557" width="11.5703125" style="286" customWidth="1"/>
    <col min="558" max="559" width="11.140625" style="286" customWidth="1"/>
    <col min="560" max="572" width="9.85546875" style="286" customWidth="1"/>
    <col min="573" max="573" width="10.5703125" style="286" customWidth="1"/>
    <col min="574" max="574" width="12.42578125" style="286" customWidth="1"/>
    <col min="575" max="575" width="10.140625" style="286" customWidth="1"/>
    <col min="576" max="576" width="9.140625" style="286" customWidth="1"/>
    <col min="577" max="577" width="9" style="286" customWidth="1"/>
    <col min="578" max="579" width="9.7109375" style="286" customWidth="1"/>
    <col min="580" max="580" width="8.42578125" style="286" customWidth="1"/>
    <col min="581" max="581" width="11.7109375" style="286" customWidth="1"/>
    <col min="582" max="582" width="10.85546875" style="286" customWidth="1"/>
    <col min="583" max="583" width="11.7109375" style="286" customWidth="1"/>
    <col min="584" max="584" width="9" style="286" customWidth="1"/>
    <col min="585" max="585" width="11" style="286" customWidth="1"/>
    <col min="586" max="586" width="10.5703125" style="286" customWidth="1"/>
    <col min="587" max="587" width="11.7109375" style="286" customWidth="1"/>
    <col min="588" max="589" width="11" style="286" customWidth="1"/>
    <col min="590" max="592" width="11.140625" style="286" customWidth="1"/>
    <col min="593" max="593" width="8.7109375" style="286" customWidth="1"/>
    <col min="594" max="594" width="11.140625" style="286" customWidth="1"/>
    <col min="595" max="595" width="9.28515625" style="286"/>
    <col min="596" max="596" width="11.140625" style="286" customWidth="1"/>
    <col min="597" max="597" width="10.5703125" style="286" customWidth="1"/>
    <col min="598" max="598" width="12.28515625" style="286" customWidth="1"/>
    <col min="599" max="599" width="12" style="286" customWidth="1"/>
    <col min="600" max="600" width="9.85546875" style="286" customWidth="1"/>
    <col min="601" max="601" width="11" style="286" customWidth="1"/>
    <col min="602" max="602" width="12.28515625" style="286" customWidth="1"/>
    <col min="603" max="603" width="12" style="286" customWidth="1"/>
    <col min="604" max="604" width="9.85546875" style="286" customWidth="1"/>
    <col min="605" max="605" width="11" style="286" customWidth="1"/>
    <col min="606" max="606" width="12.28515625" style="286" customWidth="1"/>
    <col min="607" max="607" width="12" style="286" customWidth="1"/>
    <col min="608" max="608" width="9.85546875" style="286" customWidth="1"/>
    <col min="609" max="609" width="11" style="286" customWidth="1"/>
    <col min="610" max="610" width="12.28515625" style="286" customWidth="1"/>
    <col min="611" max="611" width="12" style="286" customWidth="1"/>
    <col min="612" max="612" width="9.85546875" style="286" customWidth="1"/>
    <col min="613" max="613" width="11" style="286" customWidth="1"/>
    <col min="614" max="614" width="12.28515625" style="286" customWidth="1"/>
    <col min="615" max="615" width="12" style="286" customWidth="1"/>
    <col min="616" max="616" width="9.85546875" style="286" customWidth="1"/>
    <col min="617" max="617" width="11" style="286" customWidth="1"/>
    <col min="618" max="618" width="12.28515625" style="286" customWidth="1"/>
    <col min="619" max="619" width="12" style="286" customWidth="1"/>
    <col min="620" max="620" width="9.85546875" style="286" customWidth="1"/>
    <col min="621" max="621" width="11" style="286" customWidth="1"/>
    <col min="622" max="622" width="12.28515625" style="286" customWidth="1"/>
    <col min="623" max="623" width="12" style="286" customWidth="1"/>
    <col min="624" max="624" width="9.85546875" style="286" customWidth="1"/>
    <col min="625" max="625" width="11" style="286" customWidth="1"/>
    <col min="626" max="626" width="12.28515625" style="286" customWidth="1"/>
    <col min="627" max="627" width="12" style="286" customWidth="1"/>
    <col min="628" max="628" width="9.85546875" style="286" customWidth="1"/>
    <col min="629" max="629" width="11" style="286" customWidth="1"/>
    <col min="630" max="630" width="12.28515625" style="286" customWidth="1"/>
    <col min="631" max="631" width="12" style="286" customWidth="1"/>
    <col min="632" max="632" width="9.85546875" style="286" customWidth="1"/>
    <col min="633" max="633" width="11" style="286" customWidth="1"/>
    <col min="634" max="634" width="12.28515625" style="286" customWidth="1"/>
    <col min="635" max="635" width="12" style="286" customWidth="1"/>
    <col min="636" max="636" width="9.85546875" style="286" customWidth="1"/>
    <col min="637" max="637" width="11" style="286" customWidth="1"/>
    <col min="638" max="638" width="12.28515625" style="286" customWidth="1"/>
    <col min="639" max="639" width="12" style="286" customWidth="1"/>
    <col min="640" max="640" width="9.85546875" style="286" customWidth="1"/>
    <col min="641" max="641" width="11" style="286" customWidth="1"/>
    <col min="642" max="642" width="12.28515625" style="286" customWidth="1"/>
    <col min="643" max="643" width="12" style="286" customWidth="1"/>
    <col min="644" max="644" width="9.85546875" style="286" customWidth="1"/>
    <col min="645" max="645" width="11" style="286" customWidth="1"/>
    <col min="646" max="646" width="12.28515625" style="286" customWidth="1"/>
    <col min="647" max="647" width="12" style="286" customWidth="1"/>
    <col min="648" max="648" width="9.85546875" style="286" customWidth="1"/>
    <col min="649" max="649" width="11" style="286" customWidth="1"/>
    <col min="650" max="650" width="12.28515625" style="286" customWidth="1"/>
    <col min="651" max="651" width="12" style="286" customWidth="1"/>
    <col min="652" max="652" width="9.85546875" style="286" customWidth="1"/>
    <col min="653" max="653" width="11" style="286" customWidth="1"/>
    <col min="654" max="654" width="12.28515625" style="286" customWidth="1"/>
    <col min="655" max="655" width="12" style="286" customWidth="1"/>
    <col min="656" max="656" width="9.85546875" style="286" customWidth="1"/>
    <col min="657" max="657" width="11" style="286" customWidth="1"/>
    <col min="658" max="658" width="12.28515625" style="286" customWidth="1"/>
    <col min="659" max="659" width="12" style="286" customWidth="1"/>
    <col min="660" max="660" width="9.85546875" style="286" customWidth="1"/>
    <col min="661" max="661" width="11" style="286" customWidth="1"/>
    <col min="662" max="662" width="12.28515625" style="286" customWidth="1"/>
    <col min="663" max="663" width="12" style="286" customWidth="1"/>
    <col min="664" max="664" width="9.85546875" style="286" customWidth="1"/>
    <col min="665" max="665" width="11.7109375" style="286" customWidth="1"/>
    <col min="666" max="666" width="10.85546875" style="286" customWidth="1"/>
    <col min="667" max="667" width="11.7109375" style="286" customWidth="1"/>
    <col min="668" max="668" width="9" style="286" customWidth="1"/>
    <col min="669" max="669" width="11" style="286" customWidth="1"/>
    <col min="670" max="670" width="12.28515625" style="286" customWidth="1"/>
    <col min="671" max="671" width="12" style="286" customWidth="1"/>
    <col min="672" max="672" width="9.85546875" style="286" customWidth="1"/>
    <col min="673" max="673" width="11" style="286" customWidth="1"/>
    <col min="674" max="674" width="12.28515625" style="286" customWidth="1"/>
    <col min="675" max="675" width="12" style="286" customWidth="1"/>
    <col min="676" max="676" width="9.85546875" style="286" customWidth="1"/>
    <col min="677" max="677" width="11" style="286" customWidth="1"/>
    <col min="678" max="678" width="12.28515625" style="286" customWidth="1"/>
    <col min="679" max="679" width="12" style="286" customWidth="1"/>
    <col min="680" max="680" width="9.85546875" style="286" customWidth="1"/>
    <col min="681" max="684" width="0" style="286" hidden="1" customWidth="1"/>
    <col min="685" max="685" width="11" style="286" customWidth="1"/>
    <col min="686" max="686" width="12.28515625" style="286" customWidth="1"/>
    <col min="687" max="687" width="12" style="286" customWidth="1"/>
    <col min="688" max="688" width="9.85546875" style="286" customWidth="1"/>
    <col min="689" max="689" width="11" style="286" customWidth="1"/>
    <col min="690" max="690" width="12.28515625" style="286" customWidth="1"/>
    <col min="691" max="691" width="12" style="286" customWidth="1"/>
    <col min="692" max="692" width="9.85546875" style="286" customWidth="1"/>
    <col min="693" max="693" width="11" style="286" customWidth="1"/>
    <col min="694" max="694" width="12.28515625" style="286" customWidth="1"/>
    <col min="695" max="695" width="12" style="286" customWidth="1"/>
    <col min="696" max="696" width="9.85546875" style="286" customWidth="1"/>
    <col min="697" max="697" width="11" style="286" customWidth="1"/>
    <col min="698" max="698" width="12.28515625" style="286" customWidth="1"/>
    <col min="699" max="699" width="12" style="286" customWidth="1"/>
    <col min="700" max="700" width="9.85546875" style="286" customWidth="1"/>
    <col min="701" max="701" width="11" style="286" customWidth="1"/>
    <col min="702" max="702" width="12.28515625" style="286" customWidth="1"/>
    <col min="703" max="703" width="12" style="286" customWidth="1"/>
    <col min="704" max="704" width="9.85546875" style="286" customWidth="1"/>
    <col min="705" max="705" width="11" style="286" customWidth="1"/>
    <col min="706" max="706" width="12.28515625" style="286" customWidth="1"/>
    <col min="707" max="707" width="12" style="286" customWidth="1"/>
    <col min="708" max="708" width="9.85546875" style="286" customWidth="1"/>
    <col min="709" max="709" width="11" style="286" customWidth="1"/>
    <col min="710" max="710" width="12.28515625" style="286" customWidth="1"/>
    <col min="711" max="711" width="12" style="286" customWidth="1"/>
    <col min="712" max="712" width="9.85546875" style="286" customWidth="1"/>
    <col min="713" max="713" width="11" style="286" customWidth="1"/>
    <col min="714" max="714" width="12.28515625" style="286" customWidth="1"/>
    <col min="715" max="715" width="12" style="286" customWidth="1"/>
    <col min="716" max="716" width="9.85546875" style="286" customWidth="1"/>
    <col min="717" max="717" width="11" style="286" customWidth="1"/>
    <col min="718" max="718" width="12.28515625" style="286" customWidth="1"/>
    <col min="719" max="719" width="12" style="286" customWidth="1"/>
    <col min="720" max="720" width="9.85546875" style="286" customWidth="1"/>
    <col min="721" max="735" width="0" style="286" hidden="1" customWidth="1"/>
    <col min="736" max="736" width="9.85546875" style="286" customWidth="1"/>
    <col min="737" max="737" width="10.42578125" style="286" customWidth="1"/>
    <col min="738" max="738" width="9" style="286" customWidth="1"/>
    <col min="739" max="739" width="11.28515625" style="286" customWidth="1"/>
    <col min="740" max="740" width="10.140625" style="286" customWidth="1"/>
    <col min="741" max="741" width="10.7109375" style="286" customWidth="1"/>
    <col min="742" max="742" width="9.28515625" style="286"/>
    <col min="743" max="744" width="9.140625" style="286" customWidth="1"/>
    <col min="745" max="768" width="9.28515625" style="286"/>
    <col min="769" max="769" width="4.28515625" style="286" customWidth="1"/>
    <col min="770" max="770" width="5.42578125" style="286" customWidth="1"/>
    <col min="771" max="771" width="41.5703125" style="286" customWidth="1"/>
    <col min="772" max="772" width="7.42578125" style="286" customWidth="1"/>
    <col min="773" max="773" width="13.140625" style="286" customWidth="1"/>
    <col min="774" max="774" width="11.7109375" style="286" customWidth="1"/>
    <col min="775" max="775" width="14.7109375" style="286" customWidth="1"/>
    <col min="776" max="776" width="11.7109375" style="286" customWidth="1"/>
    <col min="777" max="777" width="12" style="286" customWidth="1"/>
    <col min="778" max="778" width="9.7109375" style="286" customWidth="1"/>
    <col min="779" max="780" width="9.42578125" style="286" customWidth="1"/>
    <col min="781" max="781" width="10.7109375" style="286" customWidth="1"/>
    <col min="782" max="782" width="13.42578125" style="286" customWidth="1"/>
    <col min="783" max="783" width="12" style="286" customWidth="1"/>
    <col min="784" max="784" width="11" style="286" customWidth="1"/>
    <col min="785" max="785" width="10.5703125" style="286" customWidth="1"/>
    <col min="786" max="786" width="10.42578125" style="286" customWidth="1"/>
    <col min="787" max="787" width="10.7109375" style="286" customWidth="1"/>
    <col min="788" max="789" width="11.140625" style="286" customWidth="1"/>
    <col min="790" max="790" width="10.5703125" style="286" customWidth="1"/>
    <col min="791" max="791" width="10.85546875" style="286" customWidth="1"/>
    <col min="792" max="792" width="9.85546875" style="286" customWidth="1"/>
    <col min="793" max="793" width="11" style="286" customWidth="1"/>
    <col min="794" max="794" width="11.42578125" style="286" customWidth="1"/>
    <col min="795" max="795" width="12" style="286" customWidth="1"/>
    <col min="796" max="796" width="9.85546875" style="286" customWidth="1"/>
    <col min="797" max="797" width="10.5703125" style="286" customWidth="1"/>
    <col min="798" max="798" width="11.140625" style="286" customWidth="1"/>
    <col min="799" max="799" width="11.42578125" style="286" customWidth="1"/>
    <col min="800" max="804" width="9.85546875" style="286" customWidth="1"/>
    <col min="805" max="807" width="11.7109375" style="286" customWidth="1"/>
    <col min="808" max="808" width="9.85546875" style="286" customWidth="1"/>
    <col min="809" max="809" width="11" style="286" customWidth="1"/>
    <col min="810" max="810" width="11.42578125" style="286" customWidth="1"/>
    <col min="811" max="811" width="11.140625" style="286" customWidth="1"/>
    <col min="812" max="812" width="10.42578125" style="286" customWidth="1"/>
    <col min="813" max="813" width="11.5703125" style="286" customWidth="1"/>
    <col min="814" max="815" width="11.140625" style="286" customWidth="1"/>
    <col min="816" max="828" width="9.85546875" style="286" customWidth="1"/>
    <col min="829" max="829" width="10.5703125" style="286" customWidth="1"/>
    <col min="830" max="830" width="12.42578125" style="286" customWidth="1"/>
    <col min="831" max="831" width="10.140625" style="286" customWidth="1"/>
    <col min="832" max="832" width="9.140625" style="286" customWidth="1"/>
    <col min="833" max="833" width="9" style="286" customWidth="1"/>
    <col min="834" max="835" width="9.7109375" style="286" customWidth="1"/>
    <col min="836" max="836" width="8.42578125" style="286" customWidth="1"/>
    <col min="837" max="837" width="11.7109375" style="286" customWidth="1"/>
    <col min="838" max="838" width="10.85546875" style="286" customWidth="1"/>
    <col min="839" max="839" width="11.7109375" style="286" customWidth="1"/>
    <col min="840" max="840" width="9" style="286" customWidth="1"/>
    <col min="841" max="841" width="11" style="286" customWidth="1"/>
    <col min="842" max="842" width="10.5703125" style="286" customWidth="1"/>
    <col min="843" max="843" width="11.7109375" style="286" customWidth="1"/>
    <col min="844" max="845" width="11" style="286" customWidth="1"/>
    <col min="846" max="848" width="11.140625" style="286" customWidth="1"/>
    <col min="849" max="849" width="8.7109375" style="286" customWidth="1"/>
    <col min="850" max="850" width="11.140625" style="286" customWidth="1"/>
    <col min="851" max="851" width="9.28515625" style="286"/>
    <col min="852" max="852" width="11.140625" style="286" customWidth="1"/>
    <col min="853" max="853" width="10.5703125" style="286" customWidth="1"/>
    <col min="854" max="854" width="12.28515625" style="286" customWidth="1"/>
    <col min="855" max="855" width="12" style="286" customWidth="1"/>
    <col min="856" max="856" width="9.85546875" style="286" customWidth="1"/>
    <col min="857" max="857" width="11" style="286" customWidth="1"/>
    <col min="858" max="858" width="12.28515625" style="286" customWidth="1"/>
    <col min="859" max="859" width="12" style="286" customWidth="1"/>
    <col min="860" max="860" width="9.85546875" style="286" customWidth="1"/>
    <col min="861" max="861" width="11" style="286" customWidth="1"/>
    <col min="862" max="862" width="12.28515625" style="286" customWidth="1"/>
    <col min="863" max="863" width="12" style="286" customWidth="1"/>
    <col min="864" max="864" width="9.85546875" style="286" customWidth="1"/>
    <col min="865" max="865" width="11" style="286" customWidth="1"/>
    <col min="866" max="866" width="12.28515625" style="286" customWidth="1"/>
    <col min="867" max="867" width="12" style="286" customWidth="1"/>
    <col min="868" max="868" width="9.85546875" style="286" customWidth="1"/>
    <col min="869" max="869" width="11" style="286" customWidth="1"/>
    <col min="870" max="870" width="12.28515625" style="286" customWidth="1"/>
    <col min="871" max="871" width="12" style="286" customWidth="1"/>
    <col min="872" max="872" width="9.85546875" style="286" customWidth="1"/>
    <col min="873" max="873" width="11" style="286" customWidth="1"/>
    <col min="874" max="874" width="12.28515625" style="286" customWidth="1"/>
    <col min="875" max="875" width="12" style="286" customWidth="1"/>
    <col min="876" max="876" width="9.85546875" style="286" customWidth="1"/>
    <col min="877" max="877" width="11" style="286" customWidth="1"/>
    <col min="878" max="878" width="12.28515625" style="286" customWidth="1"/>
    <col min="879" max="879" width="12" style="286" customWidth="1"/>
    <col min="880" max="880" width="9.85546875" style="286" customWidth="1"/>
    <col min="881" max="881" width="11" style="286" customWidth="1"/>
    <col min="882" max="882" width="12.28515625" style="286" customWidth="1"/>
    <col min="883" max="883" width="12" style="286" customWidth="1"/>
    <col min="884" max="884" width="9.85546875" style="286" customWidth="1"/>
    <col min="885" max="885" width="11" style="286" customWidth="1"/>
    <col min="886" max="886" width="12.28515625" style="286" customWidth="1"/>
    <col min="887" max="887" width="12" style="286" customWidth="1"/>
    <col min="888" max="888" width="9.85546875" style="286" customWidth="1"/>
    <col min="889" max="889" width="11" style="286" customWidth="1"/>
    <col min="890" max="890" width="12.28515625" style="286" customWidth="1"/>
    <col min="891" max="891" width="12" style="286" customWidth="1"/>
    <col min="892" max="892" width="9.85546875" style="286" customWidth="1"/>
    <col min="893" max="893" width="11" style="286" customWidth="1"/>
    <col min="894" max="894" width="12.28515625" style="286" customWidth="1"/>
    <col min="895" max="895" width="12" style="286" customWidth="1"/>
    <col min="896" max="896" width="9.85546875" style="286" customWidth="1"/>
    <col min="897" max="897" width="11" style="286" customWidth="1"/>
    <col min="898" max="898" width="12.28515625" style="286" customWidth="1"/>
    <col min="899" max="899" width="12" style="286" customWidth="1"/>
    <col min="900" max="900" width="9.85546875" style="286" customWidth="1"/>
    <col min="901" max="901" width="11" style="286" customWidth="1"/>
    <col min="902" max="902" width="12.28515625" style="286" customWidth="1"/>
    <col min="903" max="903" width="12" style="286" customWidth="1"/>
    <col min="904" max="904" width="9.85546875" style="286" customWidth="1"/>
    <col min="905" max="905" width="11" style="286" customWidth="1"/>
    <col min="906" max="906" width="12.28515625" style="286" customWidth="1"/>
    <col min="907" max="907" width="12" style="286" customWidth="1"/>
    <col min="908" max="908" width="9.85546875" style="286" customWidth="1"/>
    <col min="909" max="909" width="11" style="286" customWidth="1"/>
    <col min="910" max="910" width="12.28515625" style="286" customWidth="1"/>
    <col min="911" max="911" width="12" style="286" customWidth="1"/>
    <col min="912" max="912" width="9.85546875" style="286" customWidth="1"/>
    <col min="913" max="913" width="11" style="286" customWidth="1"/>
    <col min="914" max="914" width="12.28515625" style="286" customWidth="1"/>
    <col min="915" max="915" width="12" style="286" customWidth="1"/>
    <col min="916" max="916" width="9.85546875" style="286" customWidth="1"/>
    <col min="917" max="917" width="11" style="286" customWidth="1"/>
    <col min="918" max="918" width="12.28515625" style="286" customWidth="1"/>
    <col min="919" max="919" width="12" style="286" customWidth="1"/>
    <col min="920" max="920" width="9.85546875" style="286" customWidth="1"/>
    <col min="921" max="921" width="11.7109375" style="286" customWidth="1"/>
    <col min="922" max="922" width="10.85546875" style="286" customWidth="1"/>
    <col min="923" max="923" width="11.7109375" style="286" customWidth="1"/>
    <col min="924" max="924" width="9" style="286" customWidth="1"/>
    <col min="925" max="925" width="11" style="286" customWidth="1"/>
    <col min="926" max="926" width="12.28515625" style="286" customWidth="1"/>
    <col min="927" max="927" width="12" style="286" customWidth="1"/>
    <col min="928" max="928" width="9.85546875" style="286" customWidth="1"/>
    <col min="929" max="929" width="11" style="286" customWidth="1"/>
    <col min="930" max="930" width="12.28515625" style="286" customWidth="1"/>
    <col min="931" max="931" width="12" style="286" customWidth="1"/>
    <col min="932" max="932" width="9.85546875" style="286" customWidth="1"/>
    <col min="933" max="933" width="11" style="286" customWidth="1"/>
    <col min="934" max="934" width="12.28515625" style="286" customWidth="1"/>
    <col min="935" max="935" width="12" style="286" customWidth="1"/>
    <col min="936" max="936" width="9.85546875" style="286" customWidth="1"/>
    <col min="937" max="940" width="0" style="286" hidden="1" customWidth="1"/>
    <col min="941" max="941" width="11" style="286" customWidth="1"/>
    <col min="942" max="942" width="12.28515625" style="286" customWidth="1"/>
    <col min="943" max="943" width="12" style="286" customWidth="1"/>
    <col min="944" max="944" width="9.85546875" style="286" customWidth="1"/>
    <col min="945" max="945" width="11" style="286" customWidth="1"/>
    <col min="946" max="946" width="12.28515625" style="286" customWidth="1"/>
    <col min="947" max="947" width="12" style="286" customWidth="1"/>
    <col min="948" max="948" width="9.85546875" style="286" customWidth="1"/>
    <col min="949" max="949" width="11" style="286" customWidth="1"/>
    <col min="950" max="950" width="12.28515625" style="286" customWidth="1"/>
    <col min="951" max="951" width="12" style="286" customWidth="1"/>
    <col min="952" max="952" width="9.85546875" style="286" customWidth="1"/>
    <col min="953" max="953" width="11" style="286" customWidth="1"/>
    <col min="954" max="954" width="12.28515625" style="286" customWidth="1"/>
    <col min="955" max="955" width="12" style="286" customWidth="1"/>
    <col min="956" max="956" width="9.85546875" style="286" customWidth="1"/>
    <col min="957" max="957" width="11" style="286" customWidth="1"/>
    <col min="958" max="958" width="12.28515625" style="286" customWidth="1"/>
    <col min="959" max="959" width="12" style="286" customWidth="1"/>
    <col min="960" max="960" width="9.85546875" style="286" customWidth="1"/>
    <col min="961" max="961" width="11" style="286" customWidth="1"/>
    <col min="962" max="962" width="12.28515625" style="286" customWidth="1"/>
    <col min="963" max="963" width="12" style="286" customWidth="1"/>
    <col min="964" max="964" width="9.85546875" style="286" customWidth="1"/>
    <col min="965" max="965" width="11" style="286" customWidth="1"/>
    <col min="966" max="966" width="12.28515625" style="286" customWidth="1"/>
    <col min="967" max="967" width="12" style="286" customWidth="1"/>
    <col min="968" max="968" width="9.85546875" style="286" customWidth="1"/>
    <col min="969" max="969" width="11" style="286" customWidth="1"/>
    <col min="970" max="970" width="12.28515625" style="286" customWidth="1"/>
    <col min="971" max="971" width="12" style="286" customWidth="1"/>
    <col min="972" max="972" width="9.85546875" style="286" customWidth="1"/>
    <col min="973" max="973" width="11" style="286" customWidth="1"/>
    <col min="974" max="974" width="12.28515625" style="286" customWidth="1"/>
    <col min="975" max="975" width="12" style="286" customWidth="1"/>
    <col min="976" max="976" width="9.85546875" style="286" customWidth="1"/>
    <col min="977" max="991" width="0" style="286" hidden="1" customWidth="1"/>
    <col min="992" max="992" width="9.85546875" style="286" customWidth="1"/>
    <col min="993" max="993" width="10.42578125" style="286" customWidth="1"/>
    <col min="994" max="994" width="9" style="286" customWidth="1"/>
    <col min="995" max="995" width="11.28515625" style="286" customWidth="1"/>
    <col min="996" max="996" width="10.140625" style="286" customWidth="1"/>
    <col min="997" max="997" width="10.7109375" style="286" customWidth="1"/>
    <col min="998" max="998" width="9.28515625" style="286"/>
    <col min="999" max="1000" width="9.140625" style="286" customWidth="1"/>
    <col min="1001" max="1024" width="9.28515625" style="286"/>
    <col min="1025" max="1025" width="4.28515625" style="286" customWidth="1"/>
    <col min="1026" max="1026" width="5.42578125" style="286" customWidth="1"/>
    <col min="1027" max="1027" width="41.5703125" style="286" customWidth="1"/>
    <col min="1028" max="1028" width="7.42578125" style="286" customWidth="1"/>
    <col min="1029" max="1029" width="13.140625" style="286" customWidth="1"/>
    <col min="1030" max="1030" width="11.7109375" style="286" customWidth="1"/>
    <col min="1031" max="1031" width="14.7109375" style="286" customWidth="1"/>
    <col min="1032" max="1032" width="11.7109375" style="286" customWidth="1"/>
    <col min="1033" max="1033" width="12" style="286" customWidth="1"/>
    <col min="1034" max="1034" width="9.7109375" style="286" customWidth="1"/>
    <col min="1035" max="1036" width="9.42578125" style="286" customWidth="1"/>
    <col min="1037" max="1037" width="10.7109375" style="286" customWidth="1"/>
    <col min="1038" max="1038" width="13.42578125" style="286" customWidth="1"/>
    <col min="1039" max="1039" width="12" style="286" customWidth="1"/>
    <col min="1040" max="1040" width="11" style="286" customWidth="1"/>
    <col min="1041" max="1041" width="10.5703125" style="286" customWidth="1"/>
    <col min="1042" max="1042" width="10.42578125" style="286" customWidth="1"/>
    <col min="1043" max="1043" width="10.7109375" style="286" customWidth="1"/>
    <col min="1044" max="1045" width="11.140625" style="286" customWidth="1"/>
    <col min="1046" max="1046" width="10.5703125" style="286" customWidth="1"/>
    <col min="1047" max="1047" width="10.85546875" style="286" customWidth="1"/>
    <col min="1048" max="1048" width="9.85546875" style="286" customWidth="1"/>
    <col min="1049" max="1049" width="11" style="286" customWidth="1"/>
    <col min="1050" max="1050" width="11.42578125" style="286" customWidth="1"/>
    <col min="1051" max="1051" width="12" style="286" customWidth="1"/>
    <col min="1052" max="1052" width="9.85546875" style="286" customWidth="1"/>
    <col min="1053" max="1053" width="10.5703125" style="286" customWidth="1"/>
    <col min="1054" max="1054" width="11.140625" style="286" customWidth="1"/>
    <col min="1055" max="1055" width="11.42578125" style="286" customWidth="1"/>
    <col min="1056" max="1060" width="9.85546875" style="286" customWidth="1"/>
    <col min="1061" max="1063" width="11.7109375" style="286" customWidth="1"/>
    <col min="1064" max="1064" width="9.85546875" style="286" customWidth="1"/>
    <col min="1065" max="1065" width="11" style="286" customWidth="1"/>
    <col min="1066" max="1066" width="11.42578125" style="286" customWidth="1"/>
    <col min="1067" max="1067" width="11.140625" style="286" customWidth="1"/>
    <col min="1068" max="1068" width="10.42578125" style="286" customWidth="1"/>
    <col min="1069" max="1069" width="11.5703125" style="286" customWidth="1"/>
    <col min="1070" max="1071" width="11.140625" style="286" customWidth="1"/>
    <col min="1072" max="1084" width="9.85546875" style="286" customWidth="1"/>
    <col min="1085" max="1085" width="10.5703125" style="286" customWidth="1"/>
    <col min="1086" max="1086" width="12.42578125" style="286" customWidth="1"/>
    <col min="1087" max="1087" width="10.140625" style="286" customWidth="1"/>
    <col min="1088" max="1088" width="9.140625" style="286" customWidth="1"/>
    <col min="1089" max="1089" width="9" style="286" customWidth="1"/>
    <col min="1090" max="1091" width="9.7109375" style="286" customWidth="1"/>
    <col min="1092" max="1092" width="8.42578125" style="286" customWidth="1"/>
    <col min="1093" max="1093" width="11.7109375" style="286" customWidth="1"/>
    <col min="1094" max="1094" width="10.85546875" style="286" customWidth="1"/>
    <col min="1095" max="1095" width="11.7109375" style="286" customWidth="1"/>
    <col min="1096" max="1096" width="9" style="286" customWidth="1"/>
    <col min="1097" max="1097" width="11" style="286" customWidth="1"/>
    <col min="1098" max="1098" width="10.5703125" style="286" customWidth="1"/>
    <col min="1099" max="1099" width="11.7109375" style="286" customWidth="1"/>
    <col min="1100" max="1101" width="11" style="286" customWidth="1"/>
    <col min="1102" max="1104" width="11.140625" style="286" customWidth="1"/>
    <col min="1105" max="1105" width="8.7109375" style="286" customWidth="1"/>
    <col min="1106" max="1106" width="11.140625" style="286" customWidth="1"/>
    <col min="1107" max="1107" width="9.28515625" style="286"/>
    <col min="1108" max="1108" width="11.140625" style="286" customWidth="1"/>
    <col min="1109" max="1109" width="10.5703125" style="286" customWidth="1"/>
    <col min="1110" max="1110" width="12.28515625" style="286" customWidth="1"/>
    <col min="1111" max="1111" width="12" style="286" customWidth="1"/>
    <col min="1112" max="1112" width="9.85546875" style="286" customWidth="1"/>
    <col min="1113" max="1113" width="11" style="286" customWidth="1"/>
    <col min="1114" max="1114" width="12.28515625" style="286" customWidth="1"/>
    <col min="1115" max="1115" width="12" style="286" customWidth="1"/>
    <col min="1116" max="1116" width="9.85546875" style="286" customWidth="1"/>
    <col min="1117" max="1117" width="11" style="286" customWidth="1"/>
    <col min="1118" max="1118" width="12.28515625" style="286" customWidth="1"/>
    <col min="1119" max="1119" width="12" style="286" customWidth="1"/>
    <col min="1120" max="1120" width="9.85546875" style="286" customWidth="1"/>
    <col min="1121" max="1121" width="11" style="286" customWidth="1"/>
    <col min="1122" max="1122" width="12.28515625" style="286" customWidth="1"/>
    <col min="1123" max="1123" width="12" style="286" customWidth="1"/>
    <col min="1124" max="1124" width="9.85546875" style="286" customWidth="1"/>
    <col min="1125" max="1125" width="11" style="286" customWidth="1"/>
    <col min="1126" max="1126" width="12.28515625" style="286" customWidth="1"/>
    <col min="1127" max="1127" width="12" style="286" customWidth="1"/>
    <col min="1128" max="1128" width="9.85546875" style="286" customWidth="1"/>
    <col min="1129" max="1129" width="11" style="286" customWidth="1"/>
    <col min="1130" max="1130" width="12.28515625" style="286" customWidth="1"/>
    <col min="1131" max="1131" width="12" style="286" customWidth="1"/>
    <col min="1132" max="1132" width="9.85546875" style="286" customWidth="1"/>
    <col min="1133" max="1133" width="11" style="286" customWidth="1"/>
    <col min="1134" max="1134" width="12.28515625" style="286" customWidth="1"/>
    <col min="1135" max="1135" width="12" style="286" customWidth="1"/>
    <col min="1136" max="1136" width="9.85546875" style="286" customWidth="1"/>
    <col min="1137" max="1137" width="11" style="286" customWidth="1"/>
    <col min="1138" max="1138" width="12.28515625" style="286" customWidth="1"/>
    <col min="1139" max="1139" width="12" style="286" customWidth="1"/>
    <col min="1140" max="1140" width="9.85546875" style="286" customWidth="1"/>
    <col min="1141" max="1141" width="11" style="286" customWidth="1"/>
    <col min="1142" max="1142" width="12.28515625" style="286" customWidth="1"/>
    <col min="1143" max="1143" width="12" style="286" customWidth="1"/>
    <col min="1144" max="1144" width="9.85546875" style="286" customWidth="1"/>
    <col min="1145" max="1145" width="11" style="286" customWidth="1"/>
    <col min="1146" max="1146" width="12.28515625" style="286" customWidth="1"/>
    <col min="1147" max="1147" width="12" style="286" customWidth="1"/>
    <col min="1148" max="1148" width="9.85546875" style="286" customWidth="1"/>
    <col min="1149" max="1149" width="11" style="286" customWidth="1"/>
    <col min="1150" max="1150" width="12.28515625" style="286" customWidth="1"/>
    <col min="1151" max="1151" width="12" style="286" customWidth="1"/>
    <col min="1152" max="1152" width="9.85546875" style="286" customWidth="1"/>
    <col min="1153" max="1153" width="11" style="286" customWidth="1"/>
    <col min="1154" max="1154" width="12.28515625" style="286" customWidth="1"/>
    <col min="1155" max="1155" width="12" style="286" customWidth="1"/>
    <col min="1156" max="1156" width="9.85546875" style="286" customWidth="1"/>
    <col min="1157" max="1157" width="11" style="286" customWidth="1"/>
    <col min="1158" max="1158" width="12.28515625" style="286" customWidth="1"/>
    <col min="1159" max="1159" width="12" style="286" customWidth="1"/>
    <col min="1160" max="1160" width="9.85546875" style="286" customWidth="1"/>
    <col min="1161" max="1161" width="11" style="286" customWidth="1"/>
    <col min="1162" max="1162" width="12.28515625" style="286" customWidth="1"/>
    <col min="1163" max="1163" width="12" style="286" customWidth="1"/>
    <col min="1164" max="1164" width="9.85546875" style="286" customWidth="1"/>
    <col min="1165" max="1165" width="11" style="286" customWidth="1"/>
    <col min="1166" max="1166" width="12.28515625" style="286" customWidth="1"/>
    <col min="1167" max="1167" width="12" style="286" customWidth="1"/>
    <col min="1168" max="1168" width="9.85546875" style="286" customWidth="1"/>
    <col min="1169" max="1169" width="11" style="286" customWidth="1"/>
    <col min="1170" max="1170" width="12.28515625" style="286" customWidth="1"/>
    <col min="1171" max="1171" width="12" style="286" customWidth="1"/>
    <col min="1172" max="1172" width="9.85546875" style="286" customWidth="1"/>
    <col min="1173" max="1173" width="11" style="286" customWidth="1"/>
    <col min="1174" max="1174" width="12.28515625" style="286" customWidth="1"/>
    <col min="1175" max="1175" width="12" style="286" customWidth="1"/>
    <col min="1176" max="1176" width="9.85546875" style="286" customWidth="1"/>
    <col min="1177" max="1177" width="11.7109375" style="286" customWidth="1"/>
    <col min="1178" max="1178" width="10.85546875" style="286" customWidth="1"/>
    <col min="1179" max="1179" width="11.7109375" style="286" customWidth="1"/>
    <col min="1180" max="1180" width="9" style="286" customWidth="1"/>
    <col min="1181" max="1181" width="11" style="286" customWidth="1"/>
    <col min="1182" max="1182" width="12.28515625" style="286" customWidth="1"/>
    <col min="1183" max="1183" width="12" style="286" customWidth="1"/>
    <col min="1184" max="1184" width="9.85546875" style="286" customWidth="1"/>
    <col min="1185" max="1185" width="11" style="286" customWidth="1"/>
    <col min="1186" max="1186" width="12.28515625" style="286" customWidth="1"/>
    <col min="1187" max="1187" width="12" style="286" customWidth="1"/>
    <col min="1188" max="1188" width="9.85546875" style="286" customWidth="1"/>
    <col min="1189" max="1189" width="11" style="286" customWidth="1"/>
    <col min="1190" max="1190" width="12.28515625" style="286" customWidth="1"/>
    <col min="1191" max="1191" width="12" style="286" customWidth="1"/>
    <col min="1192" max="1192" width="9.85546875" style="286" customWidth="1"/>
    <col min="1193" max="1196" width="0" style="286" hidden="1" customWidth="1"/>
    <col min="1197" max="1197" width="11" style="286" customWidth="1"/>
    <col min="1198" max="1198" width="12.28515625" style="286" customWidth="1"/>
    <col min="1199" max="1199" width="12" style="286" customWidth="1"/>
    <col min="1200" max="1200" width="9.85546875" style="286" customWidth="1"/>
    <col min="1201" max="1201" width="11" style="286" customWidth="1"/>
    <col min="1202" max="1202" width="12.28515625" style="286" customWidth="1"/>
    <col min="1203" max="1203" width="12" style="286" customWidth="1"/>
    <col min="1204" max="1204" width="9.85546875" style="286" customWidth="1"/>
    <col min="1205" max="1205" width="11" style="286" customWidth="1"/>
    <col min="1206" max="1206" width="12.28515625" style="286" customWidth="1"/>
    <col min="1207" max="1207" width="12" style="286" customWidth="1"/>
    <col min="1208" max="1208" width="9.85546875" style="286" customWidth="1"/>
    <col min="1209" max="1209" width="11" style="286" customWidth="1"/>
    <col min="1210" max="1210" width="12.28515625" style="286" customWidth="1"/>
    <col min="1211" max="1211" width="12" style="286" customWidth="1"/>
    <col min="1212" max="1212" width="9.85546875" style="286" customWidth="1"/>
    <col min="1213" max="1213" width="11" style="286" customWidth="1"/>
    <col min="1214" max="1214" width="12.28515625" style="286" customWidth="1"/>
    <col min="1215" max="1215" width="12" style="286" customWidth="1"/>
    <col min="1216" max="1216" width="9.85546875" style="286" customWidth="1"/>
    <col min="1217" max="1217" width="11" style="286" customWidth="1"/>
    <col min="1218" max="1218" width="12.28515625" style="286" customWidth="1"/>
    <col min="1219" max="1219" width="12" style="286" customWidth="1"/>
    <col min="1220" max="1220" width="9.85546875" style="286" customWidth="1"/>
    <col min="1221" max="1221" width="11" style="286" customWidth="1"/>
    <col min="1222" max="1222" width="12.28515625" style="286" customWidth="1"/>
    <col min="1223" max="1223" width="12" style="286" customWidth="1"/>
    <col min="1224" max="1224" width="9.85546875" style="286" customWidth="1"/>
    <col min="1225" max="1225" width="11" style="286" customWidth="1"/>
    <col min="1226" max="1226" width="12.28515625" style="286" customWidth="1"/>
    <col min="1227" max="1227" width="12" style="286" customWidth="1"/>
    <col min="1228" max="1228" width="9.85546875" style="286" customWidth="1"/>
    <col min="1229" max="1229" width="11" style="286" customWidth="1"/>
    <col min="1230" max="1230" width="12.28515625" style="286" customWidth="1"/>
    <col min="1231" max="1231" width="12" style="286" customWidth="1"/>
    <col min="1232" max="1232" width="9.85546875" style="286" customWidth="1"/>
    <col min="1233" max="1247" width="0" style="286" hidden="1" customWidth="1"/>
    <col min="1248" max="1248" width="9.85546875" style="286" customWidth="1"/>
    <col min="1249" max="1249" width="10.42578125" style="286" customWidth="1"/>
    <col min="1250" max="1250" width="9" style="286" customWidth="1"/>
    <col min="1251" max="1251" width="11.28515625" style="286" customWidth="1"/>
    <col min="1252" max="1252" width="10.140625" style="286" customWidth="1"/>
    <col min="1253" max="1253" width="10.7109375" style="286" customWidth="1"/>
    <col min="1254" max="1254" width="9.28515625" style="286"/>
    <col min="1255" max="1256" width="9.140625" style="286" customWidth="1"/>
    <col min="1257" max="1280" width="9.28515625" style="286"/>
    <col min="1281" max="1281" width="4.28515625" style="286" customWidth="1"/>
    <col min="1282" max="1282" width="5.42578125" style="286" customWidth="1"/>
    <col min="1283" max="1283" width="41.5703125" style="286" customWidth="1"/>
    <col min="1284" max="1284" width="7.42578125" style="286" customWidth="1"/>
    <col min="1285" max="1285" width="13.140625" style="286" customWidth="1"/>
    <col min="1286" max="1286" width="11.7109375" style="286" customWidth="1"/>
    <col min="1287" max="1287" width="14.7109375" style="286" customWidth="1"/>
    <col min="1288" max="1288" width="11.7109375" style="286" customWidth="1"/>
    <col min="1289" max="1289" width="12" style="286" customWidth="1"/>
    <col min="1290" max="1290" width="9.7109375" style="286" customWidth="1"/>
    <col min="1291" max="1292" width="9.42578125" style="286" customWidth="1"/>
    <col min="1293" max="1293" width="10.7109375" style="286" customWidth="1"/>
    <col min="1294" max="1294" width="13.42578125" style="286" customWidth="1"/>
    <col min="1295" max="1295" width="12" style="286" customWidth="1"/>
    <col min="1296" max="1296" width="11" style="286" customWidth="1"/>
    <col min="1297" max="1297" width="10.5703125" style="286" customWidth="1"/>
    <col min="1298" max="1298" width="10.42578125" style="286" customWidth="1"/>
    <col min="1299" max="1299" width="10.7109375" style="286" customWidth="1"/>
    <col min="1300" max="1301" width="11.140625" style="286" customWidth="1"/>
    <col min="1302" max="1302" width="10.5703125" style="286" customWidth="1"/>
    <col min="1303" max="1303" width="10.85546875" style="286" customWidth="1"/>
    <col min="1304" max="1304" width="9.85546875" style="286" customWidth="1"/>
    <col min="1305" max="1305" width="11" style="286" customWidth="1"/>
    <col min="1306" max="1306" width="11.42578125" style="286" customWidth="1"/>
    <col min="1307" max="1307" width="12" style="286" customWidth="1"/>
    <col min="1308" max="1308" width="9.85546875" style="286" customWidth="1"/>
    <col min="1309" max="1309" width="10.5703125" style="286" customWidth="1"/>
    <col min="1310" max="1310" width="11.140625" style="286" customWidth="1"/>
    <col min="1311" max="1311" width="11.42578125" style="286" customWidth="1"/>
    <col min="1312" max="1316" width="9.85546875" style="286" customWidth="1"/>
    <col min="1317" max="1319" width="11.7109375" style="286" customWidth="1"/>
    <col min="1320" max="1320" width="9.85546875" style="286" customWidth="1"/>
    <col min="1321" max="1321" width="11" style="286" customWidth="1"/>
    <col min="1322" max="1322" width="11.42578125" style="286" customWidth="1"/>
    <col min="1323" max="1323" width="11.140625" style="286" customWidth="1"/>
    <col min="1324" max="1324" width="10.42578125" style="286" customWidth="1"/>
    <col min="1325" max="1325" width="11.5703125" style="286" customWidth="1"/>
    <col min="1326" max="1327" width="11.140625" style="286" customWidth="1"/>
    <col min="1328" max="1340" width="9.85546875" style="286" customWidth="1"/>
    <col min="1341" max="1341" width="10.5703125" style="286" customWidth="1"/>
    <col min="1342" max="1342" width="12.42578125" style="286" customWidth="1"/>
    <col min="1343" max="1343" width="10.140625" style="286" customWidth="1"/>
    <col min="1344" max="1344" width="9.140625" style="286" customWidth="1"/>
    <col min="1345" max="1345" width="9" style="286" customWidth="1"/>
    <col min="1346" max="1347" width="9.7109375" style="286" customWidth="1"/>
    <col min="1348" max="1348" width="8.42578125" style="286" customWidth="1"/>
    <col min="1349" max="1349" width="11.7109375" style="286" customWidth="1"/>
    <col min="1350" max="1350" width="10.85546875" style="286" customWidth="1"/>
    <col min="1351" max="1351" width="11.7109375" style="286" customWidth="1"/>
    <col min="1352" max="1352" width="9" style="286" customWidth="1"/>
    <col min="1353" max="1353" width="11" style="286" customWidth="1"/>
    <col min="1354" max="1354" width="10.5703125" style="286" customWidth="1"/>
    <col min="1355" max="1355" width="11.7109375" style="286" customWidth="1"/>
    <col min="1356" max="1357" width="11" style="286" customWidth="1"/>
    <col min="1358" max="1360" width="11.140625" style="286" customWidth="1"/>
    <col min="1361" max="1361" width="8.7109375" style="286" customWidth="1"/>
    <col min="1362" max="1362" width="11.140625" style="286" customWidth="1"/>
    <col min="1363" max="1363" width="9.28515625" style="286"/>
    <col min="1364" max="1364" width="11.140625" style="286" customWidth="1"/>
    <col min="1365" max="1365" width="10.5703125" style="286" customWidth="1"/>
    <col min="1366" max="1366" width="12.28515625" style="286" customWidth="1"/>
    <col min="1367" max="1367" width="12" style="286" customWidth="1"/>
    <col min="1368" max="1368" width="9.85546875" style="286" customWidth="1"/>
    <col min="1369" max="1369" width="11" style="286" customWidth="1"/>
    <col min="1370" max="1370" width="12.28515625" style="286" customWidth="1"/>
    <col min="1371" max="1371" width="12" style="286" customWidth="1"/>
    <col min="1372" max="1372" width="9.85546875" style="286" customWidth="1"/>
    <col min="1373" max="1373" width="11" style="286" customWidth="1"/>
    <col min="1374" max="1374" width="12.28515625" style="286" customWidth="1"/>
    <col min="1375" max="1375" width="12" style="286" customWidth="1"/>
    <col min="1376" max="1376" width="9.85546875" style="286" customWidth="1"/>
    <col min="1377" max="1377" width="11" style="286" customWidth="1"/>
    <col min="1378" max="1378" width="12.28515625" style="286" customWidth="1"/>
    <col min="1379" max="1379" width="12" style="286" customWidth="1"/>
    <col min="1380" max="1380" width="9.85546875" style="286" customWidth="1"/>
    <col min="1381" max="1381" width="11" style="286" customWidth="1"/>
    <col min="1382" max="1382" width="12.28515625" style="286" customWidth="1"/>
    <col min="1383" max="1383" width="12" style="286" customWidth="1"/>
    <col min="1384" max="1384" width="9.85546875" style="286" customWidth="1"/>
    <col min="1385" max="1385" width="11" style="286" customWidth="1"/>
    <col min="1386" max="1386" width="12.28515625" style="286" customWidth="1"/>
    <col min="1387" max="1387" width="12" style="286" customWidth="1"/>
    <col min="1388" max="1388" width="9.85546875" style="286" customWidth="1"/>
    <col min="1389" max="1389" width="11" style="286" customWidth="1"/>
    <col min="1390" max="1390" width="12.28515625" style="286" customWidth="1"/>
    <col min="1391" max="1391" width="12" style="286" customWidth="1"/>
    <col min="1392" max="1392" width="9.85546875" style="286" customWidth="1"/>
    <col min="1393" max="1393" width="11" style="286" customWidth="1"/>
    <col min="1394" max="1394" width="12.28515625" style="286" customWidth="1"/>
    <col min="1395" max="1395" width="12" style="286" customWidth="1"/>
    <col min="1396" max="1396" width="9.85546875" style="286" customWidth="1"/>
    <col min="1397" max="1397" width="11" style="286" customWidth="1"/>
    <col min="1398" max="1398" width="12.28515625" style="286" customWidth="1"/>
    <col min="1399" max="1399" width="12" style="286" customWidth="1"/>
    <col min="1400" max="1400" width="9.85546875" style="286" customWidth="1"/>
    <col min="1401" max="1401" width="11" style="286" customWidth="1"/>
    <col min="1402" max="1402" width="12.28515625" style="286" customWidth="1"/>
    <col min="1403" max="1403" width="12" style="286" customWidth="1"/>
    <col min="1404" max="1404" width="9.85546875" style="286" customWidth="1"/>
    <col min="1405" max="1405" width="11" style="286" customWidth="1"/>
    <col min="1406" max="1406" width="12.28515625" style="286" customWidth="1"/>
    <col min="1407" max="1407" width="12" style="286" customWidth="1"/>
    <col min="1408" max="1408" width="9.85546875" style="286" customWidth="1"/>
    <col min="1409" max="1409" width="11" style="286" customWidth="1"/>
    <col min="1410" max="1410" width="12.28515625" style="286" customWidth="1"/>
    <col min="1411" max="1411" width="12" style="286" customWidth="1"/>
    <col min="1412" max="1412" width="9.85546875" style="286" customWidth="1"/>
    <col min="1413" max="1413" width="11" style="286" customWidth="1"/>
    <col min="1414" max="1414" width="12.28515625" style="286" customWidth="1"/>
    <col min="1415" max="1415" width="12" style="286" customWidth="1"/>
    <col min="1416" max="1416" width="9.85546875" style="286" customWidth="1"/>
    <col min="1417" max="1417" width="11" style="286" customWidth="1"/>
    <col min="1418" max="1418" width="12.28515625" style="286" customWidth="1"/>
    <col min="1419" max="1419" width="12" style="286" customWidth="1"/>
    <col min="1420" max="1420" width="9.85546875" style="286" customWidth="1"/>
    <col min="1421" max="1421" width="11" style="286" customWidth="1"/>
    <col min="1422" max="1422" width="12.28515625" style="286" customWidth="1"/>
    <col min="1423" max="1423" width="12" style="286" customWidth="1"/>
    <col min="1424" max="1424" width="9.85546875" style="286" customWidth="1"/>
    <col min="1425" max="1425" width="11" style="286" customWidth="1"/>
    <col min="1426" max="1426" width="12.28515625" style="286" customWidth="1"/>
    <col min="1427" max="1427" width="12" style="286" customWidth="1"/>
    <col min="1428" max="1428" width="9.85546875" style="286" customWidth="1"/>
    <col min="1429" max="1429" width="11" style="286" customWidth="1"/>
    <col min="1430" max="1430" width="12.28515625" style="286" customWidth="1"/>
    <col min="1431" max="1431" width="12" style="286" customWidth="1"/>
    <col min="1432" max="1432" width="9.85546875" style="286" customWidth="1"/>
    <col min="1433" max="1433" width="11.7109375" style="286" customWidth="1"/>
    <col min="1434" max="1434" width="10.85546875" style="286" customWidth="1"/>
    <col min="1435" max="1435" width="11.7109375" style="286" customWidth="1"/>
    <col min="1436" max="1436" width="9" style="286" customWidth="1"/>
    <col min="1437" max="1437" width="11" style="286" customWidth="1"/>
    <col min="1438" max="1438" width="12.28515625" style="286" customWidth="1"/>
    <col min="1439" max="1439" width="12" style="286" customWidth="1"/>
    <col min="1440" max="1440" width="9.85546875" style="286" customWidth="1"/>
    <col min="1441" max="1441" width="11" style="286" customWidth="1"/>
    <col min="1442" max="1442" width="12.28515625" style="286" customWidth="1"/>
    <col min="1443" max="1443" width="12" style="286" customWidth="1"/>
    <col min="1444" max="1444" width="9.85546875" style="286" customWidth="1"/>
    <col min="1445" max="1445" width="11" style="286" customWidth="1"/>
    <col min="1446" max="1446" width="12.28515625" style="286" customWidth="1"/>
    <col min="1447" max="1447" width="12" style="286" customWidth="1"/>
    <col min="1448" max="1448" width="9.85546875" style="286" customWidth="1"/>
    <col min="1449" max="1452" width="0" style="286" hidden="1" customWidth="1"/>
    <col min="1453" max="1453" width="11" style="286" customWidth="1"/>
    <col min="1454" max="1454" width="12.28515625" style="286" customWidth="1"/>
    <col min="1455" max="1455" width="12" style="286" customWidth="1"/>
    <col min="1456" max="1456" width="9.85546875" style="286" customWidth="1"/>
    <col min="1457" max="1457" width="11" style="286" customWidth="1"/>
    <col min="1458" max="1458" width="12.28515625" style="286" customWidth="1"/>
    <col min="1459" max="1459" width="12" style="286" customWidth="1"/>
    <col min="1460" max="1460" width="9.85546875" style="286" customWidth="1"/>
    <col min="1461" max="1461" width="11" style="286" customWidth="1"/>
    <col min="1462" max="1462" width="12.28515625" style="286" customWidth="1"/>
    <col min="1463" max="1463" width="12" style="286" customWidth="1"/>
    <col min="1464" max="1464" width="9.85546875" style="286" customWidth="1"/>
    <col min="1465" max="1465" width="11" style="286" customWidth="1"/>
    <col min="1466" max="1466" width="12.28515625" style="286" customWidth="1"/>
    <col min="1467" max="1467" width="12" style="286" customWidth="1"/>
    <col min="1468" max="1468" width="9.85546875" style="286" customWidth="1"/>
    <col min="1469" max="1469" width="11" style="286" customWidth="1"/>
    <col min="1470" max="1470" width="12.28515625" style="286" customWidth="1"/>
    <col min="1471" max="1471" width="12" style="286" customWidth="1"/>
    <col min="1472" max="1472" width="9.85546875" style="286" customWidth="1"/>
    <col min="1473" max="1473" width="11" style="286" customWidth="1"/>
    <col min="1474" max="1474" width="12.28515625" style="286" customWidth="1"/>
    <col min="1475" max="1475" width="12" style="286" customWidth="1"/>
    <col min="1476" max="1476" width="9.85546875" style="286" customWidth="1"/>
    <col min="1477" max="1477" width="11" style="286" customWidth="1"/>
    <col min="1478" max="1478" width="12.28515625" style="286" customWidth="1"/>
    <col min="1479" max="1479" width="12" style="286" customWidth="1"/>
    <col min="1480" max="1480" width="9.85546875" style="286" customWidth="1"/>
    <col min="1481" max="1481" width="11" style="286" customWidth="1"/>
    <col min="1482" max="1482" width="12.28515625" style="286" customWidth="1"/>
    <col min="1483" max="1483" width="12" style="286" customWidth="1"/>
    <col min="1484" max="1484" width="9.85546875" style="286" customWidth="1"/>
    <col min="1485" max="1485" width="11" style="286" customWidth="1"/>
    <col min="1486" max="1486" width="12.28515625" style="286" customWidth="1"/>
    <col min="1487" max="1487" width="12" style="286" customWidth="1"/>
    <col min="1488" max="1488" width="9.85546875" style="286" customWidth="1"/>
    <col min="1489" max="1503" width="0" style="286" hidden="1" customWidth="1"/>
    <col min="1504" max="1504" width="9.85546875" style="286" customWidth="1"/>
    <col min="1505" max="1505" width="10.42578125" style="286" customWidth="1"/>
    <col min="1506" max="1506" width="9" style="286" customWidth="1"/>
    <col min="1507" max="1507" width="11.28515625" style="286" customWidth="1"/>
    <col min="1508" max="1508" width="10.140625" style="286" customWidth="1"/>
    <col min="1509" max="1509" width="10.7109375" style="286" customWidth="1"/>
    <col min="1510" max="1510" width="9.28515625" style="286"/>
    <col min="1511" max="1512" width="9.140625" style="286" customWidth="1"/>
    <col min="1513" max="1536" width="9.28515625" style="286"/>
    <col min="1537" max="1537" width="4.28515625" style="286" customWidth="1"/>
    <col min="1538" max="1538" width="5.42578125" style="286" customWidth="1"/>
    <col min="1539" max="1539" width="41.5703125" style="286" customWidth="1"/>
    <col min="1540" max="1540" width="7.42578125" style="286" customWidth="1"/>
    <col min="1541" max="1541" width="13.140625" style="286" customWidth="1"/>
    <col min="1542" max="1542" width="11.7109375" style="286" customWidth="1"/>
    <col min="1543" max="1543" width="14.7109375" style="286" customWidth="1"/>
    <col min="1544" max="1544" width="11.7109375" style="286" customWidth="1"/>
    <col min="1545" max="1545" width="12" style="286" customWidth="1"/>
    <col min="1546" max="1546" width="9.7109375" style="286" customWidth="1"/>
    <col min="1547" max="1548" width="9.42578125" style="286" customWidth="1"/>
    <col min="1549" max="1549" width="10.7109375" style="286" customWidth="1"/>
    <col min="1550" max="1550" width="13.42578125" style="286" customWidth="1"/>
    <col min="1551" max="1551" width="12" style="286" customWidth="1"/>
    <col min="1552" max="1552" width="11" style="286" customWidth="1"/>
    <col min="1553" max="1553" width="10.5703125" style="286" customWidth="1"/>
    <col min="1554" max="1554" width="10.42578125" style="286" customWidth="1"/>
    <col min="1555" max="1555" width="10.7109375" style="286" customWidth="1"/>
    <col min="1556" max="1557" width="11.140625" style="286" customWidth="1"/>
    <col min="1558" max="1558" width="10.5703125" style="286" customWidth="1"/>
    <col min="1559" max="1559" width="10.85546875" style="286" customWidth="1"/>
    <col min="1560" max="1560" width="9.85546875" style="286" customWidth="1"/>
    <col min="1561" max="1561" width="11" style="286" customWidth="1"/>
    <col min="1562" max="1562" width="11.42578125" style="286" customWidth="1"/>
    <col min="1563" max="1563" width="12" style="286" customWidth="1"/>
    <col min="1564" max="1564" width="9.85546875" style="286" customWidth="1"/>
    <col min="1565" max="1565" width="10.5703125" style="286" customWidth="1"/>
    <col min="1566" max="1566" width="11.140625" style="286" customWidth="1"/>
    <col min="1567" max="1567" width="11.42578125" style="286" customWidth="1"/>
    <col min="1568" max="1572" width="9.85546875" style="286" customWidth="1"/>
    <col min="1573" max="1575" width="11.7109375" style="286" customWidth="1"/>
    <col min="1576" max="1576" width="9.85546875" style="286" customWidth="1"/>
    <col min="1577" max="1577" width="11" style="286" customWidth="1"/>
    <col min="1578" max="1578" width="11.42578125" style="286" customWidth="1"/>
    <col min="1579" max="1579" width="11.140625" style="286" customWidth="1"/>
    <col min="1580" max="1580" width="10.42578125" style="286" customWidth="1"/>
    <col min="1581" max="1581" width="11.5703125" style="286" customWidth="1"/>
    <col min="1582" max="1583" width="11.140625" style="286" customWidth="1"/>
    <col min="1584" max="1596" width="9.85546875" style="286" customWidth="1"/>
    <col min="1597" max="1597" width="10.5703125" style="286" customWidth="1"/>
    <col min="1598" max="1598" width="12.42578125" style="286" customWidth="1"/>
    <col min="1599" max="1599" width="10.140625" style="286" customWidth="1"/>
    <col min="1600" max="1600" width="9.140625" style="286" customWidth="1"/>
    <col min="1601" max="1601" width="9" style="286" customWidth="1"/>
    <col min="1602" max="1603" width="9.7109375" style="286" customWidth="1"/>
    <col min="1604" max="1604" width="8.42578125" style="286" customWidth="1"/>
    <col min="1605" max="1605" width="11.7109375" style="286" customWidth="1"/>
    <col min="1606" max="1606" width="10.85546875" style="286" customWidth="1"/>
    <col min="1607" max="1607" width="11.7109375" style="286" customWidth="1"/>
    <col min="1608" max="1608" width="9" style="286" customWidth="1"/>
    <col min="1609" max="1609" width="11" style="286" customWidth="1"/>
    <col min="1610" max="1610" width="10.5703125" style="286" customWidth="1"/>
    <col min="1611" max="1611" width="11.7109375" style="286" customWidth="1"/>
    <col min="1612" max="1613" width="11" style="286" customWidth="1"/>
    <col min="1614" max="1616" width="11.140625" style="286" customWidth="1"/>
    <col min="1617" max="1617" width="8.7109375" style="286" customWidth="1"/>
    <col min="1618" max="1618" width="11.140625" style="286" customWidth="1"/>
    <col min="1619" max="1619" width="9.28515625" style="286"/>
    <col min="1620" max="1620" width="11.140625" style="286" customWidth="1"/>
    <col min="1621" max="1621" width="10.5703125" style="286" customWidth="1"/>
    <col min="1622" max="1622" width="12.28515625" style="286" customWidth="1"/>
    <col min="1623" max="1623" width="12" style="286" customWidth="1"/>
    <col min="1624" max="1624" width="9.85546875" style="286" customWidth="1"/>
    <col min="1625" max="1625" width="11" style="286" customWidth="1"/>
    <col min="1626" max="1626" width="12.28515625" style="286" customWidth="1"/>
    <col min="1627" max="1627" width="12" style="286" customWidth="1"/>
    <col min="1628" max="1628" width="9.85546875" style="286" customWidth="1"/>
    <col min="1629" max="1629" width="11" style="286" customWidth="1"/>
    <col min="1630" max="1630" width="12.28515625" style="286" customWidth="1"/>
    <col min="1631" max="1631" width="12" style="286" customWidth="1"/>
    <col min="1632" max="1632" width="9.85546875" style="286" customWidth="1"/>
    <col min="1633" max="1633" width="11" style="286" customWidth="1"/>
    <col min="1634" max="1634" width="12.28515625" style="286" customWidth="1"/>
    <col min="1635" max="1635" width="12" style="286" customWidth="1"/>
    <col min="1636" max="1636" width="9.85546875" style="286" customWidth="1"/>
    <col min="1637" max="1637" width="11" style="286" customWidth="1"/>
    <col min="1638" max="1638" width="12.28515625" style="286" customWidth="1"/>
    <col min="1639" max="1639" width="12" style="286" customWidth="1"/>
    <col min="1640" max="1640" width="9.85546875" style="286" customWidth="1"/>
    <col min="1641" max="1641" width="11" style="286" customWidth="1"/>
    <col min="1642" max="1642" width="12.28515625" style="286" customWidth="1"/>
    <col min="1643" max="1643" width="12" style="286" customWidth="1"/>
    <col min="1644" max="1644" width="9.85546875" style="286" customWidth="1"/>
    <col min="1645" max="1645" width="11" style="286" customWidth="1"/>
    <col min="1646" max="1646" width="12.28515625" style="286" customWidth="1"/>
    <col min="1647" max="1647" width="12" style="286" customWidth="1"/>
    <col min="1648" max="1648" width="9.85546875" style="286" customWidth="1"/>
    <col min="1649" max="1649" width="11" style="286" customWidth="1"/>
    <col min="1650" max="1650" width="12.28515625" style="286" customWidth="1"/>
    <col min="1651" max="1651" width="12" style="286" customWidth="1"/>
    <col min="1652" max="1652" width="9.85546875" style="286" customWidth="1"/>
    <col min="1653" max="1653" width="11" style="286" customWidth="1"/>
    <col min="1654" max="1654" width="12.28515625" style="286" customWidth="1"/>
    <col min="1655" max="1655" width="12" style="286" customWidth="1"/>
    <col min="1656" max="1656" width="9.85546875" style="286" customWidth="1"/>
    <col min="1657" max="1657" width="11" style="286" customWidth="1"/>
    <col min="1658" max="1658" width="12.28515625" style="286" customWidth="1"/>
    <col min="1659" max="1659" width="12" style="286" customWidth="1"/>
    <col min="1660" max="1660" width="9.85546875" style="286" customWidth="1"/>
    <col min="1661" max="1661" width="11" style="286" customWidth="1"/>
    <col min="1662" max="1662" width="12.28515625" style="286" customWidth="1"/>
    <col min="1663" max="1663" width="12" style="286" customWidth="1"/>
    <col min="1664" max="1664" width="9.85546875" style="286" customWidth="1"/>
    <col min="1665" max="1665" width="11" style="286" customWidth="1"/>
    <col min="1666" max="1666" width="12.28515625" style="286" customWidth="1"/>
    <col min="1667" max="1667" width="12" style="286" customWidth="1"/>
    <col min="1668" max="1668" width="9.85546875" style="286" customWidth="1"/>
    <col min="1669" max="1669" width="11" style="286" customWidth="1"/>
    <col min="1670" max="1670" width="12.28515625" style="286" customWidth="1"/>
    <col min="1671" max="1671" width="12" style="286" customWidth="1"/>
    <col min="1672" max="1672" width="9.85546875" style="286" customWidth="1"/>
    <col min="1673" max="1673" width="11" style="286" customWidth="1"/>
    <col min="1674" max="1674" width="12.28515625" style="286" customWidth="1"/>
    <col min="1675" max="1675" width="12" style="286" customWidth="1"/>
    <col min="1676" max="1676" width="9.85546875" style="286" customWidth="1"/>
    <col min="1677" max="1677" width="11" style="286" customWidth="1"/>
    <col min="1678" max="1678" width="12.28515625" style="286" customWidth="1"/>
    <col min="1679" max="1679" width="12" style="286" customWidth="1"/>
    <col min="1680" max="1680" width="9.85546875" style="286" customWidth="1"/>
    <col min="1681" max="1681" width="11" style="286" customWidth="1"/>
    <col min="1682" max="1682" width="12.28515625" style="286" customWidth="1"/>
    <col min="1683" max="1683" width="12" style="286" customWidth="1"/>
    <col min="1684" max="1684" width="9.85546875" style="286" customWidth="1"/>
    <col min="1685" max="1685" width="11" style="286" customWidth="1"/>
    <col min="1686" max="1686" width="12.28515625" style="286" customWidth="1"/>
    <col min="1687" max="1687" width="12" style="286" customWidth="1"/>
    <col min="1688" max="1688" width="9.85546875" style="286" customWidth="1"/>
    <col min="1689" max="1689" width="11.7109375" style="286" customWidth="1"/>
    <col min="1690" max="1690" width="10.85546875" style="286" customWidth="1"/>
    <col min="1691" max="1691" width="11.7109375" style="286" customWidth="1"/>
    <col min="1692" max="1692" width="9" style="286" customWidth="1"/>
    <col min="1693" max="1693" width="11" style="286" customWidth="1"/>
    <col min="1694" max="1694" width="12.28515625" style="286" customWidth="1"/>
    <col min="1695" max="1695" width="12" style="286" customWidth="1"/>
    <col min="1696" max="1696" width="9.85546875" style="286" customWidth="1"/>
    <col min="1697" max="1697" width="11" style="286" customWidth="1"/>
    <col min="1698" max="1698" width="12.28515625" style="286" customWidth="1"/>
    <col min="1699" max="1699" width="12" style="286" customWidth="1"/>
    <col min="1700" max="1700" width="9.85546875" style="286" customWidth="1"/>
    <col min="1701" max="1701" width="11" style="286" customWidth="1"/>
    <col min="1702" max="1702" width="12.28515625" style="286" customWidth="1"/>
    <col min="1703" max="1703" width="12" style="286" customWidth="1"/>
    <col min="1704" max="1704" width="9.85546875" style="286" customWidth="1"/>
    <col min="1705" max="1708" width="0" style="286" hidden="1" customWidth="1"/>
    <col min="1709" max="1709" width="11" style="286" customWidth="1"/>
    <col min="1710" max="1710" width="12.28515625" style="286" customWidth="1"/>
    <col min="1711" max="1711" width="12" style="286" customWidth="1"/>
    <col min="1712" max="1712" width="9.85546875" style="286" customWidth="1"/>
    <col min="1713" max="1713" width="11" style="286" customWidth="1"/>
    <col min="1714" max="1714" width="12.28515625" style="286" customWidth="1"/>
    <col min="1715" max="1715" width="12" style="286" customWidth="1"/>
    <col min="1716" max="1716" width="9.85546875" style="286" customWidth="1"/>
    <col min="1717" max="1717" width="11" style="286" customWidth="1"/>
    <col min="1718" max="1718" width="12.28515625" style="286" customWidth="1"/>
    <col min="1719" max="1719" width="12" style="286" customWidth="1"/>
    <col min="1720" max="1720" width="9.85546875" style="286" customWidth="1"/>
    <col min="1721" max="1721" width="11" style="286" customWidth="1"/>
    <col min="1722" max="1722" width="12.28515625" style="286" customWidth="1"/>
    <col min="1723" max="1723" width="12" style="286" customWidth="1"/>
    <col min="1724" max="1724" width="9.85546875" style="286" customWidth="1"/>
    <col min="1725" max="1725" width="11" style="286" customWidth="1"/>
    <col min="1726" max="1726" width="12.28515625" style="286" customWidth="1"/>
    <col min="1727" max="1727" width="12" style="286" customWidth="1"/>
    <col min="1728" max="1728" width="9.85546875" style="286" customWidth="1"/>
    <col min="1729" max="1729" width="11" style="286" customWidth="1"/>
    <col min="1730" max="1730" width="12.28515625" style="286" customWidth="1"/>
    <col min="1731" max="1731" width="12" style="286" customWidth="1"/>
    <col min="1732" max="1732" width="9.85546875" style="286" customWidth="1"/>
    <col min="1733" max="1733" width="11" style="286" customWidth="1"/>
    <col min="1734" max="1734" width="12.28515625" style="286" customWidth="1"/>
    <col min="1735" max="1735" width="12" style="286" customWidth="1"/>
    <col min="1736" max="1736" width="9.85546875" style="286" customWidth="1"/>
    <col min="1737" max="1737" width="11" style="286" customWidth="1"/>
    <col min="1738" max="1738" width="12.28515625" style="286" customWidth="1"/>
    <col min="1739" max="1739" width="12" style="286" customWidth="1"/>
    <col min="1740" max="1740" width="9.85546875" style="286" customWidth="1"/>
    <col min="1741" max="1741" width="11" style="286" customWidth="1"/>
    <col min="1742" max="1742" width="12.28515625" style="286" customWidth="1"/>
    <col min="1743" max="1743" width="12" style="286" customWidth="1"/>
    <col min="1744" max="1744" width="9.85546875" style="286" customWidth="1"/>
    <col min="1745" max="1759" width="0" style="286" hidden="1" customWidth="1"/>
    <col min="1760" max="1760" width="9.85546875" style="286" customWidth="1"/>
    <col min="1761" max="1761" width="10.42578125" style="286" customWidth="1"/>
    <col min="1762" max="1762" width="9" style="286" customWidth="1"/>
    <col min="1763" max="1763" width="11.28515625" style="286" customWidth="1"/>
    <col min="1764" max="1764" width="10.140625" style="286" customWidth="1"/>
    <col min="1765" max="1765" width="10.7109375" style="286" customWidth="1"/>
    <col min="1766" max="1766" width="9.28515625" style="286"/>
    <col min="1767" max="1768" width="9.140625" style="286" customWidth="1"/>
    <col min="1769" max="1792" width="9.28515625" style="286"/>
    <col min="1793" max="1793" width="4.28515625" style="286" customWidth="1"/>
    <col min="1794" max="1794" width="5.42578125" style="286" customWidth="1"/>
    <col min="1795" max="1795" width="41.5703125" style="286" customWidth="1"/>
    <col min="1796" max="1796" width="7.42578125" style="286" customWidth="1"/>
    <col min="1797" max="1797" width="13.140625" style="286" customWidth="1"/>
    <col min="1798" max="1798" width="11.7109375" style="286" customWidth="1"/>
    <col min="1799" max="1799" width="14.7109375" style="286" customWidth="1"/>
    <col min="1800" max="1800" width="11.7109375" style="286" customWidth="1"/>
    <col min="1801" max="1801" width="12" style="286" customWidth="1"/>
    <col min="1802" max="1802" width="9.7109375" style="286" customWidth="1"/>
    <col min="1803" max="1804" width="9.42578125" style="286" customWidth="1"/>
    <col min="1805" max="1805" width="10.7109375" style="286" customWidth="1"/>
    <col min="1806" max="1806" width="13.42578125" style="286" customWidth="1"/>
    <col min="1807" max="1807" width="12" style="286" customWidth="1"/>
    <col min="1808" max="1808" width="11" style="286" customWidth="1"/>
    <col min="1809" max="1809" width="10.5703125" style="286" customWidth="1"/>
    <col min="1810" max="1810" width="10.42578125" style="286" customWidth="1"/>
    <col min="1811" max="1811" width="10.7109375" style="286" customWidth="1"/>
    <col min="1812" max="1813" width="11.140625" style="286" customWidth="1"/>
    <col min="1814" max="1814" width="10.5703125" style="286" customWidth="1"/>
    <col min="1815" max="1815" width="10.85546875" style="286" customWidth="1"/>
    <col min="1816" max="1816" width="9.85546875" style="286" customWidth="1"/>
    <col min="1817" max="1817" width="11" style="286" customWidth="1"/>
    <col min="1818" max="1818" width="11.42578125" style="286" customWidth="1"/>
    <col min="1819" max="1819" width="12" style="286" customWidth="1"/>
    <col min="1820" max="1820" width="9.85546875" style="286" customWidth="1"/>
    <col min="1821" max="1821" width="10.5703125" style="286" customWidth="1"/>
    <col min="1822" max="1822" width="11.140625" style="286" customWidth="1"/>
    <col min="1823" max="1823" width="11.42578125" style="286" customWidth="1"/>
    <col min="1824" max="1828" width="9.85546875" style="286" customWidth="1"/>
    <col min="1829" max="1831" width="11.7109375" style="286" customWidth="1"/>
    <col min="1832" max="1832" width="9.85546875" style="286" customWidth="1"/>
    <col min="1833" max="1833" width="11" style="286" customWidth="1"/>
    <col min="1834" max="1834" width="11.42578125" style="286" customWidth="1"/>
    <col min="1835" max="1835" width="11.140625" style="286" customWidth="1"/>
    <col min="1836" max="1836" width="10.42578125" style="286" customWidth="1"/>
    <col min="1837" max="1837" width="11.5703125" style="286" customWidth="1"/>
    <col min="1838" max="1839" width="11.140625" style="286" customWidth="1"/>
    <col min="1840" max="1852" width="9.85546875" style="286" customWidth="1"/>
    <col min="1853" max="1853" width="10.5703125" style="286" customWidth="1"/>
    <col min="1854" max="1854" width="12.42578125" style="286" customWidth="1"/>
    <col min="1855" max="1855" width="10.140625" style="286" customWidth="1"/>
    <col min="1856" max="1856" width="9.140625" style="286" customWidth="1"/>
    <col min="1857" max="1857" width="9" style="286" customWidth="1"/>
    <col min="1858" max="1859" width="9.7109375" style="286" customWidth="1"/>
    <col min="1860" max="1860" width="8.42578125" style="286" customWidth="1"/>
    <col min="1861" max="1861" width="11.7109375" style="286" customWidth="1"/>
    <col min="1862" max="1862" width="10.85546875" style="286" customWidth="1"/>
    <col min="1863" max="1863" width="11.7109375" style="286" customWidth="1"/>
    <col min="1864" max="1864" width="9" style="286" customWidth="1"/>
    <col min="1865" max="1865" width="11" style="286" customWidth="1"/>
    <col min="1866" max="1866" width="10.5703125" style="286" customWidth="1"/>
    <col min="1867" max="1867" width="11.7109375" style="286" customWidth="1"/>
    <col min="1868" max="1869" width="11" style="286" customWidth="1"/>
    <col min="1870" max="1872" width="11.140625" style="286" customWidth="1"/>
    <col min="1873" max="1873" width="8.7109375" style="286" customWidth="1"/>
    <col min="1874" max="1874" width="11.140625" style="286" customWidth="1"/>
    <col min="1875" max="1875" width="9.28515625" style="286"/>
    <col min="1876" max="1876" width="11.140625" style="286" customWidth="1"/>
    <col min="1877" max="1877" width="10.5703125" style="286" customWidth="1"/>
    <col min="1878" max="1878" width="12.28515625" style="286" customWidth="1"/>
    <col min="1879" max="1879" width="12" style="286" customWidth="1"/>
    <col min="1880" max="1880" width="9.85546875" style="286" customWidth="1"/>
    <col min="1881" max="1881" width="11" style="286" customWidth="1"/>
    <col min="1882" max="1882" width="12.28515625" style="286" customWidth="1"/>
    <col min="1883" max="1883" width="12" style="286" customWidth="1"/>
    <col min="1884" max="1884" width="9.85546875" style="286" customWidth="1"/>
    <col min="1885" max="1885" width="11" style="286" customWidth="1"/>
    <col min="1886" max="1886" width="12.28515625" style="286" customWidth="1"/>
    <col min="1887" max="1887" width="12" style="286" customWidth="1"/>
    <col min="1888" max="1888" width="9.85546875" style="286" customWidth="1"/>
    <col min="1889" max="1889" width="11" style="286" customWidth="1"/>
    <col min="1890" max="1890" width="12.28515625" style="286" customWidth="1"/>
    <col min="1891" max="1891" width="12" style="286" customWidth="1"/>
    <col min="1892" max="1892" width="9.85546875" style="286" customWidth="1"/>
    <col min="1893" max="1893" width="11" style="286" customWidth="1"/>
    <col min="1894" max="1894" width="12.28515625" style="286" customWidth="1"/>
    <col min="1895" max="1895" width="12" style="286" customWidth="1"/>
    <col min="1896" max="1896" width="9.85546875" style="286" customWidth="1"/>
    <col min="1897" max="1897" width="11" style="286" customWidth="1"/>
    <col min="1898" max="1898" width="12.28515625" style="286" customWidth="1"/>
    <col min="1899" max="1899" width="12" style="286" customWidth="1"/>
    <col min="1900" max="1900" width="9.85546875" style="286" customWidth="1"/>
    <col min="1901" max="1901" width="11" style="286" customWidth="1"/>
    <col min="1902" max="1902" width="12.28515625" style="286" customWidth="1"/>
    <col min="1903" max="1903" width="12" style="286" customWidth="1"/>
    <col min="1904" max="1904" width="9.85546875" style="286" customWidth="1"/>
    <col min="1905" max="1905" width="11" style="286" customWidth="1"/>
    <col min="1906" max="1906" width="12.28515625" style="286" customWidth="1"/>
    <col min="1907" max="1907" width="12" style="286" customWidth="1"/>
    <col min="1908" max="1908" width="9.85546875" style="286" customWidth="1"/>
    <col min="1909" max="1909" width="11" style="286" customWidth="1"/>
    <col min="1910" max="1910" width="12.28515625" style="286" customWidth="1"/>
    <col min="1911" max="1911" width="12" style="286" customWidth="1"/>
    <col min="1912" max="1912" width="9.85546875" style="286" customWidth="1"/>
    <col min="1913" max="1913" width="11" style="286" customWidth="1"/>
    <col min="1914" max="1914" width="12.28515625" style="286" customWidth="1"/>
    <col min="1915" max="1915" width="12" style="286" customWidth="1"/>
    <col min="1916" max="1916" width="9.85546875" style="286" customWidth="1"/>
    <col min="1917" max="1917" width="11" style="286" customWidth="1"/>
    <col min="1918" max="1918" width="12.28515625" style="286" customWidth="1"/>
    <col min="1919" max="1919" width="12" style="286" customWidth="1"/>
    <col min="1920" max="1920" width="9.85546875" style="286" customWidth="1"/>
    <col min="1921" max="1921" width="11" style="286" customWidth="1"/>
    <col min="1922" max="1922" width="12.28515625" style="286" customWidth="1"/>
    <col min="1923" max="1923" width="12" style="286" customWidth="1"/>
    <col min="1924" max="1924" width="9.85546875" style="286" customWidth="1"/>
    <col min="1925" max="1925" width="11" style="286" customWidth="1"/>
    <col min="1926" max="1926" width="12.28515625" style="286" customWidth="1"/>
    <col min="1927" max="1927" width="12" style="286" customWidth="1"/>
    <col min="1928" max="1928" width="9.85546875" style="286" customWidth="1"/>
    <col min="1929" max="1929" width="11" style="286" customWidth="1"/>
    <col min="1930" max="1930" width="12.28515625" style="286" customWidth="1"/>
    <col min="1931" max="1931" width="12" style="286" customWidth="1"/>
    <col min="1932" max="1932" width="9.85546875" style="286" customWidth="1"/>
    <col min="1933" max="1933" width="11" style="286" customWidth="1"/>
    <col min="1934" max="1934" width="12.28515625" style="286" customWidth="1"/>
    <col min="1935" max="1935" width="12" style="286" customWidth="1"/>
    <col min="1936" max="1936" width="9.85546875" style="286" customWidth="1"/>
    <col min="1937" max="1937" width="11" style="286" customWidth="1"/>
    <col min="1938" max="1938" width="12.28515625" style="286" customWidth="1"/>
    <col min="1939" max="1939" width="12" style="286" customWidth="1"/>
    <col min="1940" max="1940" width="9.85546875" style="286" customWidth="1"/>
    <col min="1941" max="1941" width="11" style="286" customWidth="1"/>
    <col min="1942" max="1942" width="12.28515625" style="286" customWidth="1"/>
    <col min="1943" max="1943" width="12" style="286" customWidth="1"/>
    <col min="1944" max="1944" width="9.85546875" style="286" customWidth="1"/>
    <col min="1945" max="1945" width="11.7109375" style="286" customWidth="1"/>
    <col min="1946" max="1946" width="10.85546875" style="286" customWidth="1"/>
    <col min="1947" max="1947" width="11.7109375" style="286" customWidth="1"/>
    <col min="1948" max="1948" width="9" style="286" customWidth="1"/>
    <col min="1949" max="1949" width="11" style="286" customWidth="1"/>
    <col min="1950" max="1950" width="12.28515625" style="286" customWidth="1"/>
    <col min="1951" max="1951" width="12" style="286" customWidth="1"/>
    <col min="1952" max="1952" width="9.85546875" style="286" customWidth="1"/>
    <col min="1953" max="1953" width="11" style="286" customWidth="1"/>
    <col min="1954" max="1954" width="12.28515625" style="286" customWidth="1"/>
    <col min="1955" max="1955" width="12" style="286" customWidth="1"/>
    <col min="1956" max="1956" width="9.85546875" style="286" customWidth="1"/>
    <col min="1957" max="1957" width="11" style="286" customWidth="1"/>
    <col min="1958" max="1958" width="12.28515625" style="286" customWidth="1"/>
    <col min="1959" max="1959" width="12" style="286" customWidth="1"/>
    <col min="1960" max="1960" width="9.85546875" style="286" customWidth="1"/>
    <col min="1961" max="1964" width="0" style="286" hidden="1" customWidth="1"/>
    <col min="1965" max="1965" width="11" style="286" customWidth="1"/>
    <col min="1966" max="1966" width="12.28515625" style="286" customWidth="1"/>
    <col min="1967" max="1967" width="12" style="286" customWidth="1"/>
    <col min="1968" max="1968" width="9.85546875" style="286" customWidth="1"/>
    <col min="1969" max="1969" width="11" style="286" customWidth="1"/>
    <col min="1970" max="1970" width="12.28515625" style="286" customWidth="1"/>
    <col min="1971" max="1971" width="12" style="286" customWidth="1"/>
    <col min="1972" max="1972" width="9.85546875" style="286" customWidth="1"/>
    <col min="1973" max="1973" width="11" style="286" customWidth="1"/>
    <col min="1974" max="1974" width="12.28515625" style="286" customWidth="1"/>
    <col min="1975" max="1975" width="12" style="286" customWidth="1"/>
    <col min="1976" max="1976" width="9.85546875" style="286" customWidth="1"/>
    <col min="1977" max="1977" width="11" style="286" customWidth="1"/>
    <col min="1978" max="1978" width="12.28515625" style="286" customWidth="1"/>
    <col min="1979" max="1979" width="12" style="286" customWidth="1"/>
    <col min="1980" max="1980" width="9.85546875" style="286" customWidth="1"/>
    <col min="1981" max="1981" width="11" style="286" customWidth="1"/>
    <col min="1982" max="1982" width="12.28515625" style="286" customWidth="1"/>
    <col min="1983" max="1983" width="12" style="286" customWidth="1"/>
    <col min="1984" max="1984" width="9.85546875" style="286" customWidth="1"/>
    <col min="1985" max="1985" width="11" style="286" customWidth="1"/>
    <col min="1986" max="1986" width="12.28515625" style="286" customWidth="1"/>
    <col min="1987" max="1987" width="12" style="286" customWidth="1"/>
    <col min="1988" max="1988" width="9.85546875" style="286" customWidth="1"/>
    <col min="1989" max="1989" width="11" style="286" customWidth="1"/>
    <col min="1990" max="1990" width="12.28515625" style="286" customWidth="1"/>
    <col min="1991" max="1991" width="12" style="286" customWidth="1"/>
    <col min="1992" max="1992" width="9.85546875" style="286" customWidth="1"/>
    <col min="1993" max="1993" width="11" style="286" customWidth="1"/>
    <col min="1994" max="1994" width="12.28515625" style="286" customWidth="1"/>
    <col min="1995" max="1995" width="12" style="286" customWidth="1"/>
    <col min="1996" max="1996" width="9.85546875" style="286" customWidth="1"/>
    <col min="1997" max="1997" width="11" style="286" customWidth="1"/>
    <col min="1998" max="1998" width="12.28515625" style="286" customWidth="1"/>
    <col min="1999" max="1999" width="12" style="286" customWidth="1"/>
    <col min="2000" max="2000" width="9.85546875" style="286" customWidth="1"/>
    <col min="2001" max="2015" width="0" style="286" hidden="1" customWidth="1"/>
    <col min="2016" max="2016" width="9.85546875" style="286" customWidth="1"/>
    <col min="2017" max="2017" width="10.42578125" style="286" customWidth="1"/>
    <col min="2018" max="2018" width="9" style="286" customWidth="1"/>
    <col min="2019" max="2019" width="11.28515625" style="286" customWidth="1"/>
    <col min="2020" max="2020" width="10.140625" style="286" customWidth="1"/>
    <col min="2021" max="2021" width="10.7109375" style="286" customWidth="1"/>
    <col min="2022" max="2022" width="9.28515625" style="286"/>
    <col min="2023" max="2024" width="9.140625" style="286" customWidth="1"/>
    <col min="2025" max="2048" width="9.28515625" style="286"/>
    <col min="2049" max="2049" width="4.28515625" style="286" customWidth="1"/>
    <col min="2050" max="2050" width="5.42578125" style="286" customWidth="1"/>
    <col min="2051" max="2051" width="41.5703125" style="286" customWidth="1"/>
    <col min="2052" max="2052" width="7.42578125" style="286" customWidth="1"/>
    <col min="2053" max="2053" width="13.140625" style="286" customWidth="1"/>
    <col min="2054" max="2054" width="11.7109375" style="286" customWidth="1"/>
    <col min="2055" max="2055" width="14.7109375" style="286" customWidth="1"/>
    <col min="2056" max="2056" width="11.7109375" style="286" customWidth="1"/>
    <col min="2057" max="2057" width="12" style="286" customWidth="1"/>
    <col min="2058" max="2058" width="9.7109375" style="286" customWidth="1"/>
    <col min="2059" max="2060" width="9.42578125" style="286" customWidth="1"/>
    <col min="2061" max="2061" width="10.7109375" style="286" customWidth="1"/>
    <col min="2062" max="2062" width="13.42578125" style="286" customWidth="1"/>
    <col min="2063" max="2063" width="12" style="286" customWidth="1"/>
    <col min="2064" max="2064" width="11" style="286" customWidth="1"/>
    <col min="2065" max="2065" width="10.5703125" style="286" customWidth="1"/>
    <col min="2066" max="2066" width="10.42578125" style="286" customWidth="1"/>
    <col min="2067" max="2067" width="10.7109375" style="286" customWidth="1"/>
    <col min="2068" max="2069" width="11.140625" style="286" customWidth="1"/>
    <col min="2070" max="2070" width="10.5703125" style="286" customWidth="1"/>
    <col min="2071" max="2071" width="10.85546875" style="286" customWidth="1"/>
    <col min="2072" max="2072" width="9.85546875" style="286" customWidth="1"/>
    <col min="2073" max="2073" width="11" style="286" customWidth="1"/>
    <col min="2074" max="2074" width="11.42578125" style="286" customWidth="1"/>
    <col min="2075" max="2075" width="12" style="286" customWidth="1"/>
    <col min="2076" max="2076" width="9.85546875" style="286" customWidth="1"/>
    <col min="2077" max="2077" width="10.5703125" style="286" customWidth="1"/>
    <col min="2078" max="2078" width="11.140625" style="286" customWidth="1"/>
    <col min="2079" max="2079" width="11.42578125" style="286" customWidth="1"/>
    <col min="2080" max="2084" width="9.85546875" style="286" customWidth="1"/>
    <col min="2085" max="2087" width="11.7109375" style="286" customWidth="1"/>
    <col min="2088" max="2088" width="9.85546875" style="286" customWidth="1"/>
    <col min="2089" max="2089" width="11" style="286" customWidth="1"/>
    <col min="2090" max="2090" width="11.42578125" style="286" customWidth="1"/>
    <col min="2091" max="2091" width="11.140625" style="286" customWidth="1"/>
    <col min="2092" max="2092" width="10.42578125" style="286" customWidth="1"/>
    <col min="2093" max="2093" width="11.5703125" style="286" customWidth="1"/>
    <col min="2094" max="2095" width="11.140625" style="286" customWidth="1"/>
    <col min="2096" max="2108" width="9.85546875" style="286" customWidth="1"/>
    <col min="2109" max="2109" width="10.5703125" style="286" customWidth="1"/>
    <col min="2110" max="2110" width="12.42578125" style="286" customWidth="1"/>
    <col min="2111" max="2111" width="10.140625" style="286" customWidth="1"/>
    <col min="2112" max="2112" width="9.140625" style="286" customWidth="1"/>
    <col min="2113" max="2113" width="9" style="286" customWidth="1"/>
    <col min="2114" max="2115" width="9.7109375" style="286" customWidth="1"/>
    <col min="2116" max="2116" width="8.42578125" style="286" customWidth="1"/>
    <col min="2117" max="2117" width="11.7109375" style="286" customWidth="1"/>
    <col min="2118" max="2118" width="10.85546875" style="286" customWidth="1"/>
    <col min="2119" max="2119" width="11.7109375" style="286" customWidth="1"/>
    <col min="2120" max="2120" width="9" style="286" customWidth="1"/>
    <col min="2121" max="2121" width="11" style="286" customWidth="1"/>
    <col min="2122" max="2122" width="10.5703125" style="286" customWidth="1"/>
    <col min="2123" max="2123" width="11.7109375" style="286" customWidth="1"/>
    <col min="2124" max="2125" width="11" style="286" customWidth="1"/>
    <col min="2126" max="2128" width="11.140625" style="286" customWidth="1"/>
    <col min="2129" max="2129" width="8.7109375" style="286" customWidth="1"/>
    <col min="2130" max="2130" width="11.140625" style="286" customWidth="1"/>
    <col min="2131" max="2131" width="9.28515625" style="286"/>
    <col min="2132" max="2132" width="11.140625" style="286" customWidth="1"/>
    <col min="2133" max="2133" width="10.5703125" style="286" customWidth="1"/>
    <col min="2134" max="2134" width="12.28515625" style="286" customWidth="1"/>
    <col min="2135" max="2135" width="12" style="286" customWidth="1"/>
    <col min="2136" max="2136" width="9.85546875" style="286" customWidth="1"/>
    <col min="2137" max="2137" width="11" style="286" customWidth="1"/>
    <col min="2138" max="2138" width="12.28515625" style="286" customWidth="1"/>
    <col min="2139" max="2139" width="12" style="286" customWidth="1"/>
    <col min="2140" max="2140" width="9.85546875" style="286" customWidth="1"/>
    <col min="2141" max="2141" width="11" style="286" customWidth="1"/>
    <col min="2142" max="2142" width="12.28515625" style="286" customWidth="1"/>
    <col min="2143" max="2143" width="12" style="286" customWidth="1"/>
    <col min="2144" max="2144" width="9.85546875" style="286" customWidth="1"/>
    <col min="2145" max="2145" width="11" style="286" customWidth="1"/>
    <col min="2146" max="2146" width="12.28515625" style="286" customWidth="1"/>
    <col min="2147" max="2147" width="12" style="286" customWidth="1"/>
    <col min="2148" max="2148" width="9.85546875" style="286" customWidth="1"/>
    <col min="2149" max="2149" width="11" style="286" customWidth="1"/>
    <col min="2150" max="2150" width="12.28515625" style="286" customWidth="1"/>
    <col min="2151" max="2151" width="12" style="286" customWidth="1"/>
    <col min="2152" max="2152" width="9.85546875" style="286" customWidth="1"/>
    <col min="2153" max="2153" width="11" style="286" customWidth="1"/>
    <col min="2154" max="2154" width="12.28515625" style="286" customWidth="1"/>
    <col min="2155" max="2155" width="12" style="286" customWidth="1"/>
    <col min="2156" max="2156" width="9.85546875" style="286" customWidth="1"/>
    <col min="2157" max="2157" width="11" style="286" customWidth="1"/>
    <col min="2158" max="2158" width="12.28515625" style="286" customWidth="1"/>
    <col min="2159" max="2159" width="12" style="286" customWidth="1"/>
    <col min="2160" max="2160" width="9.85546875" style="286" customWidth="1"/>
    <col min="2161" max="2161" width="11" style="286" customWidth="1"/>
    <col min="2162" max="2162" width="12.28515625" style="286" customWidth="1"/>
    <col min="2163" max="2163" width="12" style="286" customWidth="1"/>
    <col min="2164" max="2164" width="9.85546875" style="286" customWidth="1"/>
    <col min="2165" max="2165" width="11" style="286" customWidth="1"/>
    <col min="2166" max="2166" width="12.28515625" style="286" customWidth="1"/>
    <col min="2167" max="2167" width="12" style="286" customWidth="1"/>
    <col min="2168" max="2168" width="9.85546875" style="286" customWidth="1"/>
    <col min="2169" max="2169" width="11" style="286" customWidth="1"/>
    <col min="2170" max="2170" width="12.28515625" style="286" customWidth="1"/>
    <col min="2171" max="2171" width="12" style="286" customWidth="1"/>
    <col min="2172" max="2172" width="9.85546875" style="286" customWidth="1"/>
    <col min="2173" max="2173" width="11" style="286" customWidth="1"/>
    <col min="2174" max="2174" width="12.28515625" style="286" customWidth="1"/>
    <col min="2175" max="2175" width="12" style="286" customWidth="1"/>
    <col min="2176" max="2176" width="9.85546875" style="286" customWidth="1"/>
    <col min="2177" max="2177" width="11" style="286" customWidth="1"/>
    <col min="2178" max="2178" width="12.28515625" style="286" customWidth="1"/>
    <col min="2179" max="2179" width="12" style="286" customWidth="1"/>
    <col min="2180" max="2180" width="9.85546875" style="286" customWidth="1"/>
    <col min="2181" max="2181" width="11" style="286" customWidth="1"/>
    <col min="2182" max="2182" width="12.28515625" style="286" customWidth="1"/>
    <col min="2183" max="2183" width="12" style="286" customWidth="1"/>
    <col min="2184" max="2184" width="9.85546875" style="286" customWidth="1"/>
    <col min="2185" max="2185" width="11" style="286" customWidth="1"/>
    <col min="2186" max="2186" width="12.28515625" style="286" customWidth="1"/>
    <col min="2187" max="2187" width="12" style="286" customWidth="1"/>
    <col min="2188" max="2188" width="9.85546875" style="286" customWidth="1"/>
    <col min="2189" max="2189" width="11" style="286" customWidth="1"/>
    <col min="2190" max="2190" width="12.28515625" style="286" customWidth="1"/>
    <col min="2191" max="2191" width="12" style="286" customWidth="1"/>
    <col min="2192" max="2192" width="9.85546875" style="286" customWidth="1"/>
    <col min="2193" max="2193" width="11" style="286" customWidth="1"/>
    <col min="2194" max="2194" width="12.28515625" style="286" customWidth="1"/>
    <col min="2195" max="2195" width="12" style="286" customWidth="1"/>
    <col min="2196" max="2196" width="9.85546875" style="286" customWidth="1"/>
    <col min="2197" max="2197" width="11" style="286" customWidth="1"/>
    <col min="2198" max="2198" width="12.28515625" style="286" customWidth="1"/>
    <col min="2199" max="2199" width="12" style="286" customWidth="1"/>
    <col min="2200" max="2200" width="9.85546875" style="286" customWidth="1"/>
    <col min="2201" max="2201" width="11.7109375" style="286" customWidth="1"/>
    <col min="2202" max="2202" width="10.85546875" style="286" customWidth="1"/>
    <col min="2203" max="2203" width="11.7109375" style="286" customWidth="1"/>
    <col min="2204" max="2204" width="9" style="286" customWidth="1"/>
    <col min="2205" max="2205" width="11" style="286" customWidth="1"/>
    <col min="2206" max="2206" width="12.28515625" style="286" customWidth="1"/>
    <col min="2207" max="2207" width="12" style="286" customWidth="1"/>
    <col min="2208" max="2208" width="9.85546875" style="286" customWidth="1"/>
    <col min="2209" max="2209" width="11" style="286" customWidth="1"/>
    <col min="2210" max="2210" width="12.28515625" style="286" customWidth="1"/>
    <col min="2211" max="2211" width="12" style="286" customWidth="1"/>
    <col min="2212" max="2212" width="9.85546875" style="286" customWidth="1"/>
    <col min="2213" max="2213" width="11" style="286" customWidth="1"/>
    <col min="2214" max="2214" width="12.28515625" style="286" customWidth="1"/>
    <col min="2215" max="2215" width="12" style="286" customWidth="1"/>
    <col min="2216" max="2216" width="9.85546875" style="286" customWidth="1"/>
    <col min="2217" max="2220" width="0" style="286" hidden="1" customWidth="1"/>
    <col min="2221" max="2221" width="11" style="286" customWidth="1"/>
    <col min="2222" max="2222" width="12.28515625" style="286" customWidth="1"/>
    <col min="2223" max="2223" width="12" style="286" customWidth="1"/>
    <col min="2224" max="2224" width="9.85546875" style="286" customWidth="1"/>
    <col min="2225" max="2225" width="11" style="286" customWidth="1"/>
    <col min="2226" max="2226" width="12.28515625" style="286" customWidth="1"/>
    <col min="2227" max="2227" width="12" style="286" customWidth="1"/>
    <col min="2228" max="2228" width="9.85546875" style="286" customWidth="1"/>
    <col min="2229" max="2229" width="11" style="286" customWidth="1"/>
    <col min="2230" max="2230" width="12.28515625" style="286" customWidth="1"/>
    <col min="2231" max="2231" width="12" style="286" customWidth="1"/>
    <col min="2232" max="2232" width="9.85546875" style="286" customWidth="1"/>
    <col min="2233" max="2233" width="11" style="286" customWidth="1"/>
    <col min="2234" max="2234" width="12.28515625" style="286" customWidth="1"/>
    <col min="2235" max="2235" width="12" style="286" customWidth="1"/>
    <col min="2236" max="2236" width="9.85546875" style="286" customWidth="1"/>
    <col min="2237" max="2237" width="11" style="286" customWidth="1"/>
    <col min="2238" max="2238" width="12.28515625" style="286" customWidth="1"/>
    <col min="2239" max="2239" width="12" style="286" customWidth="1"/>
    <col min="2240" max="2240" width="9.85546875" style="286" customWidth="1"/>
    <col min="2241" max="2241" width="11" style="286" customWidth="1"/>
    <col min="2242" max="2242" width="12.28515625" style="286" customWidth="1"/>
    <col min="2243" max="2243" width="12" style="286" customWidth="1"/>
    <col min="2244" max="2244" width="9.85546875" style="286" customWidth="1"/>
    <col min="2245" max="2245" width="11" style="286" customWidth="1"/>
    <col min="2246" max="2246" width="12.28515625" style="286" customWidth="1"/>
    <col min="2247" max="2247" width="12" style="286" customWidth="1"/>
    <col min="2248" max="2248" width="9.85546875" style="286" customWidth="1"/>
    <col min="2249" max="2249" width="11" style="286" customWidth="1"/>
    <col min="2250" max="2250" width="12.28515625" style="286" customWidth="1"/>
    <col min="2251" max="2251" width="12" style="286" customWidth="1"/>
    <col min="2252" max="2252" width="9.85546875" style="286" customWidth="1"/>
    <col min="2253" max="2253" width="11" style="286" customWidth="1"/>
    <col min="2254" max="2254" width="12.28515625" style="286" customWidth="1"/>
    <col min="2255" max="2255" width="12" style="286" customWidth="1"/>
    <col min="2256" max="2256" width="9.85546875" style="286" customWidth="1"/>
    <col min="2257" max="2271" width="0" style="286" hidden="1" customWidth="1"/>
    <col min="2272" max="2272" width="9.85546875" style="286" customWidth="1"/>
    <col min="2273" max="2273" width="10.42578125" style="286" customWidth="1"/>
    <col min="2274" max="2274" width="9" style="286" customWidth="1"/>
    <col min="2275" max="2275" width="11.28515625" style="286" customWidth="1"/>
    <col min="2276" max="2276" width="10.140625" style="286" customWidth="1"/>
    <col min="2277" max="2277" width="10.7109375" style="286" customWidth="1"/>
    <col min="2278" max="2278" width="9.28515625" style="286"/>
    <col min="2279" max="2280" width="9.140625" style="286" customWidth="1"/>
    <col min="2281" max="2304" width="9.28515625" style="286"/>
    <col min="2305" max="2305" width="4.28515625" style="286" customWidth="1"/>
    <col min="2306" max="2306" width="5.42578125" style="286" customWidth="1"/>
    <col min="2307" max="2307" width="41.5703125" style="286" customWidth="1"/>
    <col min="2308" max="2308" width="7.42578125" style="286" customWidth="1"/>
    <col min="2309" max="2309" width="13.140625" style="286" customWidth="1"/>
    <col min="2310" max="2310" width="11.7109375" style="286" customWidth="1"/>
    <col min="2311" max="2311" width="14.7109375" style="286" customWidth="1"/>
    <col min="2312" max="2312" width="11.7109375" style="286" customWidth="1"/>
    <col min="2313" max="2313" width="12" style="286" customWidth="1"/>
    <col min="2314" max="2314" width="9.7109375" style="286" customWidth="1"/>
    <col min="2315" max="2316" width="9.42578125" style="286" customWidth="1"/>
    <col min="2317" max="2317" width="10.7109375" style="286" customWidth="1"/>
    <col min="2318" max="2318" width="13.42578125" style="286" customWidth="1"/>
    <col min="2319" max="2319" width="12" style="286" customWidth="1"/>
    <col min="2320" max="2320" width="11" style="286" customWidth="1"/>
    <col min="2321" max="2321" width="10.5703125" style="286" customWidth="1"/>
    <col min="2322" max="2322" width="10.42578125" style="286" customWidth="1"/>
    <col min="2323" max="2323" width="10.7109375" style="286" customWidth="1"/>
    <col min="2324" max="2325" width="11.140625" style="286" customWidth="1"/>
    <col min="2326" max="2326" width="10.5703125" style="286" customWidth="1"/>
    <col min="2327" max="2327" width="10.85546875" style="286" customWidth="1"/>
    <col min="2328" max="2328" width="9.85546875" style="286" customWidth="1"/>
    <col min="2329" max="2329" width="11" style="286" customWidth="1"/>
    <col min="2330" max="2330" width="11.42578125" style="286" customWidth="1"/>
    <col min="2331" max="2331" width="12" style="286" customWidth="1"/>
    <col min="2332" max="2332" width="9.85546875" style="286" customWidth="1"/>
    <col min="2333" max="2333" width="10.5703125" style="286" customWidth="1"/>
    <col min="2334" max="2334" width="11.140625" style="286" customWidth="1"/>
    <col min="2335" max="2335" width="11.42578125" style="286" customWidth="1"/>
    <col min="2336" max="2340" width="9.85546875" style="286" customWidth="1"/>
    <col min="2341" max="2343" width="11.7109375" style="286" customWidth="1"/>
    <col min="2344" max="2344" width="9.85546875" style="286" customWidth="1"/>
    <col min="2345" max="2345" width="11" style="286" customWidth="1"/>
    <col min="2346" max="2346" width="11.42578125" style="286" customWidth="1"/>
    <col min="2347" max="2347" width="11.140625" style="286" customWidth="1"/>
    <col min="2348" max="2348" width="10.42578125" style="286" customWidth="1"/>
    <col min="2349" max="2349" width="11.5703125" style="286" customWidth="1"/>
    <col min="2350" max="2351" width="11.140625" style="286" customWidth="1"/>
    <col min="2352" max="2364" width="9.85546875" style="286" customWidth="1"/>
    <col min="2365" max="2365" width="10.5703125" style="286" customWidth="1"/>
    <col min="2366" max="2366" width="12.42578125" style="286" customWidth="1"/>
    <col min="2367" max="2367" width="10.140625" style="286" customWidth="1"/>
    <col min="2368" max="2368" width="9.140625" style="286" customWidth="1"/>
    <col min="2369" max="2369" width="9" style="286" customWidth="1"/>
    <col min="2370" max="2371" width="9.7109375" style="286" customWidth="1"/>
    <col min="2372" max="2372" width="8.42578125" style="286" customWidth="1"/>
    <col min="2373" max="2373" width="11.7109375" style="286" customWidth="1"/>
    <col min="2374" max="2374" width="10.85546875" style="286" customWidth="1"/>
    <col min="2375" max="2375" width="11.7109375" style="286" customWidth="1"/>
    <col min="2376" max="2376" width="9" style="286" customWidth="1"/>
    <col min="2377" max="2377" width="11" style="286" customWidth="1"/>
    <col min="2378" max="2378" width="10.5703125" style="286" customWidth="1"/>
    <col min="2379" max="2379" width="11.7109375" style="286" customWidth="1"/>
    <col min="2380" max="2381" width="11" style="286" customWidth="1"/>
    <col min="2382" max="2384" width="11.140625" style="286" customWidth="1"/>
    <col min="2385" max="2385" width="8.7109375" style="286" customWidth="1"/>
    <col min="2386" max="2386" width="11.140625" style="286" customWidth="1"/>
    <col min="2387" max="2387" width="9.28515625" style="286"/>
    <col min="2388" max="2388" width="11.140625" style="286" customWidth="1"/>
    <col min="2389" max="2389" width="10.5703125" style="286" customWidth="1"/>
    <col min="2390" max="2390" width="12.28515625" style="286" customWidth="1"/>
    <col min="2391" max="2391" width="12" style="286" customWidth="1"/>
    <col min="2392" max="2392" width="9.85546875" style="286" customWidth="1"/>
    <col min="2393" max="2393" width="11" style="286" customWidth="1"/>
    <col min="2394" max="2394" width="12.28515625" style="286" customWidth="1"/>
    <col min="2395" max="2395" width="12" style="286" customWidth="1"/>
    <col min="2396" max="2396" width="9.85546875" style="286" customWidth="1"/>
    <col min="2397" max="2397" width="11" style="286" customWidth="1"/>
    <col min="2398" max="2398" width="12.28515625" style="286" customWidth="1"/>
    <col min="2399" max="2399" width="12" style="286" customWidth="1"/>
    <col min="2400" max="2400" width="9.85546875" style="286" customWidth="1"/>
    <col min="2401" max="2401" width="11" style="286" customWidth="1"/>
    <col min="2402" max="2402" width="12.28515625" style="286" customWidth="1"/>
    <col min="2403" max="2403" width="12" style="286" customWidth="1"/>
    <col min="2404" max="2404" width="9.85546875" style="286" customWidth="1"/>
    <col min="2405" max="2405" width="11" style="286" customWidth="1"/>
    <col min="2406" max="2406" width="12.28515625" style="286" customWidth="1"/>
    <col min="2407" max="2407" width="12" style="286" customWidth="1"/>
    <col min="2408" max="2408" width="9.85546875" style="286" customWidth="1"/>
    <col min="2409" max="2409" width="11" style="286" customWidth="1"/>
    <col min="2410" max="2410" width="12.28515625" style="286" customWidth="1"/>
    <col min="2411" max="2411" width="12" style="286" customWidth="1"/>
    <col min="2412" max="2412" width="9.85546875" style="286" customWidth="1"/>
    <col min="2413" max="2413" width="11" style="286" customWidth="1"/>
    <col min="2414" max="2414" width="12.28515625" style="286" customWidth="1"/>
    <col min="2415" max="2415" width="12" style="286" customWidth="1"/>
    <col min="2416" max="2416" width="9.85546875" style="286" customWidth="1"/>
    <col min="2417" max="2417" width="11" style="286" customWidth="1"/>
    <col min="2418" max="2418" width="12.28515625" style="286" customWidth="1"/>
    <col min="2419" max="2419" width="12" style="286" customWidth="1"/>
    <col min="2420" max="2420" width="9.85546875" style="286" customWidth="1"/>
    <col min="2421" max="2421" width="11" style="286" customWidth="1"/>
    <col min="2422" max="2422" width="12.28515625" style="286" customWidth="1"/>
    <col min="2423" max="2423" width="12" style="286" customWidth="1"/>
    <col min="2424" max="2424" width="9.85546875" style="286" customWidth="1"/>
    <col min="2425" max="2425" width="11" style="286" customWidth="1"/>
    <col min="2426" max="2426" width="12.28515625" style="286" customWidth="1"/>
    <col min="2427" max="2427" width="12" style="286" customWidth="1"/>
    <col min="2428" max="2428" width="9.85546875" style="286" customWidth="1"/>
    <col min="2429" max="2429" width="11" style="286" customWidth="1"/>
    <col min="2430" max="2430" width="12.28515625" style="286" customWidth="1"/>
    <col min="2431" max="2431" width="12" style="286" customWidth="1"/>
    <col min="2432" max="2432" width="9.85546875" style="286" customWidth="1"/>
    <col min="2433" max="2433" width="11" style="286" customWidth="1"/>
    <col min="2434" max="2434" width="12.28515625" style="286" customWidth="1"/>
    <col min="2435" max="2435" width="12" style="286" customWidth="1"/>
    <col min="2436" max="2436" width="9.85546875" style="286" customWidth="1"/>
    <col min="2437" max="2437" width="11" style="286" customWidth="1"/>
    <col min="2438" max="2438" width="12.28515625" style="286" customWidth="1"/>
    <col min="2439" max="2439" width="12" style="286" customWidth="1"/>
    <col min="2440" max="2440" width="9.85546875" style="286" customWidth="1"/>
    <col min="2441" max="2441" width="11" style="286" customWidth="1"/>
    <col min="2442" max="2442" width="12.28515625" style="286" customWidth="1"/>
    <col min="2443" max="2443" width="12" style="286" customWidth="1"/>
    <col min="2444" max="2444" width="9.85546875" style="286" customWidth="1"/>
    <col min="2445" max="2445" width="11" style="286" customWidth="1"/>
    <col min="2446" max="2446" width="12.28515625" style="286" customWidth="1"/>
    <col min="2447" max="2447" width="12" style="286" customWidth="1"/>
    <col min="2448" max="2448" width="9.85546875" style="286" customWidth="1"/>
    <col min="2449" max="2449" width="11" style="286" customWidth="1"/>
    <col min="2450" max="2450" width="12.28515625" style="286" customWidth="1"/>
    <col min="2451" max="2451" width="12" style="286" customWidth="1"/>
    <col min="2452" max="2452" width="9.85546875" style="286" customWidth="1"/>
    <col min="2453" max="2453" width="11" style="286" customWidth="1"/>
    <col min="2454" max="2454" width="12.28515625" style="286" customWidth="1"/>
    <col min="2455" max="2455" width="12" style="286" customWidth="1"/>
    <col min="2456" max="2456" width="9.85546875" style="286" customWidth="1"/>
    <col min="2457" max="2457" width="11.7109375" style="286" customWidth="1"/>
    <col min="2458" max="2458" width="10.85546875" style="286" customWidth="1"/>
    <col min="2459" max="2459" width="11.7109375" style="286" customWidth="1"/>
    <col min="2460" max="2460" width="9" style="286" customWidth="1"/>
    <col min="2461" max="2461" width="11" style="286" customWidth="1"/>
    <col min="2462" max="2462" width="12.28515625" style="286" customWidth="1"/>
    <col min="2463" max="2463" width="12" style="286" customWidth="1"/>
    <col min="2464" max="2464" width="9.85546875" style="286" customWidth="1"/>
    <col min="2465" max="2465" width="11" style="286" customWidth="1"/>
    <col min="2466" max="2466" width="12.28515625" style="286" customWidth="1"/>
    <col min="2467" max="2467" width="12" style="286" customWidth="1"/>
    <col min="2468" max="2468" width="9.85546875" style="286" customWidth="1"/>
    <col min="2469" max="2469" width="11" style="286" customWidth="1"/>
    <col min="2470" max="2470" width="12.28515625" style="286" customWidth="1"/>
    <col min="2471" max="2471" width="12" style="286" customWidth="1"/>
    <col min="2472" max="2472" width="9.85546875" style="286" customWidth="1"/>
    <col min="2473" max="2476" width="0" style="286" hidden="1" customWidth="1"/>
    <col min="2477" max="2477" width="11" style="286" customWidth="1"/>
    <col min="2478" max="2478" width="12.28515625" style="286" customWidth="1"/>
    <col min="2479" max="2479" width="12" style="286" customWidth="1"/>
    <col min="2480" max="2480" width="9.85546875" style="286" customWidth="1"/>
    <col min="2481" max="2481" width="11" style="286" customWidth="1"/>
    <col min="2482" max="2482" width="12.28515625" style="286" customWidth="1"/>
    <col min="2483" max="2483" width="12" style="286" customWidth="1"/>
    <col min="2484" max="2484" width="9.85546875" style="286" customWidth="1"/>
    <col min="2485" max="2485" width="11" style="286" customWidth="1"/>
    <col min="2486" max="2486" width="12.28515625" style="286" customWidth="1"/>
    <col min="2487" max="2487" width="12" style="286" customWidth="1"/>
    <col min="2488" max="2488" width="9.85546875" style="286" customWidth="1"/>
    <col min="2489" max="2489" width="11" style="286" customWidth="1"/>
    <col min="2490" max="2490" width="12.28515625" style="286" customWidth="1"/>
    <col min="2491" max="2491" width="12" style="286" customWidth="1"/>
    <col min="2492" max="2492" width="9.85546875" style="286" customWidth="1"/>
    <col min="2493" max="2493" width="11" style="286" customWidth="1"/>
    <col min="2494" max="2494" width="12.28515625" style="286" customWidth="1"/>
    <col min="2495" max="2495" width="12" style="286" customWidth="1"/>
    <col min="2496" max="2496" width="9.85546875" style="286" customWidth="1"/>
    <col min="2497" max="2497" width="11" style="286" customWidth="1"/>
    <col min="2498" max="2498" width="12.28515625" style="286" customWidth="1"/>
    <col min="2499" max="2499" width="12" style="286" customWidth="1"/>
    <col min="2500" max="2500" width="9.85546875" style="286" customWidth="1"/>
    <col min="2501" max="2501" width="11" style="286" customWidth="1"/>
    <col min="2502" max="2502" width="12.28515625" style="286" customWidth="1"/>
    <col min="2503" max="2503" width="12" style="286" customWidth="1"/>
    <col min="2504" max="2504" width="9.85546875" style="286" customWidth="1"/>
    <col min="2505" max="2505" width="11" style="286" customWidth="1"/>
    <col min="2506" max="2506" width="12.28515625" style="286" customWidth="1"/>
    <col min="2507" max="2507" width="12" style="286" customWidth="1"/>
    <col min="2508" max="2508" width="9.85546875" style="286" customWidth="1"/>
    <col min="2509" max="2509" width="11" style="286" customWidth="1"/>
    <col min="2510" max="2510" width="12.28515625" style="286" customWidth="1"/>
    <col min="2511" max="2511" width="12" style="286" customWidth="1"/>
    <col min="2512" max="2512" width="9.85546875" style="286" customWidth="1"/>
    <col min="2513" max="2527" width="0" style="286" hidden="1" customWidth="1"/>
    <col min="2528" max="2528" width="9.85546875" style="286" customWidth="1"/>
    <col min="2529" max="2529" width="10.42578125" style="286" customWidth="1"/>
    <col min="2530" max="2530" width="9" style="286" customWidth="1"/>
    <col min="2531" max="2531" width="11.28515625" style="286" customWidth="1"/>
    <col min="2532" max="2532" width="10.140625" style="286" customWidth="1"/>
    <col min="2533" max="2533" width="10.7109375" style="286" customWidth="1"/>
    <col min="2534" max="2534" width="9.28515625" style="286"/>
    <col min="2535" max="2536" width="9.140625" style="286" customWidth="1"/>
    <col min="2537" max="2560" width="9.28515625" style="286"/>
    <col min="2561" max="2561" width="4.28515625" style="286" customWidth="1"/>
    <col min="2562" max="2562" width="5.42578125" style="286" customWidth="1"/>
    <col min="2563" max="2563" width="41.5703125" style="286" customWidth="1"/>
    <col min="2564" max="2564" width="7.42578125" style="286" customWidth="1"/>
    <col min="2565" max="2565" width="13.140625" style="286" customWidth="1"/>
    <col min="2566" max="2566" width="11.7109375" style="286" customWidth="1"/>
    <col min="2567" max="2567" width="14.7109375" style="286" customWidth="1"/>
    <col min="2568" max="2568" width="11.7109375" style="286" customWidth="1"/>
    <col min="2569" max="2569" width="12" style="286" customWidth="1"/>
    <col min="2570" max="2570" width="9.7109375" style="286" customWidth="1"/>
    <col min="2571" max="2572" width="9.42578125" style="286" customWidth="1"/>
    <col min="2573" max="2573" width="10.7109375" style="286" customWidth="1"/>
    <col min="2574" max="2574" width="13.42578125" style="286" customWidth="1"/>
    <col min="2575" max="2575" width="12" style="286" customWidth="1"/>
    <col min="2576" max="2576" width="11" style="286" customWidth="1"/>
    <col min="2577" max="2577" width="10.5703125" style="286" customWidth="1"/>
    <col min="2578" max="2578" width="10.42578125" style="286" customWidth="1"/>
    <col min="2579" max="2579" width="10.7109375" style="286" customWidth="1"/>
    <col min="2580" max="2581" width="11.140625" style="286" customWidth="1"/>
    <col min="2582" max="2582" width="10.5703125" style="286" customWidth="1"/>
    <col min="2583" max="2583" width="10.85546875" style="286" customWidth="1"/>
    <col min="2584" max="2584" width="9.85546875" style="286" customWidth="1"/>
    <col min="2585" max="2585" width="11" style="286" customWidth="1"/>
    <col min="2586" max="2586" width="11.42578125" style="286" customWidth="1"/>
    <col min="2587" max="2587" width="12" style="286" customWidth="1"/>
    <col min="2588" max="2588" width="9.85546875" style="286" customWidth="1"/>
    <col min="2589" max="2589" width="10.5703125" style="286" customWidth="1"/>
    <col min="2590" max="2590" width="11.140625" style="286" customWidth="1"/>
    <col min="2591" max="2591" width="11.42578125" style="286" customWidth="1"/>
    <col min="2592" max="2596" width="9.85546875" style="286" customWidth="1"/>
    <col min="2597" max="2599" width="11.7109375" style="286" customWidth="1"/>
    <col min="2600" max="2600" width="9.85546875" style="286" customWidth="1"/>
    <col min="2601" max="2601" width="11" style="286" customWidth="1"/>
    <col min="2602" max="2602" width="11.42578125" style="286" customWidth="1"/>
    <col min="2603" max="2603" width="11.140625" style="286" customWidth="1"/>
    <col min="2604" max="2604" width="10.42578125" style="286" customWidth="1"/>
    <col min="2605" max="2605" width="11.5703125" style="286" customWidth="1"/>
    <col min="2606" max="2607" width="11.140625" style="286" customWidth="1"/>
    <col min="2608" max="2620" width="9.85546875" style="286" customWidth="1"/>
    <col min="2621" max="2621" width="10.5703125" style="286" customWidth="1"/>
    <col min="2622" max="2622" width="12.42578125" style="286" customWidth="1"/>
    <col min="2623" max="2623" width="10.140625" style="286" customWidth="1"/>
    <col min="2624" max="2624" width="9.140625" style="286" customWidth="1"/>
    <col min="2625" max="2625" width="9" style="286" customWidth="1"/>
    <col min="2626" max="2627" width="9.7109375" style="286" customWidth="1"/>
    <col min="2628" max="2628" width="8.42578125" style="286" customWidth="1"/>
    <col min="2629" max="2629" width="11.7109375" style="286" customWidth="1"/>
    <col min="2630" max="2630" width="10.85546875" style="286" customWidth="1"/>
    <col min="2631" max="2631" width="11.7109375" style="286" customWidth="1"/>
    <col min="2632" max="2632" width="9" style="286" customWidth="1"/>
    <col min="2633" max="2633" width="11" style="286" customWidth="1"/>
    <col min="2634" max="2634" width="10.5703125" style="286" customWidth="1"/>
    <col min="2635" max="2635" width="11.7109375" style="286" customWidth="1"/>
    <col min="2636" max="2637" width="11" style="286" customWidth="1"/>
    <col min="2638" max="2640" width="11.140625" style="286" customWidth="1"/>
    <col min="2641" max="2641" width="8.7109375" style="286" customWidth="1"/>
    <col min="2642" max="2642" width="11.140625" style="286" customWidth="1"/>
    <col min="2643" max="2643" width="9.28515625" style="286"/>
    <col min="2644" max="2644" width="11.140625" style="286" customWidth="1"/>
    <col min="2645" max="2645" width="10.5703125" style="286" customWidth="1"/>
    <col min="2646" max="2646" width="12.28515625" style="286" customWidth="1"/>
    <col min="2647" max="2647" width="12" style="286" customWidth="1"/>
    <col min="2648" max="2648" width="9.85546875" style="286" customWidth="1"/>
    <col min="2649" max="2649" width="11" style="286" customWidth="1"/>
    <col min="2650" max="2650" width="12.28515625" style="286" customWidth="1"/>
    <col min="2651" max="2651" width="12" style="286" customWidth="1"/>
    <col min="2652" max="2652" width="9.85546875" style="286" customWidth="1"/>
    <col min="2653" max="2653" width="11" style="286" customWidth="1"/>
    <col min="2654" max="2654" width="12.28515625" style="286" customWidth="1"/>
    <col min="2655" max="2655" width="12" style="286" customWidth="1"/>
    <col min="2656" max="2656" width="9.85546875" style="286" customWidth="1"/>
    <col min="2657" max="2657" width="11" style="286" customWidth="1"/>
    <col min="2658" max="2658" width="12.28515625" style="286" customWidth="1"/>
    <col min="2659" max="2659" width="12" style="286" customWidth="1"/>
    <col min="2660" max="2660" width="9.85546875" style="286" customWidth="1"/>
    <col min="2661" max="2661" width="11" style="286" customWidth="1"/>
    <col min="2662" max="2662" width="12.28515625" style="286" customWidth="1"/>
    <col min="2663" max="2663" width="12" style="286" customWidth="1"/>
    <col min="2664" max="2664" width="9.85546875" style="286" customWidth="1"/>
    <col min="2665" max="2665" width="11" style="286" customWidth="1"/>
    <col min="2666" max="2666" width="12.28515625" style="286" customWidth="1"/>
    <col min="2667" max="2667" width="12" style="286" customWidth="1"/>
    <col min="2668" max="2668" width="9.85546875" style="286" customWidth="1"/>
    <col min="2669" max="2669" width="11" style="286" customWidth="1"/>
    <col min="2670" max="2670" width="12.28515625" style="286" customWidth="1"/>
    <col min="2671" max="2671" width="12" style="286" customWidth="1"/>
    <col min="2672" max="2672" width="9.85546875" style="286" customWidth="1"/>
    <col min="2673" max="2673" width="11" style="286" customWidth="1"/>
    <col min="2674" max="2674" width="12.28515625" style="286" customWidth="1"/>
    <col min="2675" max="2675" width="12" style="286" customWidth="1"/>
    <col min="2676" max="2676" width="9.85546875" style="286" customWidth="1"/>
    <col min="2677" max="2677" width="11" style="286" customWidth="1"/>
    <col min="2678" max="2678" width="12.28515625" style="286" customWidth="1"/>
    <col min="2679" max="2679" width="12" style="286" customWidth="1"/>
    <col min="2680" max="2680" width="9.85546875" style="286" customWidth="1"/>
    <col min="2681" max="2681" width="11" style="286" customWidth="1"/>
    <col min="2682" max="2682" width="12.28515625" style="286" customWidth="1"/>
    <col min="2683" max="2683" width="12" style="286" customWidth="1"/>
    <col min="2684" max="2684" width="9.85546875" style="286" customWidth="1"/>
    <col min="2685" max="2685" width="11" style="286" customWidth="1"/>
    <col min="2686" max="2686" width="12.28515625" style="286" customWidth="1"/>
    <col min="2687" max="2687" width="12" style="286" customWidth="1"/>
    <col min="2688" max="2688" width="9.85546875" style="286" customWidth="1"/>
    <col min="2689" max="2689" width="11" style="286" customWidth="1"/>
    <col min="2690" max="2690" width="12.28515625" style="286" customWidth="1"/>
    <col min="2691" max="2691" width="12" style="286" customWidth="1"/>
    <col min="2692" max="2692" width="9.85546875" style="286" customWidth="1"/>
    <col min="2693" max="2693" width="11" style="286" customWidth="1"/>
    <col min="2694" max="2694" width="12.28515625" style="286" customWidth="1"/>
    <col min="2695" max="2695" width="12" style="286" customWidth="1"/>
    <col min="2696" max="2696" width="9.85546875" style="286" customWidth="1"/>
    <col min="2697" max="2697" width="11" style="286" customWidth="1"/>
    <col min="2698" max="2698" width="12.28515625" style="286" customWidth="1"/>
    <col min="2699" max="2699" width="12" style="286" customWidth="1"/>
    <col min="2700" max="2700" width="9.85546875" style="286" customWidth="1"/>
    <col min="2701" max="2701" width="11" style="286" customWidth="1"/>
    <col min="2702" max="2702" width="12.28515625" style="286" customWidth="1"/>
    <col min="2703" max="2703" width="12" style="286" customWidth="1"/>
    <col min="2704" max="2704" width="9.85546875" style="286" customWidth="1"/>
    <col min="2705" max="2705" width="11" style="286" customWidth="1"/>
    <col min="2706" max="2706" width="12.28515625" style="286" customWidth="1"/>
    <col min="2707" max="2707" width="12" style="286" customWidth="1"/>
    <col min="2708" max="2708" width="9.85546875" style="286" customWidth="1"/>
    <col min="2709" max="2709" width="11" style="286" customWidth="1"/>
    <col min="2710" max="2710" width="12.28515625" style="286" customWidth="1"/>
    <col min="2711" max="2711" width="12" style="286" customWidth="1"/>
    <col min="2712" max="2712" width="9.85546875" style="286" customWidth="1"/>
    <col min="2713" max="2713" width="11.7109375" style="286" customWidth="1"/>
    <col min="2714" max="2714" width="10.85546875" style="286" customWidth="1"/>
    <col min="2715" max="2715" width="11.7109375" style="286" customWidth="1"/>
    <col min="2716" max="2716" width="9" style="286" customWidth="1"/>
    <col min="2717" max="2717" width="11" style="286" customWidth="1"/>
    <col min="2718" max="2718" width="12.28515625" style="286" customWidth="1"/>
    <col min="2719" max="2719" width="12" style="286" customWidth="1"/>
    <col min="2720" max="2720" width="9.85546875" style="286" customWidth="1"/>
    <col min="2721" max="2721" width="11" style="286" customWidth="1"/>
    <col min="2722" max="2722" width="12.28515625" style="286" customWidth="1"/>
    <col min="2723" max="2723" width="12" style="286" customWidth="1"/>
    <col min="2724" max="2724" width="9.85546875" style="286" customWidth="1"/>
    <col min="2725" max="2725" width="11" style="286" customWidth="1"/>
    <col min="2726" max="2726" width="12.28515625" style="286" customWidth="1"/>
    <col min="2727" max="2727" width="12" style="286" customWidth="1"/>
    <col min="2728" max="2728" width="9.85546875" style="286" customWidth="1"/>
    <col min="2729" max="2732" width="0" style="286" hidden="1" customWidth="1"/>
    <col min="2733" max="2733" width="11" style="286" customWidth="1"/>
    <col min="2734" max="2734" width="12.28515625" style="286" customWidth="1"/>
    <col min="2735" max="2735" width="12" style="286" customWidth="1"/>
    <col min="2736" max="2736" width="9.85546875" style="286" customWidth="1"/>
    <col min="2737" max="2737" width="11" style="286" customWidth="1"/>
    <col min="2738" max="2738" width="12.28515625" style="286" customWidth="1"/>
    <col min="2739" max="2739" width="12" style="286" customWidth="1"/>
    <col min="2740" max="2740" width="9.85546875" style="286" customWidth="1"/>
    <col min="2741" max="2741" width="11" style="286" customWidth="1"/>
    <col min="2742" max="2742" width="12.28515625" style="286" customWidth="1"/>
    <col min="2743" max="2743" width="12" style="286" customWidth="1"/>
    <col min="2744" max="2744" width="9.85546875" style="286" customWidth="1"/>
    <col min="2745" max="2745" width="11" style="286" customWidth="1"/>
    <col min="2746" max="2746" width="12.28515625" style="286" customWidth="1"/>
    <col min="2747" max="2747" width="12" style="286" customWidth="1"/>
    <col min="2748" max="2748" width="9.85546875" style="286" customWidth="1"/>
    <col min="2749" max="2749" width="11" style="286" customWidth="1"/>
    <col min="2750" max="2750" width="12.28515625" style="286" customWidth="1"/>
    <col min="2751" max="2751" width="12" style="286" customWidth="1"/>
    <col min="2752" max="2752" width="9.85546875" style="286" customWidth="1"/>
    <col min="2753" max="2753" width="11" style="286" customWidth="1"/>
    <col min="2754" max="2754" width="12.28515625" style="286" customWidth="1"/>
    <col min="2755" max="2755" width="12" style="286" customWidth="1"/>
    <col min="2756" max="2756" width="9.85546875" style="286" customWidth="1"/>
    <col min="2757" max="2757" width="11" style="286" customWidth="1"/>
    <col min="2758" max="2758" width="12.28515625" style="286" customWidth="1"/>
    <col min="2759" max="2759" width="12" style="286" customWidth="1"/>
    <col min="2760" max="2760" width="9.85546875" style="286" customWidth="1"/>
    <col min="2761" max="2761" width="11" style="286" customWidth="1"/>
    <col min="2762" max="2762" width="12.28515625" style="286" customWidth="1"/>
    <col min="2763" max="2763" width="12" style="286" customWidth="1"/>
    <col min="2764" max="2764" width="9.85546875" style="286" customWidth="1"/>
    <col min="2765" max="2765" width="11" style="286" customWidth="1"/>
    <col min="2766" max="2766" width="12.28515625" style="286" customWidth="1"/>
    <col min="2767" max="2767" width="12" style="286" customWidth="1"/>
    <col min="2768" max="2768" width="9.85546875" style="286" customWidth="1"/>
    <col min="2769" max="2783" width="0" style="286" hidden="1" customWidth="1"/>
    <col min="2784" max="2784" width="9.85546875" style="286" customWidth="1"/>
    <col min="2785" max="2785" width="10.42578125" style="286" customWidth="1"/>
    <col min="2786" max="2786" width="9" style="286" customWidth="1"/>
    <col min="2787" max="2787" width="11.28515625" style="286" customWidth="1"/>
    <col min="2788" max="2788" width="10.140625" style="286" customWidth="1"/>
    <col min="2789" max="2789" width="10.7109375" style="286" customWidth="1"/>
    <col min="2790" max="2790" width="9.28515625" style="286"/>
    <col min="2791" max="2792" width="9.140625" style="286" customWidth="1"/>
    <col min="2793" max="2816" width="9.28515625" style="286"/>
    <col min="2817" max="2817" width="4.28515625" style="286" customWidth="1"/>
    <col min="2818" max="2818" width="5.42578125" style="286" customWidth="1"/>
    <col min="2819" max="2819" width="41.5703125" style="286" customWidth="1"/>
    <col min="2820" max="2820" width="7.42578125" style="286" customWidth="1"/>
    <col min="2821" max="2821" width="13.140625" style="286" customWidth="1"/>
    <col min="2822" max="2822" width="11.7109375" style="286" customWidth="1"/>
    <col min="2823" max="2823" width="14.7109375" style="286" customWidth="1"/>
    <col min="2824" max="2824" width="11.7109375" style="286" customWidth="1"/>
    <col min="2825" max="2825" width="12" style="286" customWidth="1"/>
    <col min="2826" max="2826" width="9.7109375" style="286" customWidth="1"/>
    <col min="2827" max="2828" width="9.42578125" style="286" customWidth="1"/>
    <col min="2829" max="2829" width="10.7109375" style="286" customWidth="1"/>
    <col min="2830" max="2830" width="13.42578125" style="286" customWidth="1"/>
    <col min="2831" max="2831" width="12" style="286" customWidth="1"/>
    <col min="2832" max="2832" width="11" style="286" customWidth="1"/>
    <col min="2833" max="2833" width="10.5703125" style="286" customWidth="1"/>
    <col min="2834" max="2834" width="10.42578125" style="286" customWidth="1"/>
    <col min="2835" max="2835" width="10.7109375" style="286" customWidth="1"/>
    <col min="2836" max="2837" width="11.140625" style="286" customWidth="1"/>
    <col min="2838" max="2838" width="10.5703125" style="286" customWidth="1"/>
    <col min="2839" max="2839" width="10.85546875" style="286" customWidth="1"/>
    <col min="2840" max="2840" width="9.85546875" style="286" customWidth="1"/>
    <col min="2841" max="2841" width="11" style="286" customWidth="1"/>
    <col min="2842" max="2842" width="11.42578125" style="286" customWidth="1"/>
    <col min="2843" max="2843" width="12" style="286" customWidth="1"/>
    <col min="2844" max="2844" width="9.85546875" style="286" customWidth="1"/>
    <col min="2845" max="2845" width="10.5703125" style="286" customWidth="1"/>
    <col min="2846" max="2846" width="11.140625" style="286" customWidth="1"/>
    <col min="2847" max="2847" width="11.42578125" style="286" customWidth="1"/>
    <col min="2848" max="2852" width="9.85546875" style="286" customWidth="1"/>
    <col min="2853" max="2855" width="11.7109375" style="286" customWidth="1"/>
    <col min="2856" max="2856" width="9.85546875" style="286" customWidth="1"/>
    <col min="2857" max="2857" width="11" style="286" customWidth="1"/>
    <col min="2858" max="2858" width="11.42578125" style="286" customWidth="1"/>
    <col min="2859" max="2859" width="11.140625" style="286" customWidth="1"/>
    <col min="2860" max="2860" width="10.42578125" style="286" customWidth="1"/>
    <col min="2861" max="2861" width="11.5703125" style="286" customWidth="1"/>
    <col min="2862" max="2863" width="11.140625" style="286" customWidth="1"/>
    <col min="2864" max="2876" width="9.85546875" style="286" customWidth="1"/>
    <col min="2877" max="2877" width="10.5703125" style="286" customWidth="1"/>
    <col min="2878" max="2878" width="12.42578125" style="286" customWidth="1"/>
    <col min="2879" max="2879" width="10.140625" style="286" customWidth="1"/>
    <col min="2880" max="2880" width="9.140625" style="286" customWidth="1"/>
    <col min="2881" max="2881" width="9" style="286" customWidth="1"/>
    <col min="2882" max="2883" width="9.7109375" style="286" customWidth="1"/>
    <col min="2884" max="2884" width="8.42578125" style="286" customWidth="1"/>
    <col min="2885" max="2885" width="11.7109375" style="286" customWidth="1"/>
    <col min="2886" max="2886" width="10.85546875" style="286" customWidth="1"/>
    <col min="2887" max="2887" width="11.7109375" style="286" customWidth="1"/>
    <col min="2888" max="2888" width="9" style="286" customWidth="1"/>
    <col min="2889" max="2889" width="11" style="286" customWidth="1"/>
    <col min="2890" max="2890" width="10.5703125" style="286" customWidth="1"/>
    <col min="2891" max="2891" width="11.7109375" style="286" customWidth="1"/>
    <col min="2892" max="2893" width="11" style="286" customWidth="1"/>
    <col min="2894" max="2896" width="11.140625" style="286" customWidth="1"/>
    <col min="2897" max="2897" width="8.7109375" style="286" customWidth="1"/>
    <col min="2898" max="2898" width="11.140625" style="286" customWidth="1"/>
    <col min="2899" max="2899" width="9.28515625" style="286"/>
    <col min="2900" max="2900" width="11.140625" style="286" customWidth="1"/>
    <col min="2901" max="2901" width="10.5703125" style="286" customWidth="1"/>
    <col min="2902" max="2902" width="12.28515625" style="286" customWidth="1"/>
    <col min="2903" max="2903" width="12" style="286" customWidth="1"/>
    <col min="2904" max="2904" width="9.85546875" style="286" customWidth="1"/>
    <col min="2905" max="2905" width="11" style="286" customWidth="1"/>
    <col min="2906" max="2906" width="12.28515625" style="286" customWidth="1"/>
    <col min="2907" max="2907" width="12" style="286" customWidth="1"/>
    <col min="2908" max="2908" width="9.85546875" style="286" customWidth="1"/>
    <col min="2909" max="2909" width="11" style="286" customWidth="1"/>
    <col min="2910" max="2910" width="12.28515625" style="286" customWidth="1"/>
    <col min="2911" max="2911" width="12" style="286" customWidth="1"/>
    <col min="2912" max="2912" width="9.85546875" style="286" customWidth="1"/>
    <col min="2913" max="2913" width="11" style="286" customWidth="1"/>
    <col min="2914" max="2914" width="12.28515625" style="286" customWidth="1"/>
    <col min="2915" max="2915" width="12" style="286" customWidth="1"/>
    <col min="2916" max="2916" width="9.85546875" style="286" customWidth="1"/>
    <col min="2917" max="2917" width="11" style="286" customWidth="1"/>
    <col min="2918" max="2918" width="12.28515625" style="286" customWidth="1"/>
    <col min="2919" max="2919" width="12" style="286" customWidth="1"/>
    <col min="2920" max="2920" width="9.85546875" style="286" customWidth="1"/>
    <col min="2921" max="2921" width="11" style="286" customWidth="1"/>
    <col min="2922" max="2922" width="12.28515625" style="286" customWidth="1"/>
    <col min="2923" max="2923" width="12" style="286" customWidth="1"/>
    <col min="2924" max="2924" width="9.85546875" style="286" customWidth="1"/>
    <col min="2925" max="2925" width="11" style="286" customWidth="1"/>
    <col min="2926" max="2926" width="12.28515625" style="286" customWidth="1"/>
    <col min="2927" max="2927" width="12" style="286" customWidth="1"/>
    <col min="2928" max="2928" width="9.85546875" style="286" customWidth="1"/>
    <col min="2929" max="2929" width="11" style="286" customWidth="1"/>
    <col min="2930" max="2930" width="12.28515625" style="286" customWidth="1"/>
    <col min="2931" max="2931" width="12" style="286" customWidth="1"/>
    <col min="2932" max="2932" width="9.85546875" style="286" customWidth="1"/>
    <col min="2933" max="2933" width="11" style="286" customWidth="1"/>
    <col min="2934" max="2934" width="12.28515625" style="286" customWidth="1"/>
    <col min="2935" max="2935" width="12" style="286" customWidth="1"/>
    <col min="2936" max="2936" width="9.85546875" style="286" customWidth="1"/>
    <col min="2937" max="2937" width="11" style="286" customWidth="1"/>
    <col min="2938" max="2938" width="12.28515625" style="286" customWidth="1"/>
    <col min="2939" max="2939" width="12" style="286" customWidth="1"/>
    <col min="2940" max="2940" width="9.85546875" style="286" customWidth="1"/>
    <col min="2941" max="2941" width="11" style="286" customWidth="1"/>
    <col min="2942" max="2942" width="12.28515625" style="286" customWidth="1"/>
    <col min="2943" max="2943" width="12" style="286" customWidth="1"/>
    <col min="2944" max="2944" width="9.85546875" style="286" customWidth="1"/>
    <col min="2945" max="2945" width="11" style="286" customWidth="1"/>
    <col min="2946" max="2946" width="12.28515625" style="286" customWidth="1"/>
    <col min="2947" max="2947" width="12" style="286" customWidth="1"/>
    <col min="2948" max="2948" width="9.85546875" style="286" customWidth="1"/>
    <col min="2949" max="2949" width="11" style="286" customWidth="1"/>
    <col min="2950" max="2950" width="12.28515625" style="286" customWidth="1"/>
    <col min="2951" max="2951" width="12" style="286" customWidth="1"/>
    <col min="2952" max="2952" width="9.85546875" style="286" customWidth="1"/>
    <col min="2953" max="2953" width="11" style="286" customWidth="1"/>
    <col min="2954" max="2954" width="12.28515625" style="286" customWidth="1"/>
    <col min="2955" max="2955" width="12" style="286" customWidth="1"/>
    <col min="2956" max="2956" width="9.85546875" style="286" customWidth="1"/>
    <col min="2957" max="2957" width="11" style="286" customWidth="1"/>
    <col min="2958" max="2958" width="12.28515625" style="286" customWidth="1"/>
    <col min="2959" max="2959" width="12" style="286" customWidth="1"/>
    <col min="2960" max="2960" width="9.85546875" style="286" customWidth="1"/>
    <col min="2961" max="2961" width="11" style="286" customWidth="1"/>
    <col min="2962" max="2962" width="12.28515625" style="286" customWidth="1"/>
    <col min="2963" max="2963" width="12" style="286" customWidth="1"/>
    <col min="2964" max="2964" width="9.85546875" style="286" customWidth="1"/>
    <col min="2965" max="2965" width="11" style="286" customWidth="1"/>
    <col min="2966" max="2966" width="12.28515625" style="286" customWidth="1"/>
    <col min="2967" max="2967" width="12" style="286" customWidth="1"/>
    <col min="2968" max="2968" width="9.85546875" style="286" customWidth="1"/>
    <col min="2969" max="2969" width="11.7109375" style="286" customWidth="1"/>
    <col min="2970" max="2970" width="10.85546875" style="286" customWidth="1"/>
    <col min="2971" max="2971" width="11.7109375" style="286" customWidth="1"/>
    <col min="2972" max="2972" width="9" style="286" customWidth="1"/>
    <col min="2973" max="2973" width="11" style="286" customWidth="1"/>
    <col min="2974" max="2974" width="12.28515625" style="286" customWidth="1"/>
    <col min="2975" max="2975" width="12" style="286" customWidth="1"/>
    <col min="2976" max="2976" width="9.85546875" style="286" customWidth="1"/>
    <col min="2977" max="2977" width="11" style="286" customWidth="1"/>
    <col min="2978" max="2978" width="12.28515625" style="286" customWidth="1"/>
    <col min="2979" max="2979" width="12" style="286" customWidth="1"/>
    <col min="2980" max="2980" width="9.85546875" style="286" customWidth="1"/>
    <col min="2981" max="2981" width="11" style="286" customWidth="1"/>
    <col min="2982" max="2982" width="12.28515625" style="286" customWidth="1"/>
    <col min="2983" max="2983" width="12" style="286" customWidth="1"/>
    <col min="2984" max="2984" width="9.85546875" style="286" customWidth="1"/>
    <col min="2985" max="2988" width="0" style="286" hidden="1" customWidth="1"/>
    <col min="2989" max="2989" width="11" style="286" customWidth="1"/>
    <col min="2990" max="2990" width="12.28515625" style="286" customWidth="1"/>
    <col min="2991" max="2991" width="12" style="286" customWidth="1"/>
    <col min="2992" max="2992" width="9.85546875" style="286" customWidth="1"/>
    <col min="2993" max="2993" width="11" style="286" customWidth="1"/>
    <col min="2994" max="2994" width="12.28515625" style="286" customWidth="1"/>
    <col min="2995" max="2995" width="12" style="286" customWidth="1"/>
    <col min="2996" max="2996" width="9.85546875" style="286" customWidth="1"/>
    <col min="2997" max="2997" width="11" style="286" customWidth="1"/>
    <col min="2998" max="2998" width="12.28515625" style="286" customWidth="1"/>
    <col min="2999" max="2999" width="12" style="286" customWidth="1"/>
    <col min="3000" max="3000" width="9.85546875" style="286" customWidth="1"/>
    <col min="3001" max="3001" width="11" style="286" customWidth="1"/>
    <col min="3002" max="3002" width="12.28515625" style="286" customWidth="1"/>
    <col min="3003" max="3003" width="12" style="286" customWidth="1"/>
    <col min="3004" max="3004" width="9.85546875" style="286" customWidth="1"/>
    <col min="3005" max="3005" width="11" style="286" customWidth="1"/>
    <col min="3006" max="3006" width="12.28515625" style="286" customWidth="1"/>
    <col min="3007" max="3007" width="12" style="286" customWidth="1"/>
    <col min="3008" max="3008" width="9.85546875" style="286" customWidth="1"/>
    <col min="3009" max="3009" width="11" style="286" customWidth="1"/>
    <col min="3010" max="3010" width="12.28515625" style="286" customWidth="1"/>
    <col min="3011" max="3011" width="12" style="286" customWidth="1"/>
    <col min="3012" max="3012" width="9.85546875" style="286" customWidth="1"/>
    <col min="3013" max="3013" width="11" style="286" customWidth="1"/>
    <col min="3014" max="3014" width="12.28515625" style="286" customWidth="1"/>
    <col min="3015" max="3015" width="12" style="286" customWidth="1"/>
    <col min="3016" max="3016" width="9.85546875" style="286" customWidth="1"/>
    <col min="3017" max="3017" width="11" style="286" customWidth="1"/>
    <col min="3018" max="3018" width="12.28515625" style="286" customWidth="1"/>
    <col min="3019" max="3019" width="12" style="286" customWidth="1"/>
    <col min="3020" max="3020" width="9.85546875" style="286" customWidth="1"/>
    <col min="3021" max="3021" width="11" style="286" customWidth="1"/>
    <col min="3022" max="3022" width="12.28515625" style="286" customWidth="1"/>
    <col min="3023" max="3023" width="12" style="286" customWidth="1"/>
    <col min="3024" max="3024" width="9.85546875" style="286" customWidth="1"/>
    <col min="3025" max="3039" width="0" style="286" hidden="1" customWidth="1"/>
    <col min="3040" max="3040" width="9.85546875" style="286" customWidth="1"/>
    <col min="3041" max="3041" width="10.42578125" style="286" customWidth="1"/>
    <col min="3042" max="3042" width="9" style="286" customWidth="1"/>
    <col min="3043" max="3043" width="11.28515625" style="286" customWidth="1"/>
    <col min="3044" max="3044" width="10.140625" style="286" customWidth="1"/>
    <col min="3045" max="3045" width="10.7109375" style="286" customWidth="1"/>
    <col min="3046" max="3046" width="9.28515625" style="286"/>
    <col min="3047" max="3048" width="9.140625" style="286" customWidth="1"/>
    <col min="3049" max="3072" width="9.28515625" style="286"/>
    <col min="3073" max="3073" width="4.28515625" style="286" customWidth="1"/>
    <col min="3074" max="3074" width="5.42578125" style="286" customWidth="1"/>
    <col min="3075" max="3075" width="41.5703125" style="286" customWidth="1"/>
    <col min="3076" max="3076" width="7.42578125" style="286" customWidth="1"/>
    <col min="3077" max="3077" width="13.140625" style="286" customWidth="1"/>
    <col min="3078" max="3078" width="11.7109375" style="286" customWidth="1"/>
    <col min="3079" max="3079" width="14.7109375" style="286" customWidth="1"/>
    <col min="3080" max="3080" width="11.7109375" style="286" customWidth="1"/>
    <col min="3081" max="3081" width="12" style="286" customWidth="1"/>
    <col min="3082" max="3082" width="9.7109375" style="286" customWidth="1"/>
    <col min="3083" max="3084" width="9.42578125" style="286" customWidth="1"/>
    <col min="3085" max="3085" width="10.7109375" style="286" customWidth="1"/>
    <col min="3086" max="3086" width="13.42578125" style="286" customWidth="1"/>
    <col min="3087" max="3087" width="12" style="286" customWidth="1"/>
    <col min="3088" max="3088" width="11" style="286" customWidth="1"/>
    <col min="3089" max="3089" width="10.5703125" style="286" customWidth="1"/>
    <col min="3090" max="3090" width="10.42578125" style="286" customWidth="1"/>
    <col min="3091" max="3091" width="10.7109375" style="286" customWidth="1"/>
    <col min="3092" max="3093" width="11.140625" style="286" customWidth="1"/>
    <col min="3094" max="3094" width="10.5703125" style="286" customWidth="1"/>
    <col min="3095" max="3095" width="10.85546875" style="286" customWidth="1"/>
    <col min="3096" max="3096" width="9.85546875" style="286" customWidth="1"/>
    <col min="3097" max="3097" width="11" style="286" customWidth="1"/>
    <col min="3098" max="3098" width="11.42578125" style="286" customWidth="1"/>
    <col min="3099" max="3099" width="12" style="286" customWidth="1"/>
    <col min="3100" max="3100" width="9.85546875" style="286" customWidth="1"/>
    <col min="3101" max="3101" width="10.5703125" style="286" customWidth="1"/>
    <col min="3102" max="3102" width="11.140625" style="286" customWidth="1"/>
    <col min="3103" max="3103" width="11.42578125" style="286" customWidth="1"/>
    <col min="3104" max="3108" width="9.85546875" style="286" customWidth="1"/>
    <col min="3109" max="3111" width="11.7109375" style="286" customWidth="1"/>
    <col min="3112" max="3112" width="9.85546875" style="286" customWidth="1"/>
    <col min="3113" max="3113" width="11" style="286" customWidth="1"/>
    <col min="3114" max="3114" width="11.42578125" style="286" customWidth="1"/>
    <col min="3115" max="3115" width="11.140625" style="286" customWidth="1"/>
    <col min="3116" max="3116" width="10.42578125" style="286" customWidth="1"/>
    <col min="3117" max="3117" width="11.5703125" style="286" customWidth="1"/>
    <col min="3118" max="3119" width="11.140625" style="286" customWidth="1"/>
    <col min="3120" max="3132" width="9.85546875" style="286" customWidth="1"/>
    <col min="3133" max="3133" width="10.5703125" style="286" customWidth="1"/>
    <col min="3134" max="3134" width="12.42578125" style="286" customWidth="1"/>
    <col min="3135" max="3135" width="10.140625" style="286" customWidth="1"/>
    <col min="3136" max="3136" width="9.140625" style="286" customWidth="1"/>
    <col min="3137" max="3137" width="9" style="286" customWidth="1"/>
    <col min="3138" max="3139" width="9.7109375" style="286" customWidth="1"/>
    <col min="3140" max="3140" width="8.42578125" style="286" customWidth="1"/>
    <col min="3141" max="3141" width="11.7109375" style="286" customWidth="1"/>
    <col min="3142" max="3142" width="10.85546875" style="286" customWidth="1"/>
    <col min="3143" max="3143" width="11.7109375" style="286" customWidth="1"/>
    <col min="3144" max="3144" width="9" style="286" customWidth="1"/>
    <col min="3145" max="3145" width="11" style="286" customWidth="1"/>
    <col min="3146" max="3146" width="10.5703125" style="286" customWidth="1"/>
    <col min="3147" max="3147" width="11.7109375" style="286" customWidth="1"/>
    <col min="3148" max="3149" width="11" style="286" customWidth="1"/>
    <col min="3150" max="3152" width="11.140625" style="286" customWidth="1"/>
    <col min="3153" max="3153" width="8.7109375" style="286" customWidth="1"/>
    <col min="3154" max="3154" width="11.140625" style="286" customWidth="1"/>
    <col min="3155" max="3155" width="9.28515625" style="286"/>
    <col min="3156" max="3156" width="11.140625" style="286" customWidth="1"/>
    <col min="3157" max="3157" width="10.5703125" style="286" customWidth="1"/>
    <col min="3158" max="3158" width="12.28515625" style="286" customWidth="1"/>
    <col min="3159" max="3159" width="12" style="286" customWidth="1"/>
    <col min="3160" max="3160" width="9.85546875" style="286" customWidth="1"/>
    <col min="3161" max="3161" width="11" style="286" customWidth="1"/>
    <col min="3162" max="3162" width="12.28515625" style="286" customWidth="1"/>
    <col min="3163" max="3163" width="12" style="286" customWidth="1"/>
    <col min="3164" max="3164" width="9.85546875" style="286" customWidth="1"/>
    <col min="3165" max="3165" width="11" style="286" customWidth="1"/>
    <col min="3166" max="3166" width="12.28515625" style="286" customWidth="1"/>
    <col min="3167" max="3167" width="12" style="286" customWidth="1"/>
    <col min="3168" max="3168" width="9.85546875" style="286" customWidth="1"/>
    <col min="3169" max="3169" width="11" style="286" customWidth="1"/>
    <col min="3170" max="3170" width="12.28515625" style="286" customWidth="1"/>
    <col min="3171" max="3171" width="12" style="286" customWidth="1"/>
    <col min="3172" max="3172" width="9.85546875" style="286" customWidth="1"/>
    <col min="3173" max="3173" width="11" style="286" customWidth="1"/>
    <col min="3174" max="3174" width="12.28515625" style="286" customWidth="1"/>
    <col min="3175" max="3175" width="12" style="286" customWidth="1"/>
    <col min="3176" max="3176" width="9.85546875" style="286" customWidth="1"/>
    <col min="3177" max="3177" width="11" style="286" customWidth="1"/>
    <col min="3178" max="3178" width="12.28515625" style="286" customWidth="1"/>
    <col min="3179" max="3179" width="12" style="286" customWidth="1"/>
    <col min="3180" max="3180" width="9.85546875" style="286" customWidth="1"/>
    <col min="3181" max="3181" width="11" style="286" customWidth="1"/>
    <col min="3182" max="3182" width="12.28515625" style="286" customWidth="1"/>
    <col min="3183" max="3183" width="12" style="286" customWidth="1"/>
    <col min="3184" max="3184" width="9.85546875" style="286" customWidth="1"/>
    <col min="3185" max="3185" width="11" style="286" customWidth="1"/>
    <col min="3186" max="3186" width="12.28515625" style="286" customWidth="1"/>
    <col min="3187" max="3187" width="12" style="286" customWidth="1"/>
    <col min="3188" max="3188" width="9.85546875" style="286" customWidth="1"/>
    <col min="3189" max="3189" width="11" style="286" customWidth="1"/>
    <col min="3190" max="3190" width="12.28515625" style="286" customWidth="1"/>
    <col min="3191" max="3191" width="12" style="286" customWidth="1"/>
    <col min="3192" max="3192" width="9.85546875" style="286" customWidth="1"/>
    <col min="3193" max="3193" width="11" style="286" customWidth="1"/>
    <col min="3194" max="3194" width="12.28515625" style="286" customWidth="1"/>
    <col min="3195" max="3195" width="12" style="286" customWidth="1"/>
    <col min="3196" max="3196" width="9.85546875" style="286" customWidth="1"/>
    <col min="3197" max="3197" width="11" style="286" customWidth="1"/>
    <col min="3198" max="3198" width="12.28515625" style="286" customWidth="1"/>
    <col min="3199" max="3199" width="12" style="286" customWidth="1"/>
    <col min="3200" max="3200" width="9.85546875" style="286" customWidth="1"/>
    <col min="3201" max="3201" width="11" style="286" customWidth="1"/>
    <col min="3202" max="3202" width="12.28515625" style="286" customWidth="1"/>
    <col min="3203" max="3203" width="12" style="286" customWidth="1"/>
    <col min="3204" max="3204" width="9.85546875" style="286" customWidth="1"/>
    <col min="3205" max="3205" width="11" style="286" customWidth="1"/>
    <col min="3206" max="3206" width="12.28515625" style="286" customWidth="1"/>
    <col min="3207" max="3207" width="12" style="286" customWidth="1"/>
    <col min="3208" max="3208" width="9.85546875" style="286" customWidth="1"/>
    <col min="3209" max="3209" width="11" style="286" customWidth="1"/>
    <col min="3210" max="3210" width="12.28515625" style="286" customWidth="1"/>
    <col min="3211" max="3211" width="12" style="286" customWidth="1"/>
    <col min="3212" max="3212" width="9.85546875" style="286" customWidth="1"/>
    <col min="3213" max="3213" width="11" style="286" customWidth="1"/>
    <col min="3214" max="3214" width="12.28515625" style="286" customWidth="1"/>
    <col min="3215" max="3215" width="12" style="286" customWidth="1"/>
    <col min="3216" max="3216" width="9.85546875" style="286" customWidth="1"/>
    <col min="3217" max="3217" width="11" style="286" customWidth="1"/>
    <col min="3218" max="3218" width="12.28515625" style="286" customWidth="1"/>
    <col min="3219" max="3219" width="12" style="286" customWidth="1"/>
    <col min="3220" max="3220" width="9.85546875" style="286" customWidth="1"/>
    <col min="3221" max="3221" width="11" style="286" customWidth="1"/>
    <col min="3222" max="3222" width="12.28515625" style="286" customWidth="1"/>
    <col min="3223" max="3223" width="12" style="286" customWidth="1"/>
    <col min="3224" max="3224" width="9.85546875" style="286" customWidth="1"/>
    <col min="3225" max="3225" width="11.7109375" style="286" customWidth="1"/>
    <col min="3226" max="3226" width="10.85546875" style="286" customWidth="1"/>
    <col min="3227" max="3227" width="11.7109375" style="286" customWidth="1"/>
    <col min="3228" max="3228" width="9" style="286" customWidth="1"/>
    <col min="3229" max="3229" width="11" style="286" customWidth="1"/>
    <col min="3230" max="3230" width="12.28515625" style="286" customWidth="1"/>
    <col min="3231" max="3231" width="12" style="286" customWidth="1"/>
    <col min="3232" max="3232" width="9.85546875" style="286" customWidth="1"/>
    <col min="3233" max="3233" width="11" style="286" customWidth="1"/>
    <col min="3234" max="3234" width="12.28515625" style="286" customWidth="1"/>
    <col min="3235" max="3235" width="12" style="286" customWidth="1"/>
    <col min="3236" max="3236" width="9.85546875" style="286" customWidth="1"/>
    <col min="3237" max="3237" width="11" style="286" customWidth="1"/>
    <col min="3238" max="3238" width="12.28515625" style="286" customWidth="1"/>
    <col min="3239" max="3239" width="12" style="286" customWidth="1"/>
    <col min="3240" max="3240" width="9.85546875" style="286" customWidth="1"/>
    <col min="3241" max="3244" width="0" style="286" hidden="1" customWidth="1"/>
    <col min="3245" max="3245" width="11" style="286" customWidth="1"/>
    <col min="3246" max="3246" width="12.28515625" style="286" customWidth="1"/>
    <col min="3247" max="3247" width="12" style="286" customWidth="1"/>
    <col min="3248" max="3248" width="9.85546875" style="286" customWidth="1"/>
    <col min="3249" max="3249" width="11" style="286" customWidth="1"/>
    <col min="3250" max="3250" width="12.28515625" style="286" customWidth="1"/>
    <col min="3251" max="3251" width="12" style="286" customWidth="1"/>
    <col min="3252" max="3252" width="9.85546875" style="286" customWidth="1"/>
    <col min="3253" max="3253" width="11" style="286" customWidth="1"/>
    <col min="3254" max="3254" width="12.28515625" style="286" customWidth="1"/>
    <col min="3255" max="3255" width="12" style="286" customWidth="1"/>
    <col min="3256" max="3256" width="9.85546875" style="286" customWidth="1"/>
    <col min="3257" max="3257" width="11" style="286" customWidth="1"/>
    <col min="3258" max="3258" width="12.28515625" style="286" customWidth="1"/>
    <col min="3259" max="3259" width="12" style="286" customWidth="1"/>
    <col min="3260" max="3260" width="9.85546875" style="286" customWidth="1"/>
    <col min="3261" max="3261" width="11" style="286" customWidth="1"/>
    <col min="3262" max="3262" width="12.28515625" style="286" customWidth="1"/>
    <col min="3263" max="3263" width="12" style="286" customWidth="1"/>
    <col min="3264" max="3264" width="9.85546875" style="286" customWidth="1"/>
    <col min="3265" max="3265" width="11" style="286" customWidth="1"/>
    <col min="3266" max="3266" width="12.28515625" style="286" customWidth="1"/>
    <col min="3267" max="3267" width="12" style="286" customWidth="1"/>
    <col min="3268" max="3268" width="9.85546875" style="286" customWidth="1"/>
    <col min="3269" max="3269" width="11" style="286" customWidth="1"/>
    <col min="3270" max="3270" width="12.28515625" style="286" customWidth="1"/>
    <col min="3271" max="3271" width="12" style="286" customWidth="1"/>
    <col min="3272" max="3272" width="9.85546875" style="286" customWidth="1"/>
    <col min="3273" max="3273" width="11" style="286" customWidth="1"/>
    <col min="3274" max="3274" width="12.28515625" style="286" customWidth="1"/>
    <col min="3275" max="3275" width="12" style="286" customWidth="1"/>
    <col min="3276" max="3276" width="9.85546875" style="286" customWidth="1"/>
    <col min="3277" max="3277" width="11" style="286" customWidth="1"/>
    <col min="3278" max="3278" width="12.28515625" style="286" customWidth="1"/>
    <col min="3279" max="3279" width="12" style="286" customWidth="1"/>
    <col min="3280" max="3280" width="9.85546875" style="286" customWidth="1"/>
    <col min="3281" max="3295" width="0" style="286" hidden="1" customWidth="1"/>
    <col min="3296" max="3296" width="9.85546875" style="286" customWidth="1"/>
    <col min="3297" max="3297" width="10.42578125" style="286" customWidth="1"/>
    <col min="3298" max="3298" width="9" style="286" customWidth="1"/>
    <col min="3299" max="3299" width="11.28515625" style="286" customWidth="1"/>
    <col min="3300" max="3300" width="10.140625" style="286" customWidth="1"/>
    <col min="3301" max="3301" width="10.7109375" style="286" customWidth="1"/>
    <col min="3302" max="3302" width="9.28515625" style="286"/>
    <col min="3303" max="3304" width="9.140625" style="286" customWidth="1"/>
    <col min="3305" max="3328" width="9.28515625" style="286"/>
    <col min="3329" max="3329" width="4.28515625" style="286" customWidth="1"/>
    <col min="3330" max="3330" width="5.42578125" style="286" customWidth="1"/>
    <col min="3331" max="3331" width="41.5703125" style="286" customWidth="1"/>
    <col min="3332" max="3332" width="7.42578125" style="286" customWidth="1"/>
    <col min="3333" max="3333" width="13.140625" style="286" customWidth="1"/>
    <col min="3334" max="3334" width="11.7109375" style="286" customWidth="1"/>
    <col min="3335" max="3335" width="14.7109375" style="286" customWidth="1"/>
    <col min="3336" max="3336" width="11.7109375" style="286" customWidth="1"/>
    <col min="3337" max="3337" width="12" style="286" customWidth="1"/>
    <col min="3338" max="3338" width="9.7109375" style="286" customWidth="1"/>
    <col min="3339" max="3340" width="9.42578125" style="286" customWidth="1"/>
    <col min="3341" max="3341" width="10.7109375" style="286" customWidth="1"/>
    <col min="3342" max="3342" width="13.42578125" style="286" customWidth="1"/>
    <col min="3343" max="3343" width="12" style="286" customWidth="1"/>
    <col min="3344" max="3344" width="11" style="286" customWidth="1"/>
    <col min="3345" max="3345" width="10.5703125" style="286" customWidth="1"/>
    <col min="3346" max="3346" width="10.42578125" style="286" customWidth="1"/>
    <col min="3347" max="3347" width="10.7109375" style="286" customWidth="1"/>
    <col min="3348" max="3349" width="11.140625" style="286" customWidth="1"/>
    <col min="3350" max="3350" width="10.5703125" style="286" customWidth="1"/>
    <col min="3351" max="3351" width="10.85546875" style="286" customWidth="1"/>
    <col min="3352" max="3352" width="9.85546875" style="286" customWidth="1"/>
    <col min="3353" max="3353" width="11" style="286" customWidth="1"/>
    <col min="3354" max="3354" width="11.42578125" style="286" customWidth="1"/>
    <col min="3355" max="3355" width="12" style="286" customWidth="1"/>
    <col min="3356" max="3356" width="9.85546875" style="286" customWidth="1"/>
    <col min="3357" max="3357" width="10.5703125" style="286" customWidth="1"/>
    <col min="3358" max="3358" width="11.140625" style="286" customWidth="1"/>
    <col min="3359" max="3359" width="11.42578125" style="286" customWidth="1"/>
    <col min="3360" max="3364" width="9.85546875" style="286" customWidth="1"/>
    <col min="3365" max="3367" width="11.7109375" style="286" customWidth="1"/>
    <col min="3368" max="3368" width="9.85546875" style="286" customWidth="1"/>
    <col min="3369" max="3369" width="11" style="286" customWidth="1"/>
    <col min="3370" max="3370" width="11.42578125" style="286" customWidth="1"/>
    <col min="3371" max="3371" width="11.140625" style="286" customWidth="1"/>
    <col min="3372" max="3372" width="10.42578125" style="286" customWidth="1"/>
    <col min="3373" max="3373" width="11.5703125" style="286" customWidth="1"/>
    <col min="3374" max="3375" width="11.140625" style="286" customWidth="1"/>
    <col min="3376" max="3388" width="9.85546875" style="286" customWidth="1"/>
    <col min="3389" max="3389" width="10.5703125" style="286" customWidth="1"/>
    <col min="3390" max="3390" width="12.42578125" style="286" customWidth="1"/>
    <col min="3391" max="3391" width="10.140625" style="286" customWidth="1"/>
    <col min="3392" max="3392" width="9.140625" style="286" customWidth="1"/>
    <col min="3393" max="3393" width="9" style="286" customWidth="1"/>
    <col min="3394" max="3395" width="9.7109375" style="286" customWidth="1"/>
    <col min="3396" max="3396" width="8.42578125" style="286" customWidth="1"/>
    <col min="3397" max="3397" width="11.7109375" style="286" customWidth="1"/>
    <col min="3398" max="3398" width="10.85546875" style="286" customWidth="1"/>
    <col min="3399" max="3399" width="11.7109375" style="286" customWidth="1"/>
    <col min="3400" max="3400" width="9" style="286" customWidth="1"/>
    <col min="3401" max="3401" width="11" style="286" customWidth="1"/>
    <col min="3402" max="3402" width="10.5703125" style="286" customWidth="1"/>
    <col min="3403" max="3403" width="11.7109375" style="286" customWidth="1"/>
    <col min="3404" max="3405" width="11" style="286" customWidth="1"/>
    <col min="3406" max="3408" width="11.140625" style="286" customWidth="1"/>
    <col min="3409" max="3409" width="8.7109375" style="286" customWidth="1"/>
    <col min="3410" max="3410" width="11.140625" style="286" customWidth="1"/>
    <col min="3411" max="3411" width="9.28515625" style="286"/>
    <col min="3412" max="3412" width="11.140625" style="286" customWidth="1"/>
    <col min="3413" max="3413" width="10.5703125" style="286" customWidth="1"/>
    <col min="3414" max="3414" width="12.28515625" style="286" customWidth="1"/>
    <col min="3415" max="3415" width="12" style="286" customWidth="1"/>
    <col min="3416" max="3416" width="9.85546875" style="286" customWidth="1"/>
    <col min="3417" max="3417" width="11" style="286" customWidth="1"/>
    <col min="3418" max="3418" width="12.28515625" style="286" customWidth="1"/>
    <col min="3419" max="3419" width="12" style="286" customWidth="1"/>
    <col min="3420" max="3420" width="9.85546875" style="286" customWidth="1"/>
    <col min="3421" max="3421" width="11" style="286" customWidth="1"/>
    <col min="3422" max="3422" width="12.28515625" style="286" customWidth="1"/>
    <col min="3423" max="3423" width="12" style="286" customWidth="1"/>
    <col min="3424" max="3424" width="9.85546875" style="286" customWidth="1"/>
    <col min="3425" max="3425" width="11" style="286" customWidth="1"/>
    <col min="3426" max="3426" width="12.28515625" style="286" customWidth="1"/>
    <col min="3427" max="3427" width="12" style="286" customWidth="1"/>
    <col min="3428" max="3428" width="9.85546875" style="286" customWidth="1"/>
    <col min="3429" max="3429" width="11" style="286" customWidth="1"/>
    <col min="3430" max="3430" width="12.28515625" style="286" customWidth="1"/>
    <col min="3431" max="3431" width="12" style="286" customWidth="1"/>
    <col min="3432" max="3432" width="9.85546875" style="286" customWidth="1"/>
    <col min="3433" max="3433" width="11" style="286" customWidth="1"/>
    <col min="3434" max="3434" width="12.28515625" style="286" customWidth="1"/>
    <col min="3435" max="3435" width="12" style="286" customWidth="1"/>
    <col min="3436" max="3436" width="9.85546875" style="286" customWidth="1"/>
    <col min="3437" max="3437" width="11" style="286" customWidth="1"/>
    <col min="3438" max="3438" width="12.28515625" style="286" customWidth="1"/>
    <col min="3439" max="3439" width="12" style="286" customWidth="1"/>
    <col min="3440" max="3440" width="9.85546875" style="286" customWidth="1"/>
    <col min="3441" max="3441" width="11" style="286" customWidth="1"/>
    <col min="3442" max="3442" width="12.28515625" style="286" customWidth="1"/>
    <col min="3443" max="3443" width="12" style="286" customWidth="1"/>
    <col min="3444" max="3444" width="9.85546875" style="286" customWidth="1"/>
    <col min="3445" max="3445" width="11" style="286" customWidth="1"/>
    <col min="3446" max="3446" width="12.28515625" style="286" customWidth="1"/>
    <col min="3447" max="3447" width="12" style="286" customWidth="1"/>
    <col min="3448" max="3448" width="9.85546875" style="286" customWidth="1"/>
    <col min="3449" max="3449" width="11" style="286" customWidth="1"/>
    <col min="3450" max="3450" width="12.28515625" style="286" customWidth="1"/>
    <col min="3451" max="3451" width="12" style="286" customWidth="1"/>
    <col min="3452" max="3452" width="9.85546875" style="286" customWidth="1"/>
    <col min="3453" max="3453" width="11" style="286" customWidth="1"/>
    <col min="3454" max="3454" width="12.28515625" style="286" customWidth="1"/>
    <col min="3455" max="3455" width="12" style="286" customWidth="1"/>
    <col min="3456" max="3456" width="9.85546875" style="286" customWidth="1"/>
    <col min="3457" max="3457" width="11" style="286" customWidth="1"/>
    <col min="3458" max="3458" width="12.28515625" style="286" customWidth="1"/>
    <col min="3459" max="3459" width="12" style="286" customWidth="1"/>
    <col min="3460" max="3460" width="9.85546875" style="286" customWidth="1"/>
    <col min="3461" max="3461" width="11" style="286" customWidth="1"/>
    <col min="3462" max="3462" width="12.28515625" style="286" customWidth="1"/>
    <col min="3463" max="3463" width="12" style="286" customWidth="1"/>
    <col min="3464" max="3464" width="9.85546875" style="286" customWidth="1"/>
    <col min="3465" max="3465" width="11" style="286" customWidth="1"/>
    <col min="3466" max="3466" width="12.28515625" style="286" customWidth="1"/>
    <col min="3467" max="3467" width="12" style="286" customWidth="1"/>
    <col min="3468" max="3468" width="9.85546875" style="286" customWidth="1"/>
    <col min="3469" max="3469" width="11" style="286" customWidth="1"/>
    <col min="3470" max="3470" width="12.28515625" style="286" customWidth="1"/>
    <col min="3471" max="3471" width="12" style="286" customWidth="1"/>
    <col min="3472" max="3472" width="9.85546875" style="286" customWidth="1"/>
    <col min="3473" max="3473" width="11" style="286" customWidth="1"/>
    <col min="3474" max="3474" width="12.28515625" style="286" customWidth="1"/>
    <col min="3475" max="3475" width="12" style="286" customWidth="1"/>
    <col min="3476" max="3476" width="9.85546875" style="286" customWidth="1"/>
    <col min="3477" max="3477" width="11" style="286" customWidth="1"/>
    <col min="3478" max="3478" width="12.28515625" style="286" customWidth="1"/>
    <col min="3479" max="3479" width="12" style="286" customWidth="1"/>
    <col min="3480" max="3480" width="9.85546875" style="286" customWidth="1"/>
    <col min="3481" max="3481" width="11.7109375" style="286" customWidth="1"/>
    <col min="3482" max="3482" width="10.85546875" style="286" customWidth="1"/>
    <col min="3483" max="3483" width="11.7109375" style="286" customWidth="1"/>
    <col min="3484" max="3484" width="9" style="286" customWidth="1"/>
    <col min="3485" max="3485" width="11" style="286" customWidth="1"/>
    <col min="3486" max="3486" width="12.28515625" style="286" customWidth="1"/>
    <col min="3487" max="3487" width="12" style="286" customWidth="1"/>
    <col min="3488" max="3488" width="9.85546875" style="286" customWidth="1"/>
    <col min="3489" max="3489" width="11" style="286" customWidth="1"/>
    <col min="3490" max="3490" width="12.28515625" style="286" customWidth="1"/>
    <col min="3491" max="3491" width="12" style="286" customWidth="1"/>
    <col min="3492" max="3492" width="9.85546875" style="286" customWidth="1"/>
    <col min="3493" max="3493" width="11" style="286" customWidth="1"/>
    <col min="3494" max="3494" width="12.28515625" style="286" customWidth="1"/>
    <col min="3495" max="3495" width="12" style="286" customWidth="1"/>
    <col min="3496" max="3496" width="9.85546875" style="286" customWidth="1"/>
    <col min="3497" max="3500" width="0" style="286" hidden="1" customWidth="1"/>
    <col min="3501" max="3501" width="11" style="286" customWidth="1"/>
    <col min="3502" max="3502" width="12.28515625" style="286" customWidth="1"/>
    <col min="3503" max="3503" width="12" style="286" customWidth="1"/>
    <col min="3504" max="3504" width="9.85546875" style="286" customWidth="1"/>
    <col min="3505" max="3505" width="11" style="286" customWidth="1"/>
    <col min="3506" max="3506" width="12.28515625" style="286" customWidth="1"/>
    <col min="3507" max="3507" width="12" style="286" customWidth="1"/>
    <col min="3508" max="3508" width="9.85546875" style="286" customWidth="1"/>
    <col min="3509" max="3509" width="11" style="286" customWidth="1"/>
    <col min="3510" max="3510" width="12.28515625" style="286" customWidth="1"/>
    <col min="3511" max="3511" width="12" style="286" customWidth="1"/>
    <col min="3512" max="3512" width="9.85546875" style="286" customWidth="1"/>
    <col min="3513" max="3513" width="11" style="286" customWidth="1"/>
    <col min="3514" max="3514" width="12.28515625" style="286" customWidth="1"/>
    <col min="3515" max="3515" width="12" style="286" customWidth="1"/>
    <col min="3516" max="3516" width="9.85546875" style="286" customWidth="1"/>
    <col min="3517" max="3517" width="11" style="286" customWidth="1"/>
    <col min="3518" max="3518" width="12.28515625" style="286" customWidth="1"/>
    <col min="3519" max="3519" width="12" style="286" customWidth="1"/>
    <col min="3520" max="3520" width="9.85546875" style="286" customWidth="1"/>
    <col min="3521" max="3521" width="11" style="286" customWidth="1"/>
    <col min="3522" max="3522" width="12.28515625" style="286" customWidth="1"/>
    <col min="3523" max="3523" width="12" style="286" customWidth="1"/>
    <col min="3524" max="3524" width="9.85546875" style="286" customWidth="1"/>
    <col min="3525" max="3525" width="11" style="286" customWidth="1"/>
    <col min="3526" max="3526" width="12.28515625" style="286" customWidth="1"/>
    <col min="3527" max="3527" width="12" style="286" customWidth="1"/>
    <col min="3528" max="3528" width="9.85546875" style="286" customWidth="1"/>
    <col min="3529" max="3529" width="11" style="286" customWidth="1"/>
    <col min="3530" max="3530" width="12.28515625" style="286" customWidth="1"/>
    <col min="3531" max="3531" width="12" style="286" customWidth="1"/>
    <col min="3532" max="3532" width="9.85546875" style="286" customWidth="1"/>
    <col min="3533" max="3533" width="11" style="286" customWidth="1"/>
    <col min="3534" max="3534" width="12.28515625" style="286" customWidth="1"/>
    <col min="3535" max="3535" width="12" style="286" customWidth="1"/>
    <col min="3536" max="3536" width="9.85546875" style="286" customWidth="1"/>
    <col min="3537" max="3551" width="0" style="286" hidden="1" customWidth="1"/>
    <col min="3552" max="3552" width="9.85546875" style="286" customWidth="1"/>
    <col min="3553" max="3553" width="10.42578125" style="286" customWidth="1"/>
    <col min="3554" max="3554" width="9" style="286" customWidth="1"/>
    <col min="3555" max="3555" width="11.28515625" style="286" customWidth="1"/>
    <col min="3556" max="3556" width="10.140625" style="286" customWidth="1"/>
    <col min="3557" max="3557" width="10.7109375" style="286" customWidth="1"/>
    <col min="3558" max="3558" width="9.28515625" style="286"/>
    <col min="3559" max="3560" width="9.140625" style="286" customWidth="1"/>
    <col min="3561" max="3584" width="9.28515625" style="286"/>
    <col min="3585" max="3585" width="4.28515625" style="286" customWidth="1"/>
    <col min="3586" max="3586" width="5.42578125" style="286" customWidth="1"/>
    <col min="3587" max="3587" width="41.5703125" style="286" customWidth="1"/>
    <col min="3588" max="3588" width="7.42578125" style="286" customWidth="1"/>
    <col min="3589" max="3589" width="13.140625" style="286" customWidth="1"/>
    <col min="3590" max="3590" width="11.7109375" style="286" customWidth="1"/>
    <col min="3591" max="3591" width="14.7109375" style="286" customWidth="1"/>
    <col min="3592" max="3592" width="11.7109375" style="286" customWidth="1"/>
    <col min="3593" max="3593" width="12" style="286" customWidth="1"/>
    <col min="3594" max="3594" width="9.7109375" style="286" customWidth="1"/>
    <col min="3595" max="3596" width="9.42578125" style="286" customWidth="1"/>
    <col min="3597" max="3597" width="10.7109375" style="286" customWidth="1"/>
    <col min="3598" max="3598" width="13.42578125" style="286" customWidth="1"/>
    <col min="3599" max="3599" width="12" style="286" customWidth="1"/>
    <col min="3600" max="3600" width="11" style="286" customWidth="1"/>
    <col min="3601" max="3601" width="10.5703125" style="286" customWidth="1"/>
    <col min="3602" max="3602" width="10.42578125" style="286" customWidth="1"/>
    <col min="3603" max="3603" width="10.7109375" style="286" customWidth="1"/>
    <col min="3604" max="3605" width="11.140625" style="286" customWidth="1"/>
    <col min="3606" max="3606" width="10.5703125" style="286" customWidth="1"/>
    <col min="3607" max="3607" width="10.85546875" style="286" customWidth="1"/>
    <col min="3608" max="3608" width="9.85546875" style="286" customWidth="1"/>
    <col min="3609" max="3609" width="11" style="286" customWidth="1"/>
    <col min="3610" max="3610" width="11.42578125" style="286" customWidth="1"/>
    <col min="3611" max="3611" width="12" style="286" customWidth="1"/>
    <col min="3612" max="3612" width="9.85546875" style="286" customWidth="1"/>
    <col min="3613" max="3613" width="10.5703125" style="286" customWidth="1"/>
    <col min="3614" max="3614" width="11.140625" style="286" customWidth="1"/>
    <col min="3615" max="3615" width="11.42578125" style="286" customWidth="1"/>
    <col min="3616" max="3620" width="9.85546875" style="286" customWidth="1"/>
    <col min="3621" max="3623" width="11.7109375" style="286" customWidth="1"/>
    <col min="3624" max="3624" width="9.85546875" style="286" customWidth="1"/>
    <col min="3625" max="3625" width="11" style="286" customWidth="1"/>
    <col min="3626" max="3626" width="11.42578125" style="286" customWidth="1"/>
    <col min="3627" max="3627" width="11.140625" style="286" customWidth="1"/>
    <col min="3628" max="3628" width="10.42578125" style="286" customWidth="1"/>
    <col min="3629" max="3629" width="11.5703125" style="286" customWidth="1"/>
    <col min="3630" max="3631" width="11.140625" style="286" customWidth="1"/>
    <col min="3632" max="3644" width="9.85546875" style="286" customWidth="1"/>
    <col min="3645" max="3645" width="10.5703125" style="286" customWidth="1"/>
    <col min="3646" max="3646" width="12.42578125" style="286" customWidth="1"/>
    <col min="3647" max="3647" width="10.140625" style="286" customWidth="1"/>
    <col min="3648" max="3648" width="9.140625" style="286" customWidth="1"/>
    <col min="3649" max="3649" width="9" style="286" customWidth="1"/>
    <col min="3650" max="3651" width="9.7109375" style="286" customWidth="1"/>
    <col min="3652" max="3652" width="8.42578125" style="286" customWidth="1"/>
    <col min="3653" max="3653" width="11.7109375" style="286" customWidth="1"/>
    <col min="3654" max="3654" width="10.85546875" style="286" customWidth="1"/>
    <col min="3655" max="3655" width="11.7109375" style="286" customWidth="1"/>
    <col min="3656" max="3656" width="9" style="286" customWidth="1"/>
    <col min="3657" max="3657" width="11" style="286" customWidth="1"/>
    <col min="3658" max="3658" width="10.5703125" style="286" customWidth="1"/>
    <col min="3659" max="3659" width="11.7109375" style="286" customWidth="1"/>
    <col min="3660" max="3661" width="11" style="286" customWidth="1"/>
    <col min="3662" max="3664" width="11.140625" style="286" customWidth="1"/>
    <col min="3665" max="3665" width="8.7109375" style="286" customWidth="1"/>
    <col min="3666" max="3666" width="11.140625" style="286" customWidth="1"/>
    <col min="3667" max="3667" width="9.28515625" style="286"/>
    <col min="3668" max="3668" width="11.140625" style="286" customWidth="1"/>
    <col min="3669" max="3669" width="10.5703125" style="286" customWidth="1"/>
    <col min="3670" max="3670" width="12.28515625" style="286" customWidth="1"/>
    <col min="3671" max="3671" width="12" style="286" customWidth="1"/>
    <col min="3672" max="3672" width="9.85546875" style="286" customWidth="1"/>
    <col min="3673" max="3673" width="11" style="286" customWidth="1"/>
    <col min="3674" max="3674" width="12.28515625" style="286" customWidth="1"/>
    <col min="3675" max="3675" width="12" style="286" customWidth="1"/>
    <col min="3676" max="3676" width="9.85546875" style="286" customWidth="1"/>
    <col min="3677" max="3677" width="11" style="286" customWidth="1"/>
    <col min="3678" max="3678" width="12.28515625" style="286" customWidth="1"/>
    <col min="3679" max="3679" width="12" style="286" customWidth="1"/>
    <col min="3680" max="3680" width="9.85546875" style="286" customWidth="1"/>
    <col min="3681" max="3681" width="11" style="286" customWidth="1"/>
    <col min="3682" max="3682" width="12.28515625" style="286" customWidth="1"/>
    <col min="3683" max="3683" width="12" style="286" customWidth="1"/>
    <col min="3684" max="3684" width="9.85546875" style="286" customWidth="1"/>
    <col min="3685" max="3685" width="11" style="286" customWidth="1"/>
    <col min="3686" max="3686" width="12.28515625" style="286" customWidth="1"/>
    <col min="3687" max="3687" width="12" style="286" customWidth="1"/>
    <col min="3688" max="3688" width="9.85546875" style="286" customWidth="1"/>
    <col min="3689" max="3689" width="11" style="286" customWidth="1"/>
    <col min="3690" max="3690" width="12.28515625" style="286" customWidth="1"/>
    <col min="3691" max="3691" width="12" style="286" customWidth="1"/>
    <col min="3692" max="3692" width="9.85546875" style="286" customWidth="1"/>
    <col min="3693" max="3693" width="11" style="286" customWidth="1"/>
    <col min="3694" max="3694" width="12.28515625" style="286" customWidth="1"/>
    <col min="3695" max="3695" width="12" style="286" customWidth="1"/>
    <col min="3696" max="3696" width="9.85546875" style="286" customWidth="1"/>
    <col min="3697" max="3697" width="11" style="286" customWidth="1"/>
    <col min="3698" max="3698" width="12.28515625" style="286" customWidth="1"/>
    <col min="3699" max="3699" width="12" style="286" customWidth="1"/>
    <col min="3700" max="3700" width="9.85546875" style="286" customWidth="1"/>
    <col min="3701" max="3701" width="11" style="286" customWidth="1"/>
    <col min="3702" max="3702" width="12.28515625" style="286" customWidth="1"/>
    <col min="3703" max="3703" width="12" style="286" customWidth="1"/>
    <col min="3704" max="3704" width="9.85546875" style="286" customWidth="1"/>
    <col min="3705" max="3705" width="11" style="286" customWidth="1"/>
    <col min="3706" max="3706" width="12.28515625" style="286" customWidth="1"/>
    <col min="3707" max="3707" width="12" style="286" customWidth="1"/>
    <col min="3708" max="3708" width="9.85546875" style="286" customWidth="1"/>
    <col min="3709" max="3709" width="11" style="286" customWidth="1"/>
    <col min="3710" max="3710" width="12.28515625" style="286" customWidth="1"/>
    <col min="3711" max="3711" width="12" style="286" customWidth="1"/>
    <col min="3712" max="3712" width="9.85546875" style="286" customWidth="1"/>
    <col min="3713" max="3713" width="11" style="286" customWidth="1"/>
    <col min="3714" max="3714" width="12.28515625" style="286" customWidth="1"/>
    <col min="3715" max="3715" width="12" style="286" customWidth="1"/>
    <col min="3716" max="3716" width="9.85546875" style="286" customWidth="1"/>
    <col min="3717" max="3717" width="11" style="286" customWidth="1"/>
    <col min="3718" max="3718" width="12.28515625" style="286" customWidth="1"/>
    <col min="3719" max="3719" width="12" style="286" customWidth="1"/>
    <col min="3720" max="3720" width="9.85546875" style="286" customWidth="1"/>
    <col min="3721" max="3721" width="11" style="286" customWidth="1"/>
    <col min="3722" max="3722" width="12.28515625" style="286" customWidth="1"/>
    <col min="3723" max="3723" width="12" style="286" customWidth="1"/>
    <col min="3724" max="3724" width="9.85546875" style="286" customWidth="1"/>
    <col min="3725" max="3725" width="11" style="286" customWidth="1"/>
    <col min="3726" max="3726" width="12.28515625" style="286" customWidth="1"/>
    <col min="3727" max="3727" width="12" style="286" customWidth="1"/>
    <col min="3728" max="3728" width="9.85546875" style="286" customWidth="1"/>
    <col min="3729" max="3729" width="11" style="286" customWidth="1"/>
    <col min="3730" max="3730" width="12.28515625" style="286" customWidth="1"/>
    <col min="3731" max="3731" width="12" style="286" customWidth="1"/>
    <col min="3732" max="3732" width="9.85546875" style="286" customWidth="1"/>
    <col min="3733" max="3733" width="11" style="286" customWidth="1"/>
    <col min="3734" max="3734" width="12.28515625" style="286" customWidth="1"/>
    <col min="3735" max="3735" width="12" style="286" customWidth="1"/>
    <col min="3736" max="3736" width="9.85546875" style="286" customWidth="1"/>
    <col min="3737" max="3737" width="11.7109375" style="286" customWidth="1"/>
    <col min="3738" max="3738" width="10.85546875" style="286" customWidth="1"/>
    <col min="3739" max="3739" width="11.7109375" style="286" customWidth="1"/>
    <col min="3740" max="3740" width="9" style="286" customWidth="1"/>
    <col min="3741" max="3741" width="11" style="286" customWidth="1"/>
    <col min="3742" max="3742" width="12.28515625" style="286" customWidth="1"/>
    <col min="3743" max="3743" width="12" style="286" customWidth="1"/>
    <col min="3744" max="3744" width="9.85546875" style="286" customWidth="1"/>
    <col min="3745" max="3745" width="11" style="286" customWidth="1"/>
    <col min="3746" max="3746" width="12.28515625" style="286" customWidth="1"/>
    <col min="3747" max="3747" width="12" style="286" customWidth="1"/>
    <col min="3748" max="3748" width="9.85546875" style="286" customWidth="1"/>
    <col min="3749" max="3749" width="11" style="286" customWidth="1"/>
    <col min="3750" max="3750" width="12.28515625" style="286" customWidth="1"/>
    <col min="3751" max="3751" width="12" style="286" customWidth="1"/>
    <col min="3752" max="3752" width="9.85546875" style="286" customWidth="1"/>
    <col min="3753" max="3756" width="0" style="286" hidden="1" customWidth="1"/>
    <col min="3757" max="3757" width="11" style="286" customWidth="1"/>
    <col min="3758" max="3758" width="12.28515625" style="286" customWidth="1"/>
    <col min="3759" max="3759" width="12" style="286" customWidth="1"/>
    <col min="3760" max="3760" width="9.85546875" style="286" customWidth="1"/>
    <col min="3761" max="3761" width="11" style="286" customWidth="1"/>
    <col min="3762" max="3762" width="12.28515625" style="286" customWidth="1"/>
    <col min="3763" max="3763" width="12" style="286" customWidth="1"/>
    <col min="3764" max="3764" width="9.85546875" style="286" customWidth="1"/>
    <col min="3765" max="3765" width="11" style="286" customWidth="1"/>
    <col min="3766" max="3766" width="12.28515625" style="286" customWidth="1"/>
    <col min="3767" max="3767" width="12" style="286" customWidth="1"/>
    <col min="3768" max="3768" width="9.85546875" style="286" customWidth="1"/>
    <col min="3769" max="3769" width="11" style="286" customWidth="1"/>
    <col min="3770" max="3770" width="12.28515625" style="286" customWidth="1"/>
    <col min="3771" max="3771" width="12" style="286" customWidth="1"/>
    <col min="3772" max="3772" width="9.85546875" style="286" customWidth="1"/>
    <col min="3773" max="3773" width="11" style="286" customWidth="1"/>
    <col min="3774" max="3774" width="12.28515625" style="286" customWidth="1"/>
    <col min="3775" max="3775" width="12" style="286" customWidth="1"/>
    <col min="3776" max="3776" width="9.85546875" style="286" customWidth="1"/>
    <col min="3777" max="3777" width="11" style="286" customWidth="1"/>
    <col min="3778" max="3778" width="12.28515625" style="286" customWidth="1"/>
    <col min="3779" max="3779" width="12" style="286" customWidth="1"/>
    <col min="3780" max="3780" width="9.85546875" style="286" customWidth="1"/>
    <col min="3781" max="3781" width="11" style="286" customWidth="1"/>
    <col min="3782" max="3782" width="12.28515625" style="286" customWidth="1"/>
    <col min="3783" max="3783" width="12" style="286" customWidth="1"/>
    <col min="3784" max="3784" width="9.85546875" style="286" customWidth="1"/>
    <col min="3785" max="3785" width="11" style="286" customWidth="1"/>
    <col min="3786" max="3786" width="12.28515625" style="286" customWidth="1"/>
    <col min="3787" max="3787" width="12" style="286" customWidth="1"/>
    <col min="3788" max="3788" width="9.85546875" style="286" customWidth="1"/>
    <col min="3789" max="3789" width="11" style="286" customWidth="1"/>
    <col min="3790" max="3790" width="12.28515625" style="286" customWidth="1"/>
    <col min="3791" max="3791" width="12" style="286" customWidth="1"/>
    <col min="3792" max="3792" width="9.85546875" style="286" customWidth="1"/>
    <col min="3793" max="3807" width="0" style="286" hidden="1" customWidth="1"/>
    <col min="3808" max="3808" width="9.85546875" style="286" customWidth="1"/>
    <col min="3809" max="3809" width="10.42578125" style="286" customWidth="1"/>
    <col min="3810" max="3810" width="9" style="286" customWidth="1"/>
    <col min="3811" max="3811" width="11.28515625" style="286" customWidth="1"/>
    <col min="3812" max="3812" width="10.140625" style="286" customWidth="1"/>
    <col min="3813" max="3813" width="10.7109375" style="286" customWidth="1"/>
    <col min="3814" max="3814" width="9.28515625" style="286"/>
    <col min="3815" max="3816" width="9.140625" style="286" customWidth="1"/>
    <col min="3817" max="3840" width="9.28515625" style="286"/>
    <col min="3841" max="3841" width="4.28515625" style="286" customWidth="1"/>
    <col min="3842" max="3842" width="5.42578125" style="286" customWidth="1"/>
    <col min="3843" max="3843" width="41.5703125" style="286" customWidth="1"/>
    <col min="3844" max="3844" width="7.42578125" style="286" customWidth="1"/>
    <col min="3845" max="3845" width="13.140625" style="286" customWidth="1"/>
    <col min="3846" max="3846" width="11.7109375" style="286" customWidth="1"/>
    <col min="3847" max="3847" width="14.7109375" style="286" customWidth="1"/>
    <col min="3848" max="3848" width="11.7109375" style="286" customWidth="1"/>
    <col min="3849" max="3849" width="12" style="286" customWidth="1"/>
    <col min="3850" max="3850" width="9.7109375" style="286" customWidth="1"/>
    <col min="3851" max="3852" width="9.42578125" style="286" customWidth="1"/>
    <col min="3853" max="3853" width="10.7109375" style="286" customWidth="1"/>
    <col min="3854" max="3854" width="13.42578125" style="286" customWidth="1"/>
    <col min="3855" max="3855" width="12" style="286" customWidth="1"/>
    <col min="3856" max="3856" width="11" style="286" customWidth="1"/>
    <col min="3857" max="3857" width="10.5703125" style="286" customWidth="1"/>
    <col min="3858" max="3858" width="10.42578125" style="286" customWidth="1"/>
    <col min="3859" max="3859" width="10.7109375" style="286" customWidth="1"/>
    <col min="3860" max="3861" width="11.140625" style="286" customWidth="1"/>
    <col min="3862" max="3862" width="10.5703125" style="286" customWidth="1"/>
    <col min="3863" max="3863" width="10.85546875" style="286" customWidth="1"/>
    <col min="3864" max="3864" width="9.85546875" style="286" customWidth="1"/>
    <col min="3865" max="3865" width="11" style="286" customWidth="1"/>
    <col min="3866" max="3866" width="11.42578125" style="286" customWidth="1"/>
    <col min="3867" max="3867" width="12" style="286" customWidth="1"/>
    <col min="3868" max="3868" width="9.85546875" style="286" customWidth="1"/>
    <col min="3869" max="3869" width="10.5703125" style="286" customWidth="1"/>
    <col min="3870" max="3870" width="11.140625" style="286" customWidth="1"/>
    <col min="3871" max="3871" width="11.42578125" style="286" customWidth="1"/>
    <col min="3872" max="3876" width="9.85546875" style="286" customWidth="1"/>
    <col min="3877" max="3879" width="11.7109375" style="286" customWidth="1"/>
    <col min="3880" max="3880" width="9.85546875" style="286" customWidth="1"/>
    <col min="3881" max="3881" width="11" style="286" customWidth="1"/>
    <col min="3882" max="3882" width="11.42578125" style="286" customWidth="1"/>
    <col min="3883" max="3883" width="11.140625" style="286" customWidth="1"/>
    <col min="3884" max="3884" width="10.42578125" style="286" customWidth="1"/>
    <col min="3885" max="3885" width="11.5703125" style="286" customWidth="1"/>
    <col min="3886" max="3887" width="11.140625" style="286" customWidth="1"/>
    <col min="3888" max="3900" width="9.85546875" style="286" customWidth="1"/>
    <col min="3901" max="3901" width="10.5703125" style="286" customWidth="1"/>
    <col min="3902" max="3902" width="12.42578125" style="286" customWidth="1"/>
    <col min="3903" max="3903" width="10.140625" style="286" customWidth="1"/>
    <col min="3904" max="3904" width="9.140625" style="286" customWidth="1"/>
    <col min="3905" max="3905" width="9" style="286" customWidth="1"/>
    <col min="3906" max="3907" width="9.7109375" style="286" customWidth="1"/>
    <col min="3908" max="3908" width="8.42578125" style="286" customWidth="1"/>
    <col min="3909" max="3909" width="11.7109375" style="286" customWidth="1"/>
    <col min="3910" max="3910" width="10.85546875" style="286" customWidth="1"/>
    <col min="3911" max="3911" width="11.7109375" style="286" customWidth="1"/>
    <col min="3912" max="3912" width="9" style="286" customWidth="1"/>
    <col min="3913" max="3913" width="11" style="286" customWidth="1"/>
    <col min="3914" max="3914" width="10.5703125" style="286" customWidth="1"/>
    <col min="3915" max="3915" width="11.7109375" style="286" customWidth="1"/>
    <col min="3916" max="3917" width="11" style="286" customWidth="1"/>
    <col min="3918" max="3920" width="11.140625" style="286" customWidth="1"/>
    <col min="3921" max="3921" width="8.7109375" style="286" customWidth="1"/>
    <col min="3922" max="3922" width="11.140625" style="286" customWidth="1"/>
    <col min="3923" max="3923" width="9.28515625" style="286"/>
    <col min="3924" max="3924" width="11.140625" style="286" customWidth="1"/>
    <col min="3925" max="3925" width="10.5703125" style="286" customWidth="1"/>
    <col min="3926" max="3926" width="12.28515625" style="286" customWidth="1"/>
    <col min="3927" max="3927" width="12" style="286" customWidth="1"/>
    <col min="3928" max="3928" width="9.85546875" style="286" customWidth="1"/>
    <col min="3929" max="3929" width="11" style="286" customWidth="1"/>
    <col min="3930" max="3930" width="12.28515625" style="286" customWidth="1"/>
    <col min="3931" max="3931" width="12" style="286" customWidth="1"/>
    <col min="3932" max="3932" width="9.85546875" style="286" customWidth="1"/>
    <col min="3933" max="3933" width="11" style="286" customWidth="1"/>
    <col min="3934" max="3934" width="12.28515625" style="286" customWidth="1"/>
    <col min="3935" max="3935" width="12" style="286" customWidth="1"/>
    <col min="3936" max="3936" width="9.85546875" style="286" customWidth="1"/>
    <col min="3937" max="3937" width="11" style="286" customWidth="1"/>
    <col min="3938" max="3938" width="12.28515625" style="286" customWidth="1"/>
    <col min="3939" max="3939" width="12" style="286" customWidth="1"/>
    <col min="3940" max="3940" width="9.85546875" style="286" customWidth="1"/>
    <col min="3941" max="3941" width="11" style="286" customWidth="1"/>
    <col min="3942" max="3942" width="12.28515625" style="286" customWidth="1"/>
    <col min="3943" max="3943" width="12" style="286" customWidth="1"/>
    <col min="3944" max="3944" width="9.85546875" style="286" customWidth="1"/>
    <col min="3945" max="3945" width="11" style="286" customWidth="1"/>
    <col min="3946" max="3946" width="12.28515625" style="286" customWidth="1"/>
    <col min="3947" max="3947" width="12" style="286" customWidth="1"/>
    <col min="3948" max="3948" width="9.85546875" style="286" customWidth="1"/>
    <col min="3949" max="3949" width="11" style="286" customWidth="1"/>
    <col min="3950" max="3950" width="12.28515625" style="286" customWidth="1"/>
    <col min="3951" max="3951" width="12" style="286" customWidth="1"/>
    <col min="3952" max="3952" width="9.85546875" style="286" customWidth="1"/>
    <col min="3953" max="3953" width="11" style="286" customWidth="1"/>
    <col min="3954" max="3954" width="12.28515625" style="286" customWidth="1"/>
    <col min="3955" max="3955" width="12" style="286" customWidth="1"/>
    <col min="3956" max="3956" width="9.85546875" style="286" customWidth="1"/>
    <col min="3957" max="3957" width="11" style="286" customWidth="1"/>
    <col min="3958" max="3958" width="12.28515625" style="286" customWidth="1"/>
    <col min="3959" max="3959" width="12" style="286" customWidth="1"/>
    <col min="3960" max="3960" width="9.85546875" style="286" customWidth="1"/>
    <col min="3961" max="3961" width="11" style="286" customWidth="1"/>
    <col min="3962" max="3962" width="12.28515625" style="286" customWidth="1"/>
    <col min="3963" max="3963" width="12" style="286" customWidth="1"/>
    <col min="3964" max="3964" width="9.85546875" style="286" customWidth="1"/>
    <col min="3965" max="3965" width="11" style="286" customWidth="1"/>
    <col min="3966" max="3966" width="12.28515625" style="286" customWidth="1"/>
    <col min="3967" max="3967" width="12" style="286" customWidth="1"/>
    <col min="3968" max="3968" width="9.85546875" style="286" customWidth="1"/>
    <col min="3969" max="3969" width="11" style="286" customWidth="1"/>
    <col min="3970" max="3970" width="12.28515625" style="286" customWidth="1"/>
    <col min="3971" max="3971" width="12" style="286" customWidth="1"/>
    <col min="3972" max="3972" width="9.85546875" style="286" customWidth="1"/>
    <col min="3973" max="3973" width="11" style="286" customWidth="1"/>
    <col min="3974" max="3974" width="12.28515625" style="286" customWidth="1"/>
    <col min="3975" max="3975" width="12" style="286" customWidth="1"/>
    <col min="3976" max="3976" width="9.85546875" style="286" customWidth="1"/>
    <col min="3977" max="3977" width="11" style="286" customWidth="1"/>
    <col min="3978" max="3978" width="12.28515625" style="286" customWidth="1"/>
    <col min="3979" max="3979" width="12" style="286" customWidth="1"/>
    <col min="3980" max="3980" width="9.85546875" style="286" customWidth="1"/>
    <col min="3981" max="3981" width="11" style="286" customWidth="1"/>
    <col min="3982" max="3982" width="12.28515625" style="286" customWidth="1"/>
    <col min="3983" max="3983" width="12" style="286" customWidth="1"/>
    <col min="3984" max="3984" width="9.85546875" style="286" customWidth="1"/>
    <col min="3985" max="3985" width="11" style="286" customWidth="1"/>
    <col min="3986" max="3986" width="12.28515625" style="286" customWidth="1"/>
    <col min="3987" max="3987" width="12" style="286" customWidth="1"/>
    <col min="3988" max="3988" width="9.85546875" style="286" customWidth="1"/>
    <col min="3989" max="3989" width="11" style="286" customWidth="1"/>
    <col min="3990" max="3990" width="12.28515625" style="286" customWidth="1"/>
    <col min="3991" max="3991" width="12" style="286" customWidth="1"/>
    <col min="3992" max="3992" width="9.85546875" style="286" customWidth="1"/>
    <col min="3993" max="3993" width="11.7109375" style="286" customWidth="1"/>
    <col min="3994" max="3994" width="10.85546875" style="286" customWidth="1"/>
    <col min="3995" max="3995" width="11.7109375" style="286" customWidth="1"/>
    <col min="3996" max="3996" width="9" style="286" customWidth="1"/>
    <col min="3997" max="3997" width="11" style="286" customWidth="1"/>
    <col min="3998" max="3998" width="12.28515625" style="286" customWidth="1"/>
    <col min="3999" max="3999" width="12" style="286" customWidth="1"/>
    <col min="4000" max="4000" width="9.85546875" style="286" customWidth="1"/>
    <col min="4001" max="4001" width="11" style="286" customWidth="1"/>
    <col min="4002" max="4002" width="12.28515625" style="286" customWidth="1"/>
    <col min="4003" max="4003" width="12" style="286" customWidth="1"/>
    <col min="4004" max="4004" width="9.85546875" style="286" customWidth="1"/>
    <col min="4005" max="4005" width="11" style="286" customWidth="1"/>
    <col min="4006" max="4006" width="12.28515625" style="286" customWidth="1"/>
    <col min="4007" max="4007" width="12" style="286" customWidth="1"/>
    <col min="4008" max="4008" width="9.85546875" style="286" customWidth="1"/>
    <col min="4009" max="4012" width="0" style="286" hidden="1" customWidth="1"/>
    <col min="4013" max="4013" width="11" style="286" customWidth="1"/>
    <col min="4014" max="4014" width="12.28515625" style="286" customWidth="1"/>
    <col min="4015" max="4015" width="12" style="286" customWidth="1"/>
    <col min="4016" max="4016" width="9.85546875" style="286" customWidth="1"/>
    <col min="4017" max="4017" width="11" style="286" customWidth="1"/>
    <col min="4018" max="4018" width="12.28515625" style="286" customWidth="1"/>
    <col min="4019" max="4019" width="12" style="286" customWidth="1"/>
    <col min="4020" max="4020" width="9.85546875" style="286" customWidth="1"/>
    <col min="4021" max="4021" width="11" style="286" customWidth="1"/>
    <col min="4022" max="4022" width="12.28515625" style="286" customWidth="1"/>
    <col min="4023" max="4023" width="12" style="286" customWidth="1"/>
    <col min="4024" max="4024" width="9.85546875" style="286" customWidth="1"/>
    <col min="4025" max="4025" width="11" style="286" customWidth="1"/>
    <col min="4026" max="4026" width="12.28515625" style="286" customWidth="1"/>
    <col min="4027" max="4027" width="12" style="286" customWidth="1"/>
    <col min="4028" max="4028" width="9.85546875" style="286" customWidth="1"/>
    <col min="4029" max="4029" width="11" style="286" customWidth="1"/>
    <col min="4030" max="4030" width="12.28515625" style="286" customWidth="1"/>
    <col min="4031" max="4031" width="12" style="286" customWidth="1"/>
    <col min="4032" max="4032" width="9.85546875" style="286" customWidth="1"/>
    <col min="4033" max="4033" width="11" style="286" customWidth="1"/>
    <col min="4034" max="4034" width="12.28515625" style="286" customWidth="1"/>
    <col min="4035" max="4035" width="12" style="286" customWidth="1"/>
    <col min="4036" max="4036" width="9.85546875" style="286" customWidth="1"/>
    <col min="4037" max="4037" width="11" style="286" customWidth="1"/>
    <col min="4038" max="4038" width="12.28515625" style="286" customWidth="1"/>
    <col min="4039" max="4039" width="12" style="286" customWidth="1"/>
    <col min="4040" max="4040" width="9.85546875" style="286" customWidth="1"/>
    <col min="4041" max="4041" width="11" style="286" customWidth="1"/>
    <col min="4042" max="4042" width="12.28515625" style="286" customWidth="1"/>
    <col min="4043" max="4043" width="12" style="286" customWidth="1"/>
    <col min="4044" max="4044" width="9.85546875" style="286" customWidth="1"/>
    <col min="4045" max="4045" width="11" style="286" customWidth="1"/>
    <col min="4046" max="4046" width="12.28515625" style="286" customWidth="1"/>
    <col min="4047" max="4047" width="12" style="286" customWidth="1"/>
    <col min="4048" max="4048" width="9.85546875" style="286" customWidth="1"/>
    <col min="4049" max="4063" width="0" style="286" hidden="1" customWidth="1"/>
    <col min="4064" max="4064" width="9.85546875" style="286" customWidth="1"/>
    <col min="4065" max="4065" width="10.42578125" style="286" customWidth="1"/>
    <col min="4066" max="4066" width="9" style="286" customWidth="1"/>
    <col min="4067" max="4067" width="11.28515625" style="286" customWidth="1"/>
    <col min="4068" max="4068" width="10.140625" style="286" customWidth="1"/>
    <col min="4069" max="4069" width="10.7109375" style="286" customWidth="1"/>
    <col min="4070" max="4070" width="9.28515625" style="286"/>
    <col min="4071" max="4072" width="9.140625" style="286" customWidth="1"/>
    <col min="4073" max="4096" width="9.28515625" style="286"/>
    <col min="4097" max="4097" width="4.28515625" style="286" customWidth="1"/>
    <col min="4098" max="4098" width="5.42578125" style="286" customWidth="1"/>
    <col min="4099" max="4099" width="41.5703125" style="286" customWidth="1"/>
    <col min="4100" max="4100" width="7.42578125" style="286" customWidth="1"/>
    <col min="4101" max="4101" width="13.140625" style="286" customWidth="1"/>
    <col min="4102" max="4102" width="11.7109375" style="286" customWidth="1"/>
    <col min="4103" max="4103" width="14.7109375" style="286" customWidth="1"/>
    <col min="4104" max="4104" width="11.7109375" style="286" customWidth="1"/>
    <col min="4105" max="4105" width="12" style="286" customWidth="1"/>
    <col min="4106" max="4106" width="9.7109375" style="286" customWidth="1"/>
    <col min="4107" max="4108" width="9.42578125" style="286" customWidth="1"/>
    <col min="4109" max="4109" width="10.7109375" style="286" customWidth="1"/>
    <col min="4110" max="4110" width="13.42578125" style="286" customWidth="1"/>
    <col min="4111" max="4111" width="12" style="286" customWidth="1"/>
    <col min="4112" max="4112" width="11" style="286" customWidth="1"/>
    <col min="4113" max="4113" width="10.5703125" style="286" customWidth="1"/>
    <col min="4114" max="4114" width="10.42578125" style="286" customWidth="1"/>
    <col min="4115" max="4115" width="10.7109375" style="286" customWidth="1"/>
    <col min="4116" max="4117" width="11.140625" style="286" customWidth="1"/>
    <col min="4118" max="4118" width="10.5703125" style="286" customWidth="1"/>
    <col min="4119" max="4119" width="10.85546875" style="286" customWidth="1"/>
    <col min="4120" max="4120" width="9.85546875" style="286" customWidth="1"/>
    <col min="4121" max="4121" width="11" style="286" customWidth="1"/>
    <col min="4122" max="4122" width="11.42578125" style="286" customWidth="1"/>
    <col min="4123" max="4123" width="12" style="286" customWidth="1"/>
    <col min="4124" max="4124" width="9.85546875" style="286" customWidth="1"/>
    <col min="4125" max="4125" width="10.5703125" style="286" customWidth="1"/>
    <col min="4126" max="4126" width="11.140625" style="286" customWidth="1"/>
    <col min="4127" max="4127" width="11.42578125" style="286" customWidth="1"/>
    <col min="4128" max="4132" width="9.85546875" style="286" customWidth="1"/>
    <col min="4133" max="4135" width="11.7109375" style="286" customWidth="1"/>
    <col min="4136" max="4136" width="9.85546875" style="286" customWidth="1"/>
    <col min="4137" max="4137" width="11" style="286" customWidth="1"/>
    <col min="4138" max="4138" width="11.42578125" style="286" customWidth="1"/>
    <col min="4139" max="4139" width="11.140625" style="286" customWidth="1"/>
    <col min="4140" max="4140" width="10.42578125" style="286" customWidth="1"/>
    <col min="4141" max="4141" width="11.5703125" style="286" customWidth="1"/>
    <col min="4142" max="4143" width="11.140625" style="286" customWidth="1"/>
    <col min="4144" max="4156" width="9.85546875" style="286" customWidth="1"/>
    <col min="4157" max="4157" width="10.5703125" style="286" customWidth="1"/>
    <col min="4158" max="4158" width="12.42578125" style="286" customWidth="1"/>
    <col min="4159" max="4159" width="10.140625" style="286" customWidth="1"/>
    <col min="4160" max="4160" width="9.140625" style="286" customWidth="1"/>
    <col min="4161" max="4161" width="9" style="286" customWidth="1"/>
    <col min="4162" max="4163" width="9.7109375" style="286" customWidth="1"/>
    <col min="4164" max="4164" width="8.42578125" style="286" customWidth="1"/>
    <col min="4165" max="4165" width="11.7109375" style="286" customWidth="1"/>
    <col min="4166" max="4166" width="10.85546875" style="286" customWidth="1"/>
    <col min="4167" max="4167" width="11.7109375" style="286" customWidth="1"/>
    <col min="4168" max="4168" width="9" style="286" customWidth="1"/>
    <col min="4169" max="4169" width="11" style="286" customWidth="1"/>
    <col min="4170" max="4170" width="10.5703125" style="286" customWidth="1"/>
    <col min="4171" max="4171" width="11.7109375" style="286" customWidth="1"/>
    <col min="4172" max="4173" width="11" style="286" customWidth="1"/>
    <col min="4174" max="4176" width="11.140625" style="286" customWidth="1"/>
    <col min="4177" max="4177" width="8.7109375" style="286" customWidth="1"/>
    <col min="4178" max="4178" width="11.140625" style="286" customWidth="1"/>
    <col min="4179" max="4179" width="9.28515625" style="286"/>
    <col min="4180" max="4180" width="11.140625" style="286" customWidth="1"/>
    <col min="4181" max="4181" width="10.5703125" style="286" customWidth="1"/>
    <col min="4182" max="4182" width="12.28515625" style="286" customWidth="1"/>
    <col min="4183" max="4183" width="12" style="286" customWidth="1"/>
    <col min="4184" max="4184" width="9.85546875" style="286" customWidth="1"/>
    <col min="4185" max="4185" width="11" style="286" customWidth="1"/>
    <col min="4186" max="4186" width="12.28515625" style="286" customWidth="1"/>
    <col min="4187" max="4187" width="12" style="286" customWidth="1"/>
    <col min="4188" max="4188" width="9.85546875" style="286" customWidth="1"/>
    <col min="4189" max="4189" width="11" style="286" customWidth="1"/>
    <col min="4190" max="4190" width="12.28515625" style="286" customWidth="1"/>
    <col min="4191" max="4191" width="12" style="286" customWidth="1"/>
    <col min="4192" max="4192" width="9.85546875" style="286" customWidth="1"/>
    <col min="4193" max="4193" width="11" style="286" customWidth="1"/>
    <col min="4194" max="4194" width="12.28515625" style="286" customWidth="1"/>
    <col min="4195" max="4195" width="12" style="286" customWidth="1"/>
    <col min="4196" max="4196" width="9.85546875" style="286" customWidth="1"/>
    <col min="4197" max="4197" width="11" style="286" customWidth="1"/>
    <col min="4198" max="4198" width="12.28515625" style="286" customWidth="1"/>
    <col min="4199" max="4199" width="12" style="286" customWidth="1"/>
    <col min="4200" max="4200" width="9.85546875" style="286" customWidth="1"/>
    <col min="4201" max="4201" width="11" style="286" customWidth="1"/>
    <col min="4202" max="4202" width="12.28515625" style="286" customWidth="1"/>
    <col min="4203" max="4203" width="12" style="286" customWidth="1"/>
    <col min="4204" max="4204" width="9.85546875" style="286" customWidth="1"/>
    <col min="4205" max="4205" width="11" style="286" customWidth="1"/>
    <col min="4206" max="4206" width="12.28515625" style="286" customWidth="1"/>
    <col min="4207" max="4207" width="12" style="286" customWidth="1"/>
    <col min="4208" max="4208" width="9.85546875" style="286" customWidth="1"/>
    <col min="4209" max="4209" width="11" style="286" customWidth="1"/>
    <col min="4210" max="4210" width="12.28515625" style="286" customWidth="1"/>
    <col min="4211" max="4211" width="12" style="286" customWidth="1"/>
    <col min="4212" max="4212" width="9.85546875" style="286" customWidth="1"/>
    <col min="4213" max="4213" width="11" style="286" customWidth="1"/>
    <col min="4214" max="4214" width="12.28515625" style="286" customWidth="1"/>
    <col min="4215" max="4215" width="12" style="286" customWidth="1"/>
    <col min="4216" max="4216" width="9.85546875" style="286" customWidth="1"/>
    <col min="4217" max="4217" width="11" style="286" customWidth="1"/>
    <col min="4218" max="4218" width="12.28515625" style="286" customWidth="1"/>
    <col min="4219" max="4219" width="12" style="286" customWidth="1"/>
    <col min="4220" max="4220" width="9.85546875" style="286" customWidth="1"/>
    <col min="4221" max="4221" width="11" style="286" customWidth="1"/>
    <col min="4222" max="4222" width="12.28515625" style="286" customWidth="1"/>
    <col min="4223" max="4223" width="12" style="286" customWidth="1"/>
    <col min="4224" max="4224" width="9.85546875" style="286" customWidth="1"/>
    <col min="4225" max="4225" width="11" style="286" customWidth="1"/>
    <col min="4226" max="4226" width="12.28515625" style="286" customWidth="1"/>
    <col min="4227" max="4227" width="12" style="286" customWidth="1"/>
    <col min="4228" max="4228" width="9.85546875" style="286" customWidth="1"/>
    <col min="4229" max="4229" width="11" style="286" customWidth="1"/>
    <col min="4230" max="4230" width="12.28515625" style="286" customWidth="1"/>
    <col min="4231" max="4231" width="12" style="286" customWidth="1"/>
    <col min="4232" max="4232" width="9.85546875" style="286" customWidth="1"/>
    <col min="4233" max="4233" width="11" style="286" customWidth="1"/>
    <col min="4234" max="4234" width="12.28515625" style="286" customWidth="1"/>
    <col min="4235" max="4235" width="12" style="286" customWidth="1"/>
    <col min="4236" max="4236" width="9.85546875" style="286" customWidth="1"/>
    <col min="4237" max="4237" width="11" style="286" customWidth="1"/>
    <col min="4238" max="4238" width="12.28515625" style="286" customWidth="1"/>
    <col min="4239" max="4239" width="12" style="286" customWidth="1"/>
    <col min="4240" max="4240" width="9.85546875" style="286" customWidth="1"/>
    <col min="4241" max="4241" width="11" style="286" customWidth="1"/>
    <col min="4242" max="4242" width="12.28515625" style="286" customWidth="1"/>
    <col min="4243" max="4243" width="12" style="286" customWidth="1"/>
    <col min="4244" max="4244" width="9.85546875" style="286" customWidth="1"/>
    <col min="4245" max="4245" width="11" style="286" customWidth="1"/>
    <col min="4246" max="4246" width="12.28515625" style="286" customWidth="1"/>
    <col min="4247" max="4247" width="12" style="286" customWidth="1"/>
    <col min="4248" max="4248" width="9.85546875" style="286" customWidth="1"/>
    <col min="4249" max="4249" width="11.7109375" style="286" customWidth="1"/>
    <col min="4250" max="4250" width="10.85546875" style="286" customWidth="1"/>
    <col min="4251" max="4251" width="11.7109375" style="286" customWidth="1"/>
    <col min="4252" max="4252" width="9" style="286" customWidth="1"/>
    <col min="4253" max="4253" width="11" style="286" customWidth="1"/>
    <col min="4254" max="4254" width="12.28515625" style="286" customWidth="1"/>
    <col min="4255" max="4255" width="12" style="286" customWidth="1"/>
    <col min="4256" max="4256" width="9.85546875" style="286" customWidth="1"/>
    <col min="4257" max="4257" width="11" style="286" customWidth="1"/>
    <col min="4258" max="4258" width="12.28515625" style="286" customWidth="1"/>
    <col min="4259" max="4259" width="12" style="286" customWidth="1"/>
    <col min="4260" max="4260" width="9.85546875" style="286" customWidth="1"/>
    <col min="4261" max="4261" width="11" style="286" customWidth="1"/>
    <col min="4262" max="4262" width="12.28515625" style="286" customWidth="1"/>
    <col min="4263" max="4263" width="12" style="286" customWidth="1"/>
    <col min="4264" max="4264" width="9.85546875" style="286" customWidth="1"/>
    <col min="4265" max="4268" width="0" style="286" hidden="1" customWidth="1"/>
    <col min="4269" max="4269" width="11" style="286" customWidth="1"/>
    <col min="4270" max="4270" width="12.28515625" style="286" customWidth="1"/>
    <col min="4271" max="4271" width="12" style="286" customWidth="1"/>
    <col min="4272" max="4272" width="9.85546875" style="286" customWidth="1"/>
    <col min="4273" max="4273" width="11" style="286" customWidth="1"/>
    <col min="4274" max="4274" width="12.28515625" style="286" customWidth="1"/>
    <col min="4275" max="4275" width="12" style="286" customWidth="1"/>
    <col min="4276" max="4276" width="9.85546875" style="286" customWidth="1"/>
    <col min="4277" max="4277" width="11" style="286" customWidth="1"/>
    <col min="4278" max="4278" width="12.28515625" style="286" customWidth="1"/>
    <col min="4279" max="4279" width="12" style="286" customWidth="1"/>
    <col min="4280" max="4280" width="9.85546875" style="286" customWidth="1"/>
    <col min="4281" max="4281" width="11" style="286" customWidth="1"/>
    <col min="4282" max="4282" width="12.28515625" style="286" customWidth="1"/>
    <col min="4283" max="4283" width="12" style="286" customWidth="1"/>
    <col min="4284" max="4284" width="9.85546875" style="286" customWidth="1"/>
    <col min="4285" max="4285" width="11" style="286" customWidth="1"/>
    <col min="4286" max="4286" width="12.28515625" style="286" customWidth="1"/>
    <col min="4287" max="4287" width="12" style="286" customWidth="1"/>
    <col min="4288" max="4288" width="9.85546875" style="286" customWidth="1"/>
    <col min="4289" max="4289" width="11" style="286" customWidth="1"/>
    <col min="4290" max="4290" width="12.28515625" style="286" customWidth="1"/>
    <col min="4291" max="4291" width="12" style="286" customWidth="1"/>
    <col min="4292" max="4292" width="9.85546875" style="286" customWidth="1"/>
    <col min="4293" max="4293" width="11" style="286" customWidth="1"/>
    <col min="4294" max="4294" width="12.28515625" style="286" customWidth="1"/>
    <col min="4295" max="4295" width="12" style="286" customWidth="1"/>
    <col min="4296" max="4296" width="9.85546875" style="286" customWidth="1"/>
    <col min="4297" max="4297" width="11" style="286" customWidth="1"/>
    <col min="4298" max="4298" width="12.28515625" style="286" customWidth="1"/>
    <col min="4299" max="4299" width="12" style="286" customWidth="1"/>
    <col min="4300" max="4300" width="9.85546875" style="286" customWidth="1"/>
    <col min="4301" max="4301" width="11" style="286" customWidth="1"/>
    <col min="4302" max="4302" width="12.28515625" style="286" customWidth="1"/>
    <col min="4303" max="4303" width="12" style="286" customWidth="1"/>
    <col min="4304" max="4304" width="9.85546875" style="286" customWidth="1"/>
    <col min="4305" max="4319" width="0" style="286" hidden="1" customWidth="1"/>
    <col min="4320" max="4320" width="9.85546875" style="286" customWidth="1"/>
    <col min="4321" max="4321" width="10.42578125" style="286" customWidth="1"/>
    <col min="4322" max="4322" width="9" style="286" customWidth="1"/>
    <col min="4323" max="4323" width="11.28515625" style="286" customWidth="1"/>
    <col min="4324" max="4324" width="10.140625" style="286" customWidth="1"/>
    <col min="4325" max="4325" width="10.7109375" style="286" customWidth="1"/>
    <col min="4326" max="4326" width="9.28515625" style="286"/>
    <col min="4327" max="4328" width="9.140625" style="286" customWidth="1"/>
    <col min="4329" max="4352" width="9.28515625" style="286"/>
    <col min="4353" max="4353" width="4.28515625" style="286" customWidth="1"/>
    <col min="4354" max="4354" width="5.42578125" style="286" customWidth="1"/>
    <col min="4355" max="4355" width="41.5703125" style="286" customWidth="1"/>
    <col min="4356" max="4356" width="7.42578125" style="286" customWidth="1"/>
    <col min="4357" max="4357" width="13.140625" style="286" customWidth="1"/>
    <col min="4358" max="4358" width="11.7109375" style="286" customWidth="1"/>
    <col min="4359" max="4359" width="14.7109375" style="286" customWidth="1"/>
    <col min="4360" max="4360" width="11.7109375" style="286" customWidth="1"/>
    <col min="4361" max="4361" width="12" style="286" customWidth="1"/>
    <col min="4362" max="4362" width="9.7109375" style="286" customWidth="1"/>
    <col min="4363" max="4364" width="9.42578125" style="286" customWidth="1"/>
    <col min="4365" max="4365" width="10.7109375" style="286" customWidth="1"/>
    <col min="4366" max="4366" width="13.42578125" style="286" customWidth="1"/>
    <col min="4367" max="4367" width="12" style="286" customWidth="1"/>
    <col min="4368" max="4368" width="11" style="286" customWidth="1"/>
    <col min="4369" max="4369" width="10.5703125" style="286" customWidth="1"/>
    <col min="4370" max="4370" width="10.42578125" style="286" customWidth="1"/>
    <col min="4371" max="4371" width="10.7109375" style="286" customWidth="1"/>
    <col min="4372" max="4373" width="11.140625" style="286" customWidth="1"/>
    <col min="4374" max="4374" width="10.5703125" style="286" customWidth="1"/>
    <col min="4375" max="4375" width="10.85546875" style="286" customWidth="1"/>
    <col min="4376" max="4376" width="9.85546875" style="286" customWidth="1"/>
    <col min="4377" max="4377" width="11" style="286" customWidth="1"/>
    <col min="4378" max="4378" width="11.42578125" style="286" customWidth="1"/>
    <col min="4379" max="4379" width="12" style="286" customWidth="1"/>
    <col min="4380" max="4380" width="9.85546875" style="286" customWidth="1"/>
    <col min="4381" max="4381" width="10.5703125" style="286" customWidth="1"/>
    <col min="4382" max="4382" width="11.140625" style="286" customWidth="1"/>
    <col min="4383" max="4383" width="11.42578125" style="286" customWidth="1"/>
    <col min="4384" max="4388" width="9.85546875" style="286" customWidth="1"/>
    <col min="4389" max="4391" width="11.7109375" style="286" customWidth="1"/>
    <col min="4392" max="4392" width="9.85546875" style="286" customWidth="1"/>
    <col min="4393" max="4393" width="11" style="286" customWidth="1"/>
    <col min="4394" max="4394" width="11.42578125" style="286" customWidth="1"/>
    <col min="4395" max="4395" width="11.140625" style="286" customWidth="1"/>
    <col min="4396" max="4396" width="10.42578125" style="286" customWidth="1"/>
    <col min="4397" max="4397" width="11.5703125" style="286" customWidth="1"/>
    <col min="4398" max="4399" width="11.140625" style="286" customWidth="1"/>
    <col min="4400" max="4412" width="9.85546875" style="286" customWidth="1"/>
    <col min="4413" max="4413" width="10.5703125" style="286" customWidth="1"/>
    <col min="4414" max="4414" width="12.42578125" style="286" customWidth="1"/>
    <col min="4415" max="4415" width="10.140625" style="286" customWidth="1"/>
    <col min="4416" max="4416" width="9.140625" style="286" customWidth="1"/>
    <col min="4417" max="4417" width="9" style="286" customWidth="1"/>
    <col min="4418" max="4419" width="9.7109375" style="286" customWidth="1"/>
    <col min="4420" max="4420" width="8.42578125" style="286" customWidth="1"/>
    <col min="4421" max="4421" width="11.7109375" style="286" customWidth="1"/>
    <col min="4422" max="4422" width="10.85546875" style="286" customWidth="1"/>
    <col min="4423" max="4423" width="11.7109375" style="286" customWidth="1"/>
    <col min="4424" max="4424" width="9" style="286" customWidth="1"/>
    <col min="4425" max="4425" width="11" style="286" customWidth="1"/>
    <col min="4426" max="4426" width="10.5703125" style="286" customWidth="1"/>
    <col min="4427" max="4427" width="11.7109375" style="286" customWidth="1"/>
    <col min="4428" max="4429" width="11" style="286" customWidth="1"/>
    <col min="4430" max="4432" width="11.140625" style="286" customWidth="1"/>
    <col min="4433" max="4433" width="8.7109375" style="286" customWidth="1"/>
    <col min="4434" max="4434" width="11.140625" style="286" customWidth="1"/>
    <col min="4435" max="4435" width="9.28515625" style="286"/>
    <col min="4436" max="4436" width="11.140625" style="286" customWidth="1"/>
    <col min="4437" max="4437" width="10.5703125" style="286" customWidth="1"/>
    <col min="4438" max="4438" width="12.28515625" style="286" customWidth="1"/>
    <col min="4439" max="4439" width="12" style="286" customWidth="1"/>
    <col min="4440" max="4440" width="9.85546875" style="286" customWidth="1"/>
    <col min="4441" max="4441" width="11" style="286" customWidth="1"/>
    <col min="4442" max="4442" width="12.28515625" style="286" customWidth="1"/>
    <col min="4443" max="4443" width="12" style="286" customWidth="1"/>
    <col min="4444" max="4444" width="9.85546875" style="286" customWidth="1"/>
    <col min="4445" max="4445" width="11" style="286" customWidth="1"/>
    <col min="4446" max="4446" width="12.28515625" style="286" customWidth="1"/>
    <col min="4447" max="4447" width="12" style="286" customWidth="1"/>
    <col min="4448" max="4448" width="9.85546875" style="286" customWidth="1"/>
    <col min="4449" max="4449" width="11" style="286" customWidth="1"/>
    <col min="4450" max="4450" width="12.28515625" style="286" customWidth="1"/>
    <col min="4451" max="4451" width="12" style="286" customWidth="1"/>
    <col min="4452" max="4452" width="9.85546875" style="286" customWidth="1"/>
    <col min="4453" max="4453" width="11" style="286" customWidth="1"/>
    <col min="4454" max="4454" width="12.28515625" style="286" customWidth="1"/>
    <col min="4455" max="4455" width="12" style="286" customWidth="1"/>
    <col min="4456" max="4456" width="9.85546875" style="286" customWidth="1"/>
    <col min="4457" max="4457" width="11" style="286" customWidth="1"/>
    <col min="4458" max="4458" width="12.28515625" style="286" customWidth="1"/>
    <col min="4459" max="4459" width="12" style="286" customWidth="1"/>
    <col min="4460" max="4460" width="9.85546875" style="286" customWidth="1"/>
    <col min="4461" max="4461" width="11" style="286" customWidth="1"/>
    <col min="4462" max="4462" width="12.28515625" style="286" customWidth="1"/>
    <col min="4463" max="4463" width="12" style="286" customWidth="1"/>
    <col min="4464" max="4464" width="9.85546875" style="286" customWidth="1"/>
    <col min="4465" max="4465" width="11" style="286" customWidth="1"/>
    <col min="4466" max="4466" width="12.28515625" style="286" customWidth="1"/>
    <col min="4467" max="4467" width="12" style="286" customWidth="1"/>
    <col min="4468" max="4468" width="9.85546875" style="286" customWidth="1"/>
    <col min="4469" max="4469" width="11" style="286" customWidth="1"/>
    <col min="4470" max="4470" width="12.28515625" style="286" customWidth="1"/>
    <col min="4471" max="4471" width="12" style="286" customWidth="1"/>
    <col min="4472" max="4472" width="9.85546875" style="286" customWidth="1"/>
    <col min="4473" max="4473" width="11" style="286" customWidth="1"/>
    <col min="4474" max="4474" width="12.28515625" style="286" customWidth="1"/>
    <col min="4475" max="4475" width="12" style="286" customWidth="1"/>
    <col min="4476" max="4476" width="9.85546875" style="286" customWidth="1"/>
    <col min="4477" max="4477" width="11" style="286" customWidth="1"/>
    <col min="4478" max="4478" width="12.28515625" style="286" customWidth="1"/>
    <col min="4479" max="4479" width="12" style="286" customWidth="1"/>
    <col min="4480" max="4480" width="9.85546875" style="286" customWidth="1"/>
    <col min="4481" max="4481" width="11" style="286" customWidth="1"/>
    <col min="4482" max="4482" width="12.28515625" style="286" customWidth="1"/>
    <col min="4483" max="4483" width="12" style="286" customWidth="1"/>
    <col min="4484" max="4484" width="9.85546875" style="286" customWidth="1"/>
    <col min="4485" max="4485" width="11" style="286" customWidth="1"/>
    <col min="4486" max="4486" width="12.28515625" style="286" customWidth="1"/>
    <col min="4487" max="4487" width="12" style="286" customWidth="1"/>
    <col min="4488" max="4488" width="9.85546875" style="286" customWidth="1"/>
    <col min="4489" max="4489" width="11" style="286" customWidth="1"/>
    <col min="4490" max="4490" width="12.28515625" style="286" customWidth="1"/>
    <col min="4491" max="4491" width="12" style="286" customWidth="1"/>
    <col min="4492" max="4492" width="9.85546875" style="286" customWidth="1"/>
    <col min="4493" max="4493" width="11" style="286" customWidth="1"/>
    <col min="4494" max="4494" width="12.28515625" style="286" customWidth="1"/>
    <col min="4495" max="4495" width="12" style="286" customWidth="1"/>
    <col min="4496" max="4496" width="9.85546875" style="286" customWidth="1"/>
    <col min="4497" max="4497" width="11" style="286" customWidth="1"/>
    <col min="4498" max="4498" width="12.28515625" style="286" customWidth="1"/>
    <col min="4499" max="4499" width="12" style="286" customWidth="1"/>
    <col min="4500" max="4500" width="9.85546875" style="286" customWidth="1"/>
    <col min="4501" max="4501" width="11" style="286" customWidth="1"/>
    <col min="4502" max="4502" width="12.28515625" style="286" customWidth="1"/>
    <col min="4503" max="4503" width="12" style="286" customWidth="1"/>
    <col min="4504" max="4504" width="9.85546875" style="286" customWidth="1"/>
    <col min="4505" max="4505" width="11.7109375" style="286" customWidth="1"/>
    <col min="4506" max="4506" width="10.85546875" style="286" customWidth="1"/>
    <col min="4507" max="4507" width="11.7109375" style="286" customWidth="1"/>
    <col min="4508" max="4508" width="9" style="286" customWidth="1"/>
    <col min="4509" max="4509" width="11" style="286" customWidth="1"/>
    <col min="4510" max="4510" width="12.28515625" style="286" customWidth="1"/>
    <col min="4511" max="4511" width="12" style="286" customWidth="1"/>
    <col min="4512" max="4512" width="9.85546875" style="286" customWidth="1"/>
    <col min="4513" max="4513" width="11" style="286" customWidth="1"/>
    <col min="4514" max="4514" width="12.28515625" style="286" customWidth="1"/>
    <col min="4515" max="4515" width="12" style="286" customWidth="1"/>
    <col min="4516" max="4516" width="9.85546875" style="286" customWidth="1"/>
    <col min="4517" max="4517" width="11" style="286" customWidth="1"/>
    <col min="4518" max="4518" width="12.28515625" style="286" customWidth="1"/>
    <col min="4519" max="4519" width="12" style="286" customWidth="1"/>
    <col min="4520" max="4520" width="9.85546875" style="286" customWidth="1"/>
    <col min="4521" max="4524" width="0" style="286" hidden="1" customWidth="1"/>
    <col min="4525" max="4525" width="11" style="286" customWidth="1"/>
    <col min="4526" max="4526" width="12.28515625" style="286" customWidth="1"/>
    <col min="4527" max="4527" width="12" style="286" customWidth="1"/>
    <col min="4528" max="4528" width="9.85546875" style="286" customWidth="1"/>
    <col min="4529" max="4529" width="11" style="286" customWidth="1"/>
    <col min="4530" max="4530" width="12.28515625" style="286" customWidth="1"/>
    <col min="4531" max="4531" width="12" style="286" customWidth="1"/>
    <col min="4532" max="4532" width="9.85546875" style="286" customWidth="1"/>
    <col min="4533" max="4533" width="11" style="286" customWidth="1"/>
    <col min="4534" max="4534" width="12.28515625" style="286" customWidth="1"/>
    <col min="4535" max="4535" width="12" style="286" customWidth="1"/>
    <col min="4536" max="4536" width="9.85546875" style="286" customWidth="1"/>
    <col min="4537" max="4537" width="11" style="286" customWidth="1"/>
    <col min="4538" max="4538" width="12.28515625" style="286" customWidth="1"/>
    <col min="4539" max="4539" width="12" style="286" customWidth="1"/>
    <col min="4540" max="4540" width="9.85546875" style="286" customWidth="1"/>
    <col min="4541" max="4541" width="11" style="286" customWidth="1"/>
    <col min="4542" max="4542" width="12.28515625" style="286" customWidth="1"/>
    <col min="4543" max="4543" width="12" style="286" customWidth="1"/>
    <col min="4544" max="4544" width="9.85546875" style="286" customWidth="1"/>
    <col min="4545" max="4545" width="11" style="286" customWidth="1"/>
    <col min="4546" max="4546" width="12.28515625" style="286" customWidth="1"/>
    <col min="4547" max="4547" width="12" style="286" customWidth="1"/>
    <col min="4548" max="4548" width="9.85546875" style="286" customWidth="1"/>
    <col min="4549" max="4549" width="11" style="286" customWidth="1"/>
    <col min="4550" max="4550" width="12.28515625" style="286" customWidth="1"/>
    <col min="4551" max="4551" width="12" style="286" customWidth="1"/>
    <col min="4552" max="4552" width="9.85546875" style="286" customWidth="1"/>
    <col min="4553" max="4553" width="11" style="286" customWidth="1"/>
    <col min="4554" max="4554" width="12.28515625" style="286" customWidth="1"/>
    <col min="4555" max="4555" width="12" style="286" customWidth="1"/>
    <col min="4556" max="4556" width="9.85546875" style="286" customWidth="1"/>
    <col min="4557" max="4557" width="11" style="286" customWidth="1"/>
    <col min="4558" max="4558" width="12.28515625" style="286" customWidth="1"/>
    <col min="4559" max="4559" width="12" style="286" customWidth="1"/>
    <col min="4560" max="4560" width="9.85546875" style="286" customWidth="1"/>
    <col min="4561" max="4575" width="0" style="286" hidden="1" customWidth="1"/>
    <col min="4576" max="4576" width="9.85546875" style="286" customWidth="1"/>
    <col min="4577" max="4577" width="10.42578125" style="286" customWidth="1"/>
    <col min="4578" max="4578" width="9" style="286" customWidth="1"/>
    <col min="4579" max="4579" width="11.28515625" style="286" customWidth="1"/>
    <col min="4580" max="4580" width="10.140625" style="286" customWidth="1"/>
    <col min="4581" max="4581" width="10.7109375" style="286" customWidth="1"/>
    <col min="4582" max="4582" width="9.28515625" style="286"/>
    <col min="4583" max="4584" width="9.140625" style="286" customWidth="1"/>
    <col min="4585" max="4608" width="9.28515625" style="286"/>
    <col min="4609" max="4609" width="4.28515625" style="286" customWidth="1"/>
    <col min="4610" max="4610" width="5.42578125" style="286" customWidth="1"/>
    <col min="4611" max="4611" width="41.5703125" style="286" customWidth="1"/>
    <col min="4612" max="4612" width="7.42578125" style="286" customWidth="1"/>
    <col min="4613" max="4613" width="13.140625" style="286" customWidth="1"/>
    <col min="4614" max="4614" width="11.7109375" style="286" customWidth="1"/>
    <col min="4615" max="4615" width="14.7109375" style="286" customWidth="1"/>
    <col min="4616" max="4616" width="11.7109375" style="286" customWidth="1"/>
    <col min="4617" max="4617" width="12" style="286" customWidth="1"/>
    <col min="4618" max="4618" width="9.7109375" style="286" customWidth="1"/>
    <col min="4619" max="4620" width="9.42578125" style="286" customWidth="1"/>
    <col min="4621" max="4621" width="10.7109375" style="286" customWidth="1"/>
    <col min="4622" max="4622" width="13.42578125" style="286" customWidth="1"/>
    <col min="4623" max="4623" width="12" style="286" customWidth="1"/>
    <col min="4624" max="4624" width="11" style="286" customWidth="1"/>
    <col min="4625" max="4625" width="10.5703125" style="286" customWidth="1"/>
    <col min="4626" max="4626" width="10.42578125" style="286" customWidth="1"/>
    <col min="4627" max="4627" width="10.7109375" style="286" customWidth="1"/>
    <col min="4628" max="4629" width="11.140625" style="286" customWidth="1"/>
    <col min="4630" max="4630" width="10.5703125" style="286" customWidth="1"/>
    <col min="4631" max="4631" width="10.85546875" style="286" customWidth="1"/>
    <col min="4632" max="4632" width="9.85546875" style="286" customWidth="1"/>
    <col min="4633" max="4633" width="11" style="286" customWidth="1"/>
    <col min="4634" max="4634" width="11.42578125" style="286" customWidth="1"/>
    <col min="4635" max="4635" width="12" style="286" customWidth="1"/>
    <col min="4636" max="4636" width="9.85546875" style="286" customWidth="1"/>
    <col min="4637" max="4637" width="10.5703125" style="286" customWidth="1"/>
    <col min="4638" max="4638" width="11.140625" style="286" customWidth="1"/>
    <col min="4639" max="4639" width="11.42578125" style="286" customWidth="1"/>
    <col min="4640" max="4644" width="9.85546875" style="286" customWidth="1"/>
    <col min="4645" max="4647" width="11.7109375" style="286" customWidth="1"/>
    <col min="4648" max="4648" width="9.85546875" style="286" customWidth="1"/>
    <col min="4649" max="4649" width="11" style="286" customWidth="1"/>
    <col min="4650" max="4650" width="11.42578125" style="286" customWidth="1"/>
    <col min="4651" max="4651" width="11.140625" style="286" customWidth="1"/>
    <col min="4652" max="4652" width="10.42578125" style="286" customWidth="1"/>
    <col min="4653" max="4653" width="11.5703125" style="286" customWidth="1"/>
    <col min="4654" max="4655" width="11.140625" style="286" customWidth="1"/>
    <col min="4656" max="4668" width="9.85546875" style="286" customWidth="1"/>
    <col min="4669" max="4669" width="10.5703125" style="286" customWidth="1"/>
    <col min="4670" max="4670" width="12.42578125" style="286" customWidth="1"/>
    <col min="4671" max="4671" width="10.140625" style="286" customWidth="1"/>
    <col min="4672" max="4672" width="9.140625" style="286" customWidth="1"/>
    <col min="4673" max="4673" width="9" style="286" customWidth="1"/>
    <col min="4674" max="4675" width="9.7109375" style="286" customWidth="1"/>
    <col min="4676" max="4676" width="8.42578125" style="286" customWidth="1"/>
    <col min="4677" max="4677" width="11.7109375" style="286" customWidth="1"/>
    <col min="4678" max="4678" width="10.85546875" style="286" customWidth="1"/>
    <col min="4679" max="4679" width="11.7109375" style="286" customWidth="1"/>
    <col min="4680" max="4680" width="9" style="286" customWidth="1"/>
    <col min="4681" max="4681" width="11" style="286" customWidth="1"/>
    <col min="4682" max="4682" width="10.5703125" style="286" customWidth="1"/>
    <col min="4683" max="4683" width="11.7109375" style="286" customWidth="1"/>
    <col min="4684" max="4685" width="11" style="286" customWidth="1"/>
    <col min="4686" max="4688" width="11.140625" style="286" customWidth="1"/>
    <col min="4689" max="4689" width="8.7109375" style="286" customWidth="1"/>
    <col min="4690" max="4690" width="11.140625" style="286" customWidth="1"/>
    <col min="4691" max="4691" width="9.28515625" style="286"/>
    <col min="4692" max="4692" width="11.140625" style="286" customWidth="1"/>
    <col min="4693" max="4693" width="10.5703125" style="286" customWidth="1"/>
    <col min="4694" max="4694" width="12.28515625" style="286" customWidth="1"/>
    <col min="4695" max="4695" width="12" style="286" customWidth="1"/>
    <col min="4696" max="4696" width="9.85546875" style="286" customWidth="1"/>
    <col min="4697" max="4697" width="11" style="286" customWidth="1"/>
    <col min="4698" max="4698" width="12.28515625" style="286" customWidth="1"/>
    <col min="4699" max="4699" width="12" style="286" customWidth="1"/>
    <col min="4700" max="4700" width="9.85546875" style="286" customWidth="1"/>
    <col min="4701" max="4701" width="11" style="286" customWidth="1"/>
    <col min="4702" max="4702" width="12.28515625" style="286" customWidth="1"/>
    <col min="4703" max="4703" width="12" style="286" customWidth="1"/>
    <col min="4704" max="4704" width="9.85546875" style="286" customWidth="1"/>
    <col min="4705" max="4705" width="11" style="286" customWidth="1"/>
    <col min="4706" max="4706" width="12.28515625" style="286" customWidth="1"/>
    <col min="4707" max="4707" width="12" style="286" customWidth="1"/>
    <col min="4708" max="4708" width="9.85546875" style="286" customWidth="1"/>
    <col min="4709" max="4709" width="11" style="286" customWidth="1"/>
    <col min="4710" max="4710" width="12.28515625" style="286" customWidth="1"/>
    <col min="4711" max="4711" width="12" style="286" customWidth="1"/>
    <col min="4712" max="4712" width="9.85546875" style="286" customWidth="1"/>
    <col min="4713" max="4713" width="11" style="286" customWidth="1"/>
    <col min="4714" max="4714" width="12.28515625" style="286" customWidth="1"/>
    <col min="4715" max="4715" width="12" style="286" customWidth="1"/>
    <col min="4716" max="4716" width="9.85546875" style="286" customWidth="1"/>
    <col min="4717" max="4717" width="11" style="286" customWidth="1"/>
    <col min="4718" max="4718" width="12.28515625" style="286" customWidth="1"/>
    <col min="4719" max="4719" width="12" style="286" customWidth="1"/>
    <col min="4720" max="4720" width="9.85546875" style="286" customWidth="1"/>
    <col min="4721" max="4721" width="11" style="286" customWidth="1"/>
    <col min="4722" max="4722" width="12.28515625" style="286" customWidth="1"/>
    <col min="4723" max="4723" width="12" style="286" customWidth="1"/>
    <col min="4724" max="4724" width="9.85546875" style="286" customWidth="1"/>
    <col min="4725" max="4725" width="11" style="286" customWidth="1"/>
    <col min="4726" max="4726" width="12.28515625" style="286" customWidth="1"/>
    <col min="4727" max="4727" width="12" style="286" customWidth="1"/>
    <col min="4728" max="4728" width="9.85546875" style="286" customWidth="1"/>
    <col min="4729" max="4729" width="11" style="286" customWidth="1"/>
    <col min="4730" max="4730" width="12.28515625" style="286" customWidth="1"/>
    <col min="4731" max="4731" width="12" style="286" customWidth="1"/>
    <col min="4732" max="4732" width="9.85546875" style="286" customWidth="1"/>
    <col min="4733" max="4733" width="11" style="286" customWidth="1"/>
    <col min="4734" max="4734" width="12.28515625" style="286" customWidth="1"/>
    <col min="4735" max="4735" width="12" style="286" customWidth="1"/>
    <col min="4736" max="4736" width="9.85546875" style="286" customWidth="1"/>
    <col min="4737" max="4737" width="11" style="286" customWidth="1"/>
    <col min="4738" max="4738" width="12.28515625" style="286" customWidth="1"/>
    <col min="4739" max="4739" width="12" style="286" customWidth="1"/>
    <col min="4740" max="4740" width="9.85546875" style="286" customWidth="1"/>
    <col min="4741" max="4741" width="11" style="286" customWidth="1"/>
    <col min="4742" max="4742" width="12.28515625" style="286" customWidth="1"/>
    <col min="4743" max="4743" width="12" style="286" customWidth="1"/>
    <col min="4744" max="4744" width="9.85546875" style="286" customWidth="1"/>
    <col min="4745" max="4745" width="11" style="286" customWidth="1"/>
    <col min="4746" max="4746" width="12.28515625" style="286" customWidth="1"/>
    <col min="4747" max="4747" width="12" style="286" customWidth="1"/>
    <col min="4748" max="4748" width="9.85546875" style="286" customWidth="1"/>
    <col min="4749" max="4749" width="11" style="286" customWidth="1"/>
    <col min="4750" max="4750" width="12.28515625" style="286" customWidth="1"/>
    <col min="4751" max="4751" width="12" style="286" customWidth="1"/>
    <col min="4752" max="4752" width="9.85546875" style="286" customWidth="1"/>
    <col min="4753" max="4753" width="11" style="286" customWidth="1"/>
    <col min="4754" max="4754" width="12.28515625" style="286" customWidth="1"/>
    <col min="4755" max="4755" width="12" style="286" customWidth="1"/>
    <col min="4756" max="4756" width="9.85546875" style="286" customWidth="1"/>
    <col min="4757" max="4757" width="11" style="286" customWidth="1"/>
    <col min="4758" max="4758" width="12.28515625" style="286" customWidth="1"/>
    <col min="4759" max="4759" width="12" style="286" customWidth="1"/>
    <col min="4760" max="4760" width="9.85546875" style="286" customWidth="1"/>
    <col min="4761" max="4761" width="11.7109375" style="286" customWidth="1"/>
    <col min="4762" max="4762" width="10.85546875" style="286" customWidth="1"/>
    <col min="4763" max="4763" width="11.7109375" style="286" customWidth="1"/>
    <col min="4764" max="4764" width="9" style="286" customWidth="1"/>
    <col min="4765" max="4765" width="11" style="286" customWidth="1"/>
    <col min="4766" max="4766" width="12.28515625" style="286" customWidth="1"/>
    <col min="4767" max="4767" width="12" style="286" customWidth="1"/>
    <col min="4768" max="4768" width="9.85546875" style="286" customWidth="1"/>
    <col min="4769" max="4769" width="11" style="286" customWidth="1"/>
    <col min="4770" max="4770" width="12.28515625" style="286" customWidth="1"/>
    <col min="4771" max="4771" width="12" style="286" customWidth="1"/>
    <col min="4772" max="4772" width="9.85546875" style="286" customWidth="1"/>
    <col min="4773" max="4773" width="11" style="286" customWidth="1"/>
    <col min="4774" max="4774" width="12.28515625" style="286" customWidth="1"/>
    <col min="4775" max="4775" width="12" style="286" customWidth="1"/>
    <col min="4776" max="4776" width="9.85546875" style="286" customWidth="1"/>
    <col min="4777" max="4780" width="0" style="286" hidden="1" customWidth="1"/>
    <col min="4781" max="4781" width="11" style="286" customWidth="1"/>
    <col min="4782" max="4782" width="12.28515625" style="286" customWidth="1"/>
    <col min="4783" max="4783" width="12" style="286" customWidth="1"/>
    <col min="4784" max="4784" width="9.85546875" style="286" customWidth="1"/>
    <col min="4785" max="4785" width="11" style="286" customWidth="1"/>
    <col min="4786" max="4786" width="12.28515625" style="286" customWidth="1"/>
    <col min="4787" max="4787" width="12" style="286" customWidth="1"/>
    <col min="4788" max="4788" width="9.85546875" style="286" customWidth="1"/>
    <col min="4789" max="4789" width="11" style="286" customWidth="1"/>
    <col min="4790" max="4790" width="12.28515625" style="286" customWidth="1"/>
    <col min="4791" max="4791" width="12" style="286" customWidth="1"/>
    <col min="4792" max="4792" width="9.85546875" style="286" customWidth="1"/>
    <col min="4793" max="4793" width="11" style="286" customWidth="1"/>
    <col min="4794" max="4794" width="12.28515625" style="286" customWidth="1"/>
    <col min="4795" max="4795" width="12" style="286" customWidth="1"/>
    <col min="4796" max="4796" width="9.85546875" style="286" customWidth="1"/>
    <col min="4797" max="4797" width="11" style="286" customWidth="1"/>
    <col min="4798" max="4798" width="12.28515625" style="286" customWidth="1"/>
    <col min="4799" max="4799" width="12" style="286" customWidth="1"/>
    <col min="4800" max="4800" width="9.85546875" style="286" customWidth="1"/>
    <col min="4801" max="4801" width="11" style="286" customWidth="1"/>
    <col min="4802" max="4802" width="12.28515625" style="286" customWidth="1"/>
    <col min="4803" max="4803" width="12" style="286" customWidth="1"/>
    <col min="4804" max="4804" width="9.85546875" style="286" customWidth="1"/>
    <col min="4805" max="4805" width="11" style="286" customWidth="1"/>
    <col min="4806" max="4806" width="12.28515625" style="286" customWidth="1"/>
    <col min="4807" max="4807" width="12" style="286" customWidth="1"/>
    <col min="4808" max="4808" width="9.85546875" style="286" customWidth="1"/>
    <col min="4809" max="4809" width="11" style="286" customWidth="1"/>
    <col min="4810" max="4810" width="12.28515625" style="286" customWidth="1"/>
    <col min="4811" max="4811" width="12" style="286" customWidth="1"/>
    <col min="4812" max="4812" width="9.85546875" style="286" customWidth="1"/>
    <col min="4813" max="4813" width="11" style="286" customWidth="1"/>
    <col min="4814" max="4814" width="12.28515625" style="286" customWidth="1"/>
    <col min="4815" max="4815" width="12" style="286" customWidth="1"/>
    <col min="4816" max="4816" width="9.85546875" style="286" customWidth="1"/>
    <col min="4817" max="4831" width="0" style="286" hidden="1" customWidth="1"/>
    <col min="4832" max="4832" width="9.85546875" style="286" customWidth="1"/>
    <col min="4833" max="4833" width="10.42578125" style="286" customWidth="1"/>
    <col min="4834" max="4834" width="9" style="286" customWidth="1"/>
    <col min="4835" max="4835" width="11.28515625" style="286" customWidth="1"/>
    <col min="4836" max="4836" width="10.140625" style="286" customWidth="1"/>
    <col min="4837" max="4837" width="10.7109375" style="286" customWidth="1"/>
    <col min="4838" max="4838" width="9.28515625" style="286"/>
    <col min="4839" max="4840" width="9.140625" style="286" customWidth="1"/>
    <col min="4841" max="4864" width="9.28515625" style="286"/>
    <col min="4865" max="4865" width="4.28515625" style="286" customWidth="1"/>
    <col min="4866" max="4866" width="5.42578125" style="286" customWidth="1"/>
    <col min="4867" max="4867" width="41.5703125" style="286" customWidth="1"/>
    <col min="4868" max="4868" width="7.42578125" style="286" customWidth="1"/>
    <col min="4869" max="4869" width="13.140625" style="286" customWidth="1"/>
    <col min="4870" max="4870" width="11.7109375" style="286" customWidth="1"/>
    <col min="4871" max="4871" width="14.7109375" style="286" customWidth="1"/>
    <col min="4872" max="4872" width="11.7109375" style="286" customWidth="1"/>
    <col min="4873" max="4873" width="12" style="286" customWidth="1"/>
    <col min="4874" max="4874" width="9.7109375" style="286" customWidth="1"/>
    <col min="4875" max="4876" width="9.42578125" style="286" customWidth="1"/>
    <col min="4877" max="4877" width="10.7109375" style="286" customWidth="1"/>
    <col min="4878" max="4878" width="13.42578125" style="286" customWidth="1"/>
    <col min="4879" max="4879" width="12" style="286" customWidth="1"/>
    <col min="4880" max="4880" width="11" style="286" customWidth="1"/>
    <col min="4881" max="4881" width="10.5703125" style="286" customWidth="1"/>
    <col min="4882" max="4882" width="10.42578125" style="286" customWidth="1"/>
    <col min="4883" max="4883" width="10.7109375" style="286" customWidth="1"/>
    <col min="4884" max="4885" width="11.140625" style="286" customWidth="1"/>
    <col min="4886" max="4886" width="10.5703125" style="286" customWidth="1"/>
    <col min="4887" max="4887" width="10.85546875" style="286" customWidth="1"/>
    <col min="4888" max="4888" width="9.85546875" style="286" customWidth="1"/>
    <col min="4889" max="4889" width="11" style="286" customWidth="1"/>
    <col min="4890" max="4890" width="11.42578125" style="286" customWidth="1"/>
    <col min="4891" max="4891" width="12" style="286" customWidth="1"/>
    <col min="4892" max="4892" width="9.85546875" style="286" customWidth="1"/>
    <col min="4893" max="4893" width="10.5703125" style="286" customWidth="1"/>
    <col min="4894" max="4894" width="11.140625" style="286" customWidth="1"/>
    <col min="4895" max="4895" width="11.42578125" style="286" customWidth="1"/>
    <col min="4896" max="4900" width="9.85546875" style="286" customWidth="1"/>
    <col min="4901" max="4903" width="11.7109375" style="286" customWidth="1"/>
    <col min="4904" max="4904" width="9.85546875" style="286" customWidth="1"/>
    <col min="4905" max="4905" width="11" style="286" customWidth="1"/>
    <col min="4906" max="4906" width="11.42578125" style="286" customWidth="1"/>
    <col min="4907" max="4907" width="11.140625" style="286" customWidth="1"/>
    <col min="4908" max="4908" width="10.42578125" style="286" customWidth="1"/>
    <col min="4909" max="4909" width="11.5703125" style="286" customWidth="1"/>
    <col min="4910" max="4911" width="11.140625" style="286" customWidth="1"/>
    <col min="4912" max="4924" width="9.85546875" style="286" customWidth="1"/>
    <col min="4925" max="4925" width="10.5703125" style="286" customWidth="1"/>
    <col min="4926" max="4926" width="12.42578125" style="286" customWidth="1"/>
    <col min="4927" max="4927" width="10.140625" style="286" customWidth="1"/>
    <col min="4928" max="4928" width="9.140625" style="286" customWidth="1"/>
    <col min="4929" max="4929" width="9" style="286" customWidth="1"/>
    <col min="4930" max="4931" width="9.7109375" style="286" customWidth="1"/>
    <col min="4932" max="4932" width="8.42578125" style="286" customWidth="1"/>
    <col min="4933" max="4933" width="11.7109375" style="286" customWidth="1"/>
    <col min="4934" max="4934" width="10.85546875" style="286" customWidth="1"/>
    <col min="4935" max="4935" width="11.7109375" style="286" customWidth="1"/>
    <col min="4936" max="4936" width="9" style="286" customWidth="1"/>
    <col min="4937" max="4937" width="11" style="286" customWidth="1"/>
    <col min="4938" max="4938" width="10.5703125" style="286" customWidth="1"/>
    <col min="4939" max="4939" width="11.7109375" style="286" customWidth="1"/>
    <col min="4940" max="4941" width="11" style="286" customWidth="1"/>
    <col min="4942" max="4944" width="11.140625" style="286" customWidth="1"/>
    <col min="4945" max="4945" width="8.7109375" style="286" customWidth="1"/>
    <col min="4946" max="4946" width="11.140625" style="286" customWidth="1"/>
    <col min="4947" max="4947" width="9.28515625" style="286"/>
    <col min="4948" max="4948" width="11.140625" style="286" customWidth="1"/>
    <col min="4949" max="4949" width="10.5703125" style="286" customWidth="1"/>
    <col min="4950" max="4950" width="12.28515625" style="286" customWidth="1"/>
    <col min="4951" max="4951" width="12" style="286" customWidth="1"/>
    <col min="4952" max="4952" width="9.85546875" style="286" customWidth="1"/>
    <col min="4953" max="4953" width="11" style="286" customWidth="1"/>
    <col min="4954" max="4954" width="12.28515625" style="286" customWidth="1"/>
    <col min="4955" max="4955" width="12" style="286" customWidth="1"/>
    <col min="4956" max="4956" width="9.85546875" style="286" customWidth="1"/>
    <col min="4957" max="4957" width="11" style="286" customWidth="1"/>
    <col min="4958" max="4958" width="12.28515625" style="286" customWidth="1"/>
    <col min="4959" max="4959" width="12" style="286" customWidth="1"/>
    <col min="4960" max="4960" width="9.85546875" style="286" customWidth="1"/>
    <col min="4961" max="4961" width="11" style="286" customWidth="1"/>
    <col min="4962" max="4962" width="12.28515625" style="286" customWidth="1"/>
    <col min="4963" max="4963" width="12" style="286" customWidth="1"/>
    <col min="4964" max="4964" width="9.85546875" style="286" customWidth="1"/>
    <col min="4965" max="4965" width="11" style="286" customWidth="1"/>
    <col min="4966" max="4966" width="12.28515625" style="286" customWidth="1"/>
    <col min="4967" max="4967" width="12" style="286" customWidth="1"/>
    <col min="4968" max="4968" width="9.85546875" style="286" customWidth="1"/>
    <col min="4969" max="4969" width="11" style="286" customWidth="1"/>
    <col min="4970" max="4970" width="12.28515625" style="286" customWidth="1"/>
    <col min="4971" max="4971" width="12" style="286" customWidth="1"/>
    <col min="4972" max="4972" width="9.85546875" style="286" customWidth="1"/>
    <col min="4973" max="4973" width="11" style="286" customWidth="1"/>
    <col min="4974" max="4974" width="12.28515625" style="286" customWidth="1"/>
    <col min="4975" max="4975" width="12" style="286" customWidth="1"/>
    <col min="4976" max="4976" width="9.85546875" style="286" customWidth="1"/>
    <col min="4977" max="4977" width="11" style="286" customWidth="1"/>
    <col min="4978" max="4978" width="12.28515625" style="286" customWidth="1"/>
    <col min="4979" max="4979" width="12" style="286" customWidth="1"/>
    <col min="4980" max="4980" width="9.85546875" style="286" customWidth="1"/>
    <col min="4981" max="4981" width="11" style="286" customWidth="1"/>
    <col min="4982" max="4982" width="12.28515625" style="286" customWidth="1"/>
    <col min="4983" max="4983" width="12" style="286" customWidth="1"/>
    <col min="4984" max="4984" width="9.85546875" style="286" customWidth="1"/>
    <col min="4985" max="4985" width="11" style="286" customWidth="1"/>
    <col min="4986" max="4986" width="12.28515625" style="286" customWidth="1"/>
    <col min="4987" max="4987" width="12" style="286" customWidth="1"/>
    <col min="4988" max="4988" width="9.85546875" style="286" customWidth="1"/>
    <col min="4989" max="4989" width="11" style="286" customWidth="1"/>
    <col min="4990" max="4990" width="12.28515625" style="286" customWidth="1"/>
    <col min="4991" max="4991" width="12" style="286" customWidth="1"/>
    <col min="4992" max="4992" width="9.85546875" style="286" customWidth="1"/>
    <col min="4993" max="4993" width="11" style="286" customWidth="1"/>
    <col min="4994" max="4994" width="12.28515625" style="286" customWidth="1"/>
    <col min="4995" max="4995" width="12" style="286" customWidth="1"/>
    <col min="4996" max="4996" width="9.85546875" style="286" customWidth="1"/>
    <col min="4997" max="4997" width="11" style="286" customWidth="1"/>
    <col min="4998" max="4998" width="12.28515625" style="286" customWidth="1"/>
    <col min="4999" max="4999" width="12" style="286" customWidth="1"/>
    <col min="5000" max="5000" width="9.85546875" style="286" customWidth="1"/>
    <col min="5001" max="5001" width="11" style="286" customWidth="1"/>
    <col min="5002" max="5002" width="12.28515625" style="286" customWidth="1"/>
    <col min="5003" max="5003" width="12" style="286" customWidth="1"/>
    <col min="5004" max="5004" width="9.85546875" style="286" customWidth="1"/>
    <col min="5005" max="5005" width="11" style="286" customWidth="1"/>
    <col min="5006" max="5006" width="12.28515625" style="286" customWidth="1"/>
    <col min="5007" max="5007" width="12" style="286" customWidth="1"/>
    <col min="5008" max="5008" width="9.85546875" style="286" customWidth="1"/>
    <col min="5009" max="5009" width="11" style="286" customWidth="1"/>
    <col min="5010" max="5010" width="12.28515625" style="286" customWidth="1"/>
    <col min="5011" max="5011" width="12" style="286" customWidth="1"/>
    <col min="5012" max="5012" width="9.85546875" style="286" customWidth="1"/>
    <col min="5013" max="5013" width="11" style="286" customWidth="1"/>
    <col min="5014" max="5014" width="12.28515625" style="286" customWidth="1"/>
    <col min="5015" max="5015" width="12" style="286" customWidth="1"/>
    <col min="5016" max="5016" width="9.85546875" style="286" customWidth="1"/>
    <col min="5017" max="5017" width="11.7109375" style="286" customWidth="1"/>
    <col min="5018" max="5018" width="10.85546875" style="286" customWidth="1"/>
    <col min="5019" max="5019" width="11.7109375" style="286" customWidth="1"/>
    <col min="5020" max="5020" width="9" style="286" customWidth="1"/>
    <col min="5021" max="5021" width="11" style="286" customWidth="1"/>
    <col min="5022" max="5022" width="12.28515625" style="286" customWidth="1"/>
    <col min="5023" max="5023" width="12" style="286" customWidth="1"/>
    <col min="5024" max="5024" width="9.85546875" style="286" customWidth="1"/>
    <col min="5025" max="5025" width="11" style="286" customWidth="1"/>
    <col min="5026" max="5026" width="12.28515625" style="286" customWidth="1"/>
    <col min="5027" max="5027" width="12" style="286" customWidth="1"/>
    <col min="5028" max="5028" width="9.85546875" style="286" customWidth="1"/>
    <col min="5029" max="5029" width="11" style="286" customWidth="1"/>
    <col min="5030" max="5030" width="12.28515625" style="286" customWidth="1"/>
    <col min="5031" max="5031" width="12" style="286" customWidth="1"/>
    <col min="5032" max="5032" width="9.85546875" style="286" customWidth="1"/>
    <col min="5033" max="5036" width="0" style="286" hidden="1" customWidth="1"/>
    <col min="5037" max="5037" width="11" style="286" customWidth="1"/>
    <col min="5038" max="5038" width="12.28515625" style="286" customWidth="1"/>
    <col min="5039" max="5039" width="12" style="286" customWidth="1"/>
    <col min="5040" max="5040" width="9.85546875" style="286" customWidth="1"/>
    <col min="5041" max="5041" width="11" style="286" customWidth="1"/>
    <col min="5042" max="5042" width="12.28515625" style="286" customWidth="1"/>
    <col min="5043" max="5043" width="12" style="286" customWidth="1"/>
    <col min="5044" max="5044" width="9.85546875" style="286" customWidth="1"/>
    <col min="5045" max="5045" width="11" style="286" customWidth="1"/>
    <col min="5046" max="5046" width="12.28515625" style="286" customWidth="1"/>
    <col min="5047" max="5047" width="12" style="286" customWidth="1"/>
    <col min="5048" max="5048" width="9.85546875" style="286" customWidth="1"/>
    <col min="5049" max="5049" width="11" style="286" customWidth="1"/>
    <col min="5050" max="5050" width="12.28515625" style="286" customWidth="1"/>
    <col min="5051" max="5051" width="12" style="286" customWidth="1"/>
    <col min="5052" max="5052" width="9.85546875" style="286" customWidth="1"/>
    <col min="5053" max="5053" width="11" style="286" customWidth="1"/>
    <col min="5054" max="5054" width="12.28515625" style="286" customWidth="1"/>
    <col min="5055" max="5055" width="12" style="286" customWidth="1"/>
    <col min="5056" max="5056" width="9.85546875" style="286" customWidth="1"/>
    <col min="5057" max="5057" width="11" style="286" customWidth="1"/>
    <col min="5058" max="5058" width="12.28515625" style="286" customWidth="1"/>
    <col min="5059" max="5059" width="12" style="286" customWidth="1"/>
    <col min="5060" max="5060" width="9.85546875" style="286" customWidth="1"/>
    <col min="5061" max="5061" width="11" style="286" customWidth="1"/>
    <col min="5062" max="5062" width="12.28515625" style="286" customWidth="1"/>
    <col min="5063" max="5063" width="12" style="286" customWidth="1"/>
    <col min="5064" max="5064" width="9.85546875" style="286" customWidth="1"/>
    <col min="5065" max="5065" width="11" style="286" customWidth="1"/>
    <col min="5066" max="5066" width="12.28515625" style="286" customWidth="1"/>
    <col min="5067" max="5067" width="12" style="286" customWidth="1"/>
    <col min="5068" max="5068" width="9.85546875" style="286" customWidth="1"/>
    <col min="5069" max="5069" width="11" style="286" customWidth="1"/>
    <col min="5070" max="5070" width="12.28515625" style="286" customWidth="1"/>
    <col min="5071" max="5071" width="12" style="286" customWidth="1"/>
    <col min="5072" max="5072" width="9.85546875" style="286" customWidth="1"/>
    <col min="5073" max="5087" width="0" style="286" hidden="1" customWidth="1"/>
    <col min="5088" max="5088" width="9.85546875" style="286" customWidth="1"/>
    <col min="5089" max="5089" width="10.42578125" style="286" customWidth="1"/>
    <col min="5090" max="5090" width="9" style="286" customWidth="1"/>
    <col min="5091" max="5091" width="11.28515625" style="286" customWidth="1"/>
    <col min="5092" max="5092" width="10.140625" style="286" customWidth="1"/>
    <col min="5093" max="5093" width="10.7109375" style="286" customWidth="1"/>
    <col min="5094" max="5094" width="9.28515625" style="286"/>
    <col min="5095" max="5096" width="9.140625" style="286" customWidth="1"/>
    <col min="5097" max="5120" width="9.28515625" style="286"/>
    <col min="5121" max="5121" width="4.28515625" style="286" customWidth="1"/>
    <col min="5122" max="5122" width="5.42578125" style="286" customWidth="1"/>
    <col min="5123" max="5123" width="41.5703125" style="286" customWidth="1"/>
    <col min="5124" max="5124" width="7.42578125" style="286" customWidth="1"/>
    <col min="5125" max="5125" width="13.140625" style="286" customWidth="1"/>
    <col min="5126" max="5126" width="11.7109375" style="286" customWidth="1"/>
    <col min="5127" max="5127" width="14.7109375" style="286" customWidth="1"/>
    <col min="5128" max="5128" width="11.7109375" style="286" customWidth="1"/>
    <col min="5129" max="5129" width="12" style="286" customWidth="1"/>
    <col min="5130" max="5130" width="9.7109375" style="286" customWidth="1"/>
    <col min="5131" max="5132" width="9.42578125" style="286" customWidth="1"/>
    <col min="5133" max="5133" width="10.7109375" style="286" customWidth="1"/>
    <col min="5134" max="5134" width="13.42578125" style="286" customWidth="1"/>
    <col min="5135" max="5135" width="12" style="286" customWidth="1"/>
    <col min="5136" max="5136" width="11" style="286" customWidth="1"/>
    <col min="5137" max="5137" width="10.5703125" style="286" customWidth="1"/>
    <col min="5138" max="5138" width="10.42578125" style="286" customWidth="1"/>
    <col min="5139" max="5139" width="10.7109375" style="286" customWidth="1"/>
    <col min="5140" max="5141" width="11.140625" style="286" customWidth="1"/>
    <col min="5142" max="5142" width="10.5703125" style="286" customWidth="1"/>
    <col min="5143" max="5143" width="10.85546875" style="286" customWidth="1"/>
    <col min="5144" max="5144" width="9.85546875" style="286" customWidth="1"/>
    <col min="5145" max="5145" width="11" style="286" customWidth="1"/>
    <col min="5146" max="5146" width="11.42578125" style="286" customWidth="1"/>
    <col min="5147" max="5147" width="12" style="286" customWidth="1"/>
    <col min="5148" max="5148" width="9.85546875" style="286" customWidth="1"/>
    <col min="5149" max="5149" width="10.5703125" style="286" customWidth="1"/>
    <col min="5150" max="5150" width="11.140625" style="286" customWidth="1"/>
    <col min="5151" max="5151" width="11.42578125" style="286" customWidth="1"/>
    <col min="5152" max="5156" width="9.85546875" style="286" customWidth="1"/>
    <col min="5157" max="5159" width="11.7109375" style="286" customWidth="1"/>
    <col min="5160" max="5160" width="9.85546875" style="286" customWidth="1"/>
    <col min="5161" max="5161" width="11" style="286" customWidth="1"/>
    <col min="5162" max="5162" width="11.42578125" style="286" customWidth="1"/>
    <col min="5163" max="5163" width="11.140625" style="286" customWidth="1"/>
    <col min="5164" max="5164" width="10.42578125" style="286" customWidth="1"/>
    <col min="5165" max="5165" width="11.5703125" style="286" customWidth="1"/>
    <col min="5166" max="5167" width="11.140625" style="286" customWidth="1"/>
    <col min="5168" max="5180" width="9.85546875" style="286" customWidth="1"/>
    <col min="5181" max="5181" width="10.5703125" style="286" customWidth="1"/>
    <col min="5182" max="5182" width="12.42578125" style="286" customWidth="1"/>
    <col min="5183" max="5183" width="10.140625" style="286" customWidth="1"/>
    <col min="5184" max="5184" width="9.140625" style="286" customWidth="1"/>
    <col min="5185" max="5185" width="9" style="286" customWidth="1"/>
    <col min="5186" max="5187" width="9.7109375" style="286" customWidth="1"/>
    <col min="5188" max="5188" width="8.42578125" style="286" customWidth="1"/>
    <col min="5189" max="5189" width="11.7109375" style="286" customWidth="1"/>
    <col min="5190" max="5190" width="10.85546875" style="286" customWidth="1"/>
    <col min="5191" max="5191" width="11.7109375" style="286" customWidth="1"/>
    <col min="5192" max="5192" width="9" style="286" customWidth="1"/>
    <col min="5193" max="5193" width="11" style="286" customWidth="1"/>
    <col min="5194" max="5194" width="10.5703125" style="286" customWidth="1"/>
    <col min="5195" max="5195" width="11.7109375" style="286" customWidth="1"/>
    <col min="5196" max="5197" width="11" style="286" customWidth="1"/>
    <col min="5198" max="5200" width="11.140625" style="286" customWidth="1"/>
    <col min="5201" max="5201" width="8.7109375" style="286" customWidth="1"/>
    <col min="5202" max="5202" width="11.140625" style="286" customWidth="1"/>
    <col min="5203" max="5203" width="9.28515625" style="286"/>
    <col min="5204" max="5204" width="11.140625" style="286" customWidth="1"/>
    <col min="5205" max="5205" width="10.5703125" style="286" customWidth="1"/>
    <col min="5206" max="5206" width="12.28515625" style="286" customWidth="1"/>
    <col min="5207" max="5207" width="12" style="286" customWidth="1"/>
    <col min="5208" max="5208" width="9.85546875" style="286" customWidth="1"/>
    <col min="5209" max="5209" width="11" style="286" customWidth="1"/>
    <col min="5210" max="5210" width="12.28515625" style="286" customWidth="1"/>
    <col min="5211" max="5211" width="12" style="286" customWidth="1"/>
    <col min="5212" max="5212" width="9.85546875" style="286" customWidth="1"/>
    <col min="5213" max="5213" width="11" style="286" customWidth="1"/>
    <col min="5214" max="5214" width="12.28515625" style="286" customWidth="1"/>
    <col min="5215" max="5215" width="12" style="286" customWidth="1"/>
    <col min="5216" max="5216" width="9.85546875" style="286" customWidth="1"/>
    <col min="5217" max="5217" width="11" style="286" customWidth="1"/>
    <col min="5218" max="5218" width="12.28515625" style="286" customWidth="1"/>
    <col min="5219" max="5219" width="12" style="286" customWidth="1"/>
    <col min="5220" max="5220" width="9.85546875" style="286" customWidth="1"/>
    <col min="5221" max="5221" width="11" style="286" customWidth="1"/>
    <col min="5222" max="5222" width="12.28515625" style="286" customWidth="1"/>
    <col min="5223" max="5223" width="12" style="286" customWidth="1"/>
    <col min="5224" max="5224" width="9.85546875" style="286" customWidth="1"/>
    <col min="5225" max="5225" width="11" style="286" customWidth="1"/>
    <col min="5226" max="5226" width="12.28515625" style="286" customWidth="1"/>
    <col min="5227" max="5227" width="12" style="286" customWidth="1"/>
    <col min="5228" max="5228" width="9.85546875" style="286" customWidth="1"/>
    <col min="5229" max="5229" width="11" style="286" customWidth="1"/>
    <col min="5230" max="5230" width="12.28515625" style="286" customWidth="1"/>
    <col min="5231" max="5231" width="12" style="286" customWidth="1"/>
    <col min="5232" max="5232" width="9.85546875" style="286" customWidth="1"/>
    <col min="5233" max="5233" width="11" style="286" customWidth="1"/>
    <col min="5234" max="5234" width="12.28515625" style="286" customWidth="1"/>
    <col min="5235" max="5235" width="12" style="286" customWidth="1"/>
    <col min="5236" max="5236" width="9.85546875" style="286" customWidth="1"/>
    <col min="5237" max="5237" width="11" style="286" customWidth="1"/>
    <col min="5238" max="5238" width="12.28515625" style="286" customWidth="1"/>
    <col min="5239" max="5239" width="12" style="286" customWidth="1"/>
    <col min="5240" max="5240" width="9.85546875" style="286" customWidth="1"/>
    <col min="5241" max="5241" width="11" style="286" customWidth="1"/>
    <col min="5242" max="5242" width="12.28515625" style="286" customWidth="1"/>
    <col min="5243" max="5243" width="12" style="286" customWidth="1"/>
    <col min="5244" max="5244" width="9.85546875" style="286" customWidth="1"/>
    <col min="5245" max="5245" width="11" style="286" customWidth="1"/>
    <col min="5246" max="5246" width="12.28515625" style="286" customWidth="1"/>
    <col min="5247" max="5247" width="12" style="286" customWidth="1"/>
    <col min="5248" max="5248" width="9.85546875" style="286" customWidth="1"/>
    <col min="5249" max="5249" width="11" style="286" customWidth="1"/>
    <col min="5250" max="5250" width="12.28515625" style="286" customWidth="1"/>
    <col min="5251" max="5251" width="12" style="286" customWidth="1"/>
    <col min="5252" max="5252" width="9.85546875" style="286" customWidth="1"/>
    <col min="5253" max="5253" width="11" style="286" customWidth="1"/>
    <col min="5254" max="5254" width="12.28515625" style="286" customWidth="1"/>
    <col min="5255" max="5255" width="12" style="286" customWidth="1"/>
    <col min="5256" max="5256" width="9.85546875" style="286" customWidth="1"/>
    <col min="5257" max="5257" width="11" style="286" customWidth="1"/>
    <col min="5258" max="5258" width="12.28515625" style="286" customWidth="1"/>
    <col min="5259" max="5259" width="12" style="286" customWidth="1"/>
    <col min="5260" max="5260" width="9.85546875" style="286" customWidth="1"/>
    <col min="5261" max="5261" width="11" style="286" customWidth="1"/>
    <col min="5262" max="5262" width="12.28515625" style="286" customWidth="1"/>
    <col min="5263" max="5263" width="12" style="286" customWidth="1"/>
    <col min="5264" max="5264" width="9.85546875" style="286" customWidth="1"/>
    <col min="5265" max="5265" width="11" style="286" customWidth="1"/>
    <col min="5266" max="5266" width="12.28515625" style="286" customWidth="1"/>
    <col min="5267" max="5267" width="12" style="286" customWidth="1"/>
    <col min="5268" max="5268" width="9.85546875" style="286" customWidth="1"/>
    <col min="5269" max="5269" width="11" style="286" customWidth="1"/>
    <col min="5270" max="5270" width="12.28515625" style="286" customWidth="1"/>
    <col min="5271" max="5271" width="12" style="286" customWidth="1"/>
    <col min="5272" max="5272" width="9.85546875" style="286" customWidth="1"/>
    <col min="5273" max="5273" width="11.7109375" style="286" customWidth="1"/>
    <col min="5274" max="5274" width="10.85546875" style="286" customWidth="1"/>
    <col min="5275" max="5275" width="11.7109375" style="286" customWidth="1"/>
    <col min="5276" max="5276" width="9" style="286" customWidth="1"/>
    <col min="5277" max="5277" width="11" style="286" customWidth="1"/>
    <col min="5278" max="5278" width="12.28515625" style="286" customWidth="1"/>
    <col min="5279" max="5279" width="12" style="286" customWidth="1"/>
    <col min="5280" max="5280" width="9.85546875" style="286" customWidth="1"/>
    <col min="5281" max="5281" width="11" style="286" customWidth="1"/>
    <col min="5282" max="5282" width="12.28515625" style="286" customWidth="1"/>
    <col min="5283" max="5283" width="12" style="286" customWidth="1"/>
    <col min="5284" max="5284" width="9.85546875" style="286" customWidth="1"/>
    <col min="5285" max="5285" width="11" style="286" customWidth="1"/>
    <col min="5286" max="5286" width="12.28515625" style="286" customWidth="1"/>
    <col min="5287" max="5287" width="12" style="286" customWidth="1"/>
    <col min="5288" max="5288" width="9.85546875" style="286" customWidth="1"/>
    <col min="5289" max="5292" width="0" style="286" hidden="1" customWidth="1"/>
    <col min="5293" max="5293" width="11" style="286" customWidth="1"/>
    <col min="5294" max="5294" width="12.28515625" style="286" customWidth="1"/>
    <col min="5295" max="5295" width="12" style="286" customWidth="1"/>
    <col min="5296" max="5296" width="9.85546875" style="286" customWidth="1"/>
    <col min="5297" max="5297" width="11" style="286" customWidth="1"/>
    <col min="5298" max="5298" width="12.28515625" style="286" customWidth="1"/>
    <col min="5299" max="5299" width="12" style="286" customWidth="1"/>
    <col min="5300" max="5300" width="9.85546875" style="286" customWidth="1"/>
    <col min="5301" max="5301" width="11" style="286" customWidth="1"/>
    <col min="5302" max="5302" width="12.28515625" style="286" customWidth="1"/>
    <col min="5303" max="5303" width="12" style="286" customWidth="1"/>
    <col min="5304" max="5304" width="9.85546875" style="286" customWidth="1"/>
    <col min="5305" max="5305" width="11" style="286" customWidth="1"/>
    <col min="5306" max="5306" width="12.28515625" style="286" customWidth="1"/>
    <col min="5307" max="5307" width="12" style="286" customWidth="1"/>
    <col min="5308" max="5308" width="9.85546875" style="286" customWidth="1"/>
    <col min="5309" max="5309" width="11" style="286" customWidth="1"/>
    <col min="5310" max="5310" width="12.28515625" style="286" customWidth="1"/>
    <col min="5311" max="5311" width="12" style="286" customWidth="1"/>
    <col min="5312" max="5312" width="9.85546875" style="286" customWidth="1"/>
    <col min="5313" max="5313" width="11" style="286" customWidth="1"/>
    <col min="5314" max="5314" width="12.28515625" style="286" customWidth="1"/>
    <col min="5315" max="5315" width="12" style="286" customWidth="1"/>
    <col min="5316" max="5316" width="9.85546875" style="286" customWidth="1"/>
    <col min="5317" max="5317" width="11" style="286" customWidth="1"/>
    <col min="5318" max="5318" width="12.28515625" style="286" customWidth="1"/>
    <col min="5319" max="5319" width="12" style="286" customWidth="1"/>
    <col min="5320" max="5320" width="9.85546875" style="286" customWidth="1"/>
    <col min="5321" max="5321" width="11" style="286" customWidth="1"/>
    <col min="5322" max="5322" width="12.28515625" style="286" customWidth="1"/>
    <col min="5323" max="5323" width="12" style="286" customWidth="1"/>
    <col min="5324" max="5324" width="9.85546875" style="286" customWidth="1"/>
    <col min="5325" max="5325" width="11" style="286" customWidth="1"/>
    <col min="5326" max="5326" width="12.28515625" style="286" customWidth="1"/>
    <col min="5327" max="5327" width="12" style="286" customWidth="1"/>
    <col min="5328" max="5328" width="9.85546875" style="286" customWidth="1"/>
    <col min="5329" max="5343" width="0" style="286" hidden="1" customWidth="1"/>
    <col min="5344" max="5344" width="9.85546875" style="286" customWidth="1"/>
    <col min="5345" max="5345" width="10.42578125" style="286" customWidth="1"/>
    <col min="5346" max="5346" width="9" style="286" customWidth="1"/>
    <col min="5347" max="5347" width="11.28515625" style="286" customWidth="1"/>
    <col min="5348" max="5348" width="10.140625" style="286" customWidth="1"/>
    <col min="5349" max="5349" width="10.7109375" style="286" customWidth="1"/>
    <col min="5350" max="5350" width="9.28515625" style="286"/>
    <col min="5351" max="5352" width="9.140625" style="286" customWidth="1"/>
    <col min="5353" max="5376" width="9.28515625" style="286"/>
    <col min="5377" max="5377" width="4.28515625" style="286" customWidth="1"/>
    <col min="5378" max="5378" width="5.42578125" style="286" customWidth="1"/>
    <col min="5379" max="5379" width="41.5703125" style="286" customWidth="1"/>
    <col min="5380" max="5380" width="7.42578125" style="286" customWidth="1"/>
    <col min="5381" max="5381" width="13.140625" style="286" customWidth="1"/>
    <col min="5382" max="5382" width="11.7109375" style="286" customWidth="1"/>
    <col min="5383" max="5383" width="14.7109375" style="286" customWidth="1"/>
    <col min="5384" max="5384" width="11.7109375" style="286" customWidth="1"/>
    <col min="5385" max="5385" width="12" style="286" customWidth="1"/>
    <col min="5386" max="5386" width="9.7109375" style="286" customWidth="1"/>
    <col min="5387" max="5388" width="9.42578125" style="286" customWidth="1"/>
    <col min="5389" max="5389" width="10.7109375" style="286" customWidth="1"/>
    <col min="5390" max="5390" width="13.42578125" style="286" customWidth="1"/>
    <col min="5391" max="5391" width="12" style="286" customWidth="1"/>
    <col min="5392" max="5392" width="11" style="286" customWidth="1"/>
    <col min="5393" max="5393" width="10.5703125" style="286" customWidth="1"/>
    <col min="5394" max="5394" width="10.42578125" style="286" customWidth="1"/>
    <col min="5395" max="5395" width="10.7109375" style="286" customWidth="1"/>
    <col min="5396" max="5397" width="11.140625" style="286" customWidth="1"/>
    <col min="5398" max="5398" width="10.5703125" style="286" customWidth="1"/>
    <col min="5399" max="5399" width="10.85546875" style="286" customWidth="1"/>
    <col min="5400" max="5400" width="9.85546875" style="286" customWidth="1"/>
    <col min="5401" max="5401" width="11" style="286" customWidth="1"/>
    <col min="5402" max="5402" width="11.42578125" style="286" customWidth="1"/>
    <col min="5403" max="5403" width="12" style="286" customWidth="1"/>
    <col min="5404" max="5404" width="9.85546875" style="286" customWidth="1"/>
    <col min="5405" max="5405" width="10.5703125" style="286" customWidth="1"/>
    <col min="5406" max="5406" width="11.140625" style="286" customWidth="1"/>
    <col min="5407" max="5407" width="11.42578125" style="286" customWidth="1"/>
    <col min="5408" max="5412" width="9.85546875" style="286" customWidth="1"/>
    <col min="5413" max="5415" width="11.7109375" style="286" customWidth="1"/>
    <col min="5416" max="5416" width="9.85546875" style="286" customWidth="1"/>
    <col min="5417" max="5417" width="11" style="286" customWidth="1"/>
    <col min="5418" max="5418" width="11.42578125" style="286" customWidth="1"/>
    <col min="5419" max="5419" width="11.140625" style="286" customWidth="1"/>
    <col min="5420" max="5420" width="10.42578125" style="286" customWidth="1"/>
    <col min="5421" max="5421" width="11.5703125" style="286" customWidth="1"/>
    <col min="5422" max="5423" width="11.140625" style="286" customWidth="1"/>
    <col min="5424" max="5436" width="9.85546875" style="286" customWidth="1"/>
    <col min="5437" max="5437" width="10.5703125" style="286" customWidth="1"/>
    <col min="5438" max="5438" width="12.42578125" style="286" customWidth="1"/>
    <col min="5439" max="5439" width="10.140625" style="286" customWidth="1"/>
    <col min="5440" max="5440" width="9.140625" style="286" customWidth="1"/>
    <col min="5441" max="5441" width="9" style="286" customWidth="1"/>
    <col min="5442" max="5443" width="9.7109375" style="286" customWidth="1"/>
    <col min="5444" max="5444" width="8.42578125" style="286" customWidth="1"/>
    <col min="5445" max="5445" width="11.7109375" style="286" customWidth="1"/>
    <col min="5446" max="5446" width="10.85546875" style="286" customWidth="1"/>
    <col min="5447" max="5447" width="11.7109375" style="286" customWidth="1"/>
    <col min="5448" max="5448" width="9" style="286" customWidth="1"/>
    <col min="5449" max="5449" width="11" style="286" customWidth="1"/>
    <col min="5450" max="5450" width="10.5703125" style="286" customWidth="1"/>
    <col min="5451" max="5451" width="11.7109375" style="286" customWidth="1"/>
    <col min="5452" max="5453" width="11" style="286" customWidth="1"/>
    <col min="5454" max="5456" width="11.140625" style="286" customWidth="1"/>
    <col min="5457" max="5457" width="8.7109375" style="286" customWidth="1"/>
    <col min="5458" max="5458" width="11.140625" style="286" customWidth="1"/>
    <col min="5459" max="5459" width="9.28515625" style="286"/>
    <col min="5460" max="5460" width="11.140625" style="286" customWidth="1"/>
    <col min="5461" max="5461" width="10.5703125" style="286" customWidth="1"/>
    <col min="5462" max="5462" width="12.28515625" style="286" customWidth="1"/>
    <col min="5463" max="5463" width="12" style="286" customWidth="1"/>
    <col min="5464" max="5464" width="9.85546875" style="286" customWidth="1"/>
    <col min="5465" max="5465" width="11" style="286" customWidth="1"/>
    <col min="5466" max="5466" width="12.28515625" style="286" customWidth="1"/>
    <col min="5467" max="5467" width="12" style="286" customWidth="1"/>
    <col min="5468" max="5468" width="9.85546875" style="286" customWidth="1"/>
    <col min="5469" max="5469" width="11" style="286" customWidth="1"/>
    <col min="5470" max="5470" width="12.28515625" style="286" customWidth="1"/>
    <col min="5471" max="5471" width="12" style="286" customWidth="1"/>
    <col min="5472" max="5472" width="9.85546875" style="286" customWidth="1"/>
    <col min="5473" max="5473" width="11" style="286" customWidth="1"/>
    <col min="5474" max="5474" width="12.28515625" style="286" customWidth="1"/>
    <col min="5475" max="5475" width="12" style="286" customWidth="1"/>
    <col min="5476" max="5476" width="9.85546875" style="286" customWidth="1"/>
    <col min="5477" max="5477" width="11" style="286" customWidth="1"/>
    <col min="5478" max="5478" width="12.28515625" style="286" customWidth="1"/>
    <col min="5479" max="5479" width="12" style="286" customWidth="1"/>
    <col min="5480" max="5480" width="9.85546875" style="286" customWidth="1"/>
    <col min="5481" max="5481" width="11" style="286" customWidth="1"/>
    <col min="5482" max="5482" width="12.28515625" style="286" customWidth="1"/>
    <col min="5483" max="5483" width="12" style="286" customWidth="1"/>
    <col min="5484" max="5484" width="9.85546875" style="286" customWidth="1"/>
    <col min="5485" max="5485" width="11" style="286" customWidth="1"/>
    <col min="5486" max="5486" width="12.28515625" style="286" customWidth="1"/>
    <col min="5487" max="5487" width="12" style="286" customWidth="1"/>
    <col min="5488" max="5488" width="9.85546875" style="286" customWidth="1"/>
    <col min="5489" max="5489" width="11" style="286" customWidth="1"/>
    <col min="5490" max="5490" width="12.28515625" style="286" customWidth="1"/>
    <col min="5491" max="5491" width="12" style="286" customWidth="1"/>
    <col min="5492" max="5492" width="9.85546875" style="286" customWidth="1"/>
    <col min="5493" max="5493" width="11" style="286" customWidth="1"/>
    <col min="5494" max="5494" width="12.28515625" style="286" customWidth="1"/>
    <col min="5495" max="5495" width="12" style="286" customWidth="1"/>
    <col min="5496" max="5496" width="9.85546875" style="286" customWidth="1"/>
    <col min="5497" max="5497" width="11" style="286" customWidth="1"/>
    <col min="5498" max="5498" width="12.28515625" style="286" customWidth="1"/>
    <col min="5499" max="5499" width="12" style="286" customWidth="1"/>
    <col min="5500" max="5500" width="9.85546875" style="286" customWidth="1"/>
    <col min="5501" max="5501" width="11" style="286" customWidth="1"/>
    <col min="5502" max="5502" width="12.28515625" style="286" customWidth="1"/>
    <col min="5503" max="5503" width="12" style="286" customWidth="1"/>
    <col min="5504" max="5504" width="9.85546875" style="286" customWidth="1"/>
    <col min="5505" max="5505" width="11" style="286" customWidth="1"/>
    <col min="5506" max="5506" width="12.28515625" style="286" customWidth="1"/>
    <col min="5507" max="5507" width="12" style="286" customWidth="1"/>
    <col min="5508" max="5508" width="9.85546875" style="286" customWidth="1"/>
    <col min="5509" max="5509" width="11" style="286" customWidth="1"/>
    <col min="5510" max="5510" width="12.28515625" style="286" customWidth="1"/>
    <col min="5511" max="5511" width="12" style="286" customWidth="1"/>
    <col min="5512" max="5512" width="9.85546875" style="286" customWidth="1"/>
    <col min="5513" max="5513" width="11" style="286" customWidth="1"/>
    <col min="5514" max="5514" width="12.28515625" style="286" customWidth="1"/>
    <col min="5515" max="5515" width="12" style="286" customWidth="1"/>
    <col min="5516" max="5516" width="9.85546875" style="286" customWidth="1"/>
    <col min="5517" max="5517" width="11" style="286" customWidth="1"/>
    <col min="5518" max="5518" width="12.28515625" style="286" customWidth="1"/>
    <col min="5519" max="5519" width="12" style="286" customWidth="1"/>
    <col min="5520" max="5520" width="9.85546875" style="286" customWidth="1"/>
    <col min="5521" max="5521" width="11" style="286" customWidth="1"/>
    <col min="5522" max="5522" width="12.28515625" style="286" customWidth="1"/>
    <col min="5523" max="5523" width="12" style="286" customWidth="1"/>
    <col min="5524" max="5524" width="9.85546875" style="286" customWidth="1"/>
    <col min="5525" max="5525" width="11" style="286" customWidth="1"/>
    <col min="5526" max="5526" width="12.28515625" style="286" customWidth="1"/>
    <col min="5527" max="5527" width="12" style="286" customWidth="1"/>
    <col min="5528" max="5528" width="9.85546875" style="286" customWidth="1"/>
    <col min="5529" max="5529" width="11.7109375" style="286" customWidth="1"/>
    <col min="5530" max="5530" width="10.85546875" style="286" customWidth="1"/>
    <col min="5531" max="5531" width="11.7109375" style="286" customWidth="1"/>
    <col min="5532" max="5532" width="9" style="286" customWidth="1"/>
    <col min="5533" max="5533" width="11" style="286" customWidth="1"/>
    <col min="5534" max="5534" width="12.28515625" style="286" customWidth="1"/>
    <col min="5535" max="5535" width="12" style="286" customWidth="1"/>
    <col min="5536" max="5536" width="9.85546875" style="286" customWidth="1"/>
    <col min="5537" max="5537" width="11" style="286" customWidth="1"/>
    <col min="5538" max="5538" width="12.28515625" style="286" customWidth="1"/>
    <col min="5539" max="5539" width="12" style="286" customWidth="1"/>
    <col min="5540" max="5540" width="9.85546875" style="286" customWidth="1"/>
    <col min="5541" max="5541" width="11" style="286" customWidth="1"/>
    <col min="5542" max="5542" width="12.28515625" style="286" customWidth="1"/>
    <col min="5543" max="5543" width="12" style="286" customWidth="1"/>
    <col min="5544" max="5544" width="9.85546875" style="286" customWidth="1"/>
    <col min="5545" max="5548" width="0" style="286" hidden="1" customWidth="1"/>
    <col min="5549" max="5549" width="11" style="286" customWidth="1"/>
    <col min="5550" max="5550" width="12.28515625" style="286" customWidth="1"/>
    <col min="5551" max="5551" width="12" style="286" customWidth="1"/>
    <col min="5552" max="5552" width="9.85546875" style="286" customWidth="1"/>
    <col min="5553" max="5553" width="11" style="286" customWidth="1"/>
    <col min="5554" max="5554" width="12.28515625" style="286" customWidth="1"/>
    <col min="5555" max="5555" width="12" style="286" customWidth="1"/>
    <col min="5556" max="5556" width="9.85546875" style="286" customWidth="1"/>
    <col min="5557" max="5557" width="11" style="286" customWidth="1"/>
    <col min="5558" max="5558" width="12.28515625" style="286" customWidth="1"/>
    <col min="5559" max="5559" width="12" style="286" customWidth="1"/>
    <col min="5560" max="5560" width="9.85546875" style="286" customWidth="1"/>
    <col min="5561" max="5561" width="11" style="286" customWidth="1"/>
    <col min="5562" max="5562" width="12.28515625" style="286" customWidth="1"/>
    <col min="5563" max="5563" width="12" style="286" customWidth="1"/>
    <col min="5564" max="5564" width="9.85546875" style="286" customWidth="1"/>
    <col min="5565" max="5565" width="11" style="286" customWidth="1"/>
    <col min="5566" max="5566" width="12.28515625" style="286" customWidth="1"/>
    <col min="5567" max="5567" width="12" style="286" customWidth="1"/>
    <col min="5568" max="5568" width="9.85546875" style="286" customWidth="1"/>
    <col min="5569" max="5569" width="11" style="286" customWidth="1"/>
    <col min="5570" max="5570" width="12.28515625" style="286" customWidth="1"/>
    <col min="5571" max="5571" width="12" style="286" customWidth="1"/>
    <col min="5572" max="5572" width="9.85546875" style="286" customWidth="1"/>
    <col min="5573" max="5573" width="11" style="286" customWidth="1"/>
    <col min="5574" max="5574" width="12.28515625" style="286" customWidth="1"/>
    <col min="5575" max="5575" width="12" style="286" customWidth="1"/>
    <col min="5576" max="5576" width="9.85546875" style="286" customWidth="1"/>
    <col min="5577" max="5577" width="11" style="286" customWidth="1"/>
    <col min="5578" max="5578" width="12.28515625" style="286" customWidth="1"/>
    <col min="5579" max="5579" width="12" style="286" customWidth="1"/>
    <col min="5580" max="5580" width="9.85546875" style="286" customWidth="1"/>
    <col min="5581" max="5581" width="11" style="286" customWidth="1"/>
    <col min="5582" max="5582" width="12.28515625" style="286" customWidth="1"/>
    <col min="5583" max="5583" width="12" style="286" customWidth="1"/>
    <col min="5584" max="5584" width="9.85546875" style="286" customWidth="1"/>
    <col min="5585" max="5599" width="0" style="286" hidden="1" customWidth="1"/>
    <col min="5600" max="5600" width="9.85546875" style="286" customWidth="1"/>
    <col min="5601" max="5601" width="10.42578125" style="286" customWidth="1"/>
    <col min="5602" max="5602" width="9" style="286" customWidth="1"/>
    <col min="5603" max="5603" width="11.28515625" style="286" customWidth="1"/>
    <col min="5604" max="5604" width="10.140625" style="286" customWidth="1"/>
    <col min="5605" max="5605" width="10.7109375" style="286" customWidth="1"/>
    <col min="5606" max="5606" width="9.28515625" style="286"/>
    <col min="5607" max="5608" width="9.140625" style="286" customWidth="1"/>
    <col min="5609" max="5632" width="9.28515625" style="286"/>
    <col min="5633" max="5633" width="4.28515625" style="286" customWidth="1"/>
    <col min="5634" max="5634" width="5.42578125" style="286" customWidth="1"/>
    <col min="5635" max="5635" width="41.5703125" style="286" customWidth="1"/>
    <col min="5636" max="5636" width="7.42578125" style="286" customWidth="1"/>
    <col min="5637" max="5637" width="13.140625" style="286" customWidth="1"/>
    <col min="5638" max="5638" width="11.7109375" style="286" customWidth="1"/>
    <col min="5639" max="5639" width="14.7109375" style="286" customWidth="1"/>
    <col min="5640" max="5640" width="11.7109375" style="286" customWidth="1"/>
    <col min="5641" max="5641" width="12" style="286" customWidth="1"/>
    <col min="5642" max="5642" width="9.7109375" style="286" customWidth="1"/>
    <col min="5643" max="5644" width="9.42578125" style="286" customWidth="1"/>
    <col min="5645" max="5645" width="10.7109375" style="286" customWidth="1"/>
    <col min="5646" max="5646" width="13.42578125" style="286" customWidth="1"/>
    <col min="5647" max="5647" width="12" style="286" customWidth="1"/>
    <col min="5648" max="5648" width="11" style="286" customWidth="1"/>
    <col min="5649" max="5649" width="10.5703125" style="286" customWidth="1"/>
    <col min="5650" max="5650" width="10.42578125" style="286" customWidth="1"/>
    <col min="5651" max="5651" width="10.7109375" style="286" customWidth="1"/>
    <col min="5652" max="5653" width="11.140625" style="286" customWidth="1"/>
    <col min="5654" max="5654" width="10.5703125" style="286" customWidth="1"/>
    <col min="5655" max="5655" width="10.85546875" style="286" customWidth="1"/>
    <col min="5656" max="5656" width="9.85546875" style="286" customWidth="1"/>
    <col min="5657" max="5657" width="11" style="286" customWidth="1"/>
    <col min="5658" max="5658" width="11.42578125" style="286" customWidth="1"/>
    <col min="5659" max="5659" width="12" style="286" customWidth="1"/>
    <col min="5660" max="5660" width="9.85546875" style="286" customWidth="1"/>
    <col min="5661" max="5661" width="10.5703125" style="286" customWidth="1"/>
    <col min="5662" max="5662" width="11.140625" style="286" customWidth="1"/>
    <col min="5663" max="5663" width="11.42578125" style="286" customWidth="1"/>
    <col min="5664" max="5668" width="9.85546875" style="286" customWidth="1"/>
    <col min="5669" max="5671" width="11.7109375" style="286" customWidth="1"/>
    <col min="5672" max="5672" width="9.85546875" style="286" customWidth="1"/>
    <col min="5673" max="5673" width="11" style="286" customWidth="1"/>
    <col min="5674" max="5674" width="11.42578125" style="286" customWidth="1"/>
    <col min="5675" max="5675" width="11.140625" style="286" customWidth="1"/>
    <col min="5676" max="5676" width="10.42578125" style="286" customWidth="1"/>
    <col min="5677" max="5677" width="11.5703125" style="286" customWidth="1"/>
    <col min="5678" max="5679" width="11.140625" style="286" customWidth="1"/>
    <col min="5680" max="5692" width="9.85546875" style="286" customWidth="1"/>
    <col min="5693" max="5693" width="10.5703125" style="286" customWidth="1"/>
    <col min="5694" max="5694" width="12.42578125" style="286" customWidth="1"/>
    <col min="5695" max="5695" width="10.140625" style="286" customWidth="1"/>
    <col min="5696" max="5696" width="9.140625" style="286" customWidth="1"/>
    <col min="5697" max="5697" width="9" style="286" customWidth="1"/>
    <col min="5698" max="5699" width="9.7109375" style="286" customWidth="1"/>
    <col min="5700" max="5700" width="8.42578125" style="286" customWidth="1"/>
    <col min="5701" max="5701" width="11.7109375" style="286" customWidth="1"/>
    <col min="5702" max="5702" width="10.85546875" style="286" customWidth="1"/>
    <col min="5703" max="5703" width="11.7109375" style="286" customWidth="1"/>
    <col min="5704" max="5704" width="9" style="286" customWidth="1"/>
    <col min="5705" max="5705" width="11" style="286" customWidth="1"/>
    <col min="5706" max="5706" width="10.5703125" style="286" customWidth="1"/>
    <col min="5707" max="5707" width="11.7109375" style="286" customWidth="1"/>
    <col min="5708" max="5709" width="11" style="286" customWidth="1"/>
    <col min="5710" max="5712" width="11.140625" style="286" customWidth="1"/>
    <col min="5713" max="5713" width="8.7109375" style="286" customWidth="1"/>
    <col min="5714" max="5714" width="11.140625" style="286" customWidth="1"/>
    <col min="5715" max="5715" width="9.28515625" style="286"/>
    <col min="5716" max="5716" width="11.140625" style="286" customWidth="1"/>
    <col min="5717" max="5717" width="10.5703125" style="286" customWidth="1"/>
    <col min="5718" max="5718" width="12.28515625" style="286" customWidth="1"/>
    <col min="5719" max="5719" width="12" style="286" customWidth="1"/>
    <col min="5720" max="5720" width="9.85546875" style="286" customWidth="1"/>
    <col min="5721" max="5721" width="11" style="286" customWidth="1"/>
    <col min="5722" max="5722" width="12.28515625" style="286" customWidth="1"/>
    <col min="5723" max="5723" width="12" style="286" customWidth="1"/>
    <col min="5724" max="5724" width="9.85546875" style="286" customWidth="1"/>
    <col min="5725" max="5725" width="11" style="286" customWidth="1"/>
    <col min="5726" max="5726" width="12.28515625" style="286" customWidth="1"/>
    <col min="5727" max="5727" width="12" style="286" customWidth="1"/>
    <col min="5728" max="5728" width="9.85546875" style="286" customWidth="1"/>
    <col min="5729" max="5729" width="11" style="286" customWidth="1"/>
    <col min="5730" max="5730" width="12.28515625" style="286" customWidth="1"/>
    <col min="5731" max="5731" width="12" style="286" customWidth="1"/>
    <col min="5732" max="5732" width="9.85546875" style="286" customWidth="1"/>
    <col min="5733" max="5733" width="11" style="286" customWidth="1"/>
    <col min="5734" max="5734" width="12.28515625" style="286" customWidth="1"/>
    <col min="5735" max="5735" width="12" style="286" customWidth="1"/>
    <col min="5736" max="5736" width="9.85546875" style="286" customWidth="1"/>
    <col min="5737" max="5737" width="11" style="286" customWidth="1"/>
    <col min="5738" max="5738" width="12.28515625" style="286" customWidth="1"/>
    <col min="5739" max="5739" width="12" style="286" customWidth="1"/>
    <col min="5740" max="5740" width="9.85546875" style="286" customWidth="1"/>
    <col min="5741" max="5741" width="11" style="286" customWidth="1"/>
    <col min="5742" max="5742" width="12.28515625" style="286" customWidth="1"/>
    <col min="5743" max="5743" width="12" style="286" customWidth="1"/>
    <col min="5744" max="5744" width="9.85546875" style="286" customWidth="1"/>
    <col min="5745" max="5745" width="11" style="286" customWidth="1"/>
    <col min="5746" max="5746" width="12.28515625" style="286" customWidth="1"/>
    <col min="5747" max="5747" width="12" style="286" customWidth="1"/>
    <col min="5748" max="5748" width="9.85546875" style="286" customWidth="1"/>
    <col min="5749" max="5749" width="11" style="286" customWidth="1"/>
    <col min="5750" max="5750" width="12.28515625" style="286" customWidth="1"/>
    <col min="5751" max="5751" width="12" style="286" customWidth="1"/>
    <col min="5752" max="5752" width="9.85546875" style="286" customWidth="1"/>
    <col min="5753" max="5753" width="11" style="286" customWidth="1"/>
    <col min="5754" max="5754" width="12.28515625" style="286" customWidth="1"/>
    <col min="5755" max="5755" width="12" style="286" customWidth="1"/>
    <col min="5756" max="5756" width="9.85546875" style="286" customWidth="1"/>
    <col min="5757" max="5757" width="11" style="286" customWidth="1"/>
    <col min="5758" max="5758" width="12.28515625" style="286" customWidth="1"/>
    <col min="5759" max="5759" width="12" style="286" customWidth="1"/>
    <col min="5760" max="5760" width="9.85546875" style="286" customWidth="1"/>
    <col min="5761" max="5761" width="11" style="286" customWidth="1"/>
    <col min="5762" max="5762" width="12.28515625" style="286" customWidth="1"/>
    <col min="5763" max="5763" width="12" style="286" customWidth="1"/>
    <col min="5764" max="5764" width="9.85546875" style="286" customWidth="1"/>
    <col min="5765" max="5765" width="11" style="286" customWidth="1"/>
    <col min="5766" max="5766" width="12.28515625" style="286" customWidth="1"/>
    <col min="5767" max="5767" width="12" style="286" customWidth="1"/>
    <col min="5768" max="5768" width="9.85546875" style="286" customWidth="1"/>
    <col min="5769" max="5769" width="11" style="286" customWidth="1"/>
    <col min="5770" max="5770" width="12.28515625" style="286" customWidth="1"/>
    <col min="5771" max="5771" width="12" style="286" customWidth="1"/>
    <col min="5772" max="5772" width="9.85546875" style="286" customWidth="1"/>
    <col min="5773" max="5773" width="11" style="286" customWidth="1"/>
    <col min="5774" max="5774" width="12.28515625" style="286" customWidth="1"/>
    <col min="5775" max="5775" width="12" style="286" customWidth="1"/>
    <col min="5776" max="5776" width="9.85546875" style="286" customWidth="1"/>
    <col min="5777" max="5777" width="11" style="286" customWidth="1"/>
    <col min="5778" max="5778" width="12.28515625" style="286" customWidth="1"/>
    <col min="5779" max="5779" width="12" style="286" customWidth="1"/>
    <col min="5780" max="5780" width="9.85546875" style="286" customWidth="1"/>
    <col min="5781" max="5781" width="11" style="286" customWidth="1"/>
    <col min="5782" max="5782" width="12.28515625" style="286" customWidth="1"/>
    <col min="5783" max="5783" width="12" style="286" customWidth="1"/>
    <col min="5784" max="5784" width="9.85546875" style="286" customWidth="1"/>
    <col min="5785" max="5785" width="11.7109375" style="286" customWidth="1"/>
    <col min="5786" max="5786" width="10.85546875" style="286" customWidth="1"/>
    <col min="5787" max="5787" width="11.7109375" style="286" customWidth="1"/>
    <col min="5788" max="5788" width="9" style="286" customWidth="1"/>
    <col min="5789" max="5789" width="11" style="286" customWidth="1"/>
    <col min="5790" max="5790" width="12.28515625" style="286" customWidth="1"/>
    <col min="5791" max="5791" width="12" style="286" customWidth="1"/>
    <col min="5792" max="5792" width="9.85546875" style="286" customWidth="1"/>
    <col min="5793" max="5793" width="11" style="286" customWidth="1"/>
    <col min="5794" max="5794" width="12.28515625" style="286" customWidth="1"/>
    <col min="5795" max="5795" width="12" style="286" customWidth="1"/>
    <col min="5796" max="5796" width="9.85546875" style="286" customWidth="1"/>
    <col min="5797" max="5797" width="11" style="286" customWidth="1"/>
    <col min="5798" max="5798" width="12.28515625" style="286" customWidth="1"/>
    <col min="5799" max="5799" width="12" style="286" customWidth="1"/>
    <col min="5800" max="5800" width="9.85546875" style="286" customWidth="1"/>
    <col min="5801" max="5804" width="0" style="286" hidden="1" customWidth="1"/>
    <col min="5805" max="5805" width="11" style="286" customWidth="1"/>
    <col min="5806" max="5806" width="12.28515625" style="286" customWidth="1"/>
    <col min="5807" max="5807" width="12" style="286" customWidth="1"/>
    <col min="5808" max="5808" width="9.85546875" style="286" customWidth="1"/>
    <col min="5809" max="5809" width="11" style="286" customWidth="1"/>
    <col min="5810" max="5810" width="12.28515625" style="286" customWidth="1"/>
    <col min="5811" max="5811" width="12" style="286" customWidth="1"/>
    <col min="5812" max="5812" width="9.85546875" style="286" customWidth="1"/>
    <col min="5813" max="5813" width="11" style="286" customWidth="1"/>
    <col min="5814" max="5814" width="12.28515625" style="286" customWidth="1"/>
    <col min="5815" max="5815" width="12" style="286" customWidth="1"/>
    <col min="5816" max="5816" width="9.85546875" style="286" customWidth="1"/>
    <col min="5817" max="5817" width="11" style="286" customWidth="1"/>
    <col min="5818" max="5818" width="12.28515625" style="286" customWidth="1"/>
    <col min="5819" max="5819" width="12" style="286" customWidth="1"/>
    <col min="5820" max="5820" width="9.85546875" style="286" customWidth="1"/>
    <col min="5821" max="5821" width="11" style="286" customWidth="1"/>
    <col min="5822" max="5822" width="12.28515625" style="286" customWidth="1"/>
    <col min="5823" max="5823" width="12" style="286" customWidth="1"/>
    <col min="5824" max="5824" width="9.85546875" style="286" customWidth="1"/>
    <col min="5825" max="5825" width="11" style="286" customWidth="1"/>
    <col min="5826" max="5826" width="12.28515625" style="286" customWidth="1"/>
    <col min="5827" max="5827" width="12" style="286" customWidth="1"/>
    <col min="5828" max="5828" width="9.85546875" style="286" customWidth="1"/>
    <col min="5829" max="5829" width="11" style="286" customWidth="1"/>
    <col min="5830" max="5830" width="12.28515625" style="286" customWidth="1"/>
    <col min="5831" max="5831" width="12" style="286" customWidth="1"/>
    <col min="5832" max="5832" width="9.85546875" style="286" customWidth="1"/>
    <col min="5833" max="5833" width="11" style="286" customWidth="1"/>
    <col min="5834" max="5834" width="12.28515625" style="286" customWidth="1"/>
    <col min="5835" max="5835" width="12" style="286" customWidth="1"/>
    <col min="5836" max="5836" width="9.85546875" style="286" customWidth="1"/>
    <col min="5837" max="5837" width="11" style="286" customWidth="1"/>
    <col min="5838" max="5838" width="12.28515625" style="286" customWidth="1"/>
    <col min="5839" max="5839" width="12" style="286" customWidth="1"/>
    <col min="5840" max="5840" width="9.85546875" style="286" customWidth="1"/>
    <col min="5841" max="5855" width="0" style="286" hidden="1" customWidth="1"/>
    <col min="5856" max="5856" width="9.85546875" style="286" customWidth="1"/>
    <col min="5857" max="5857" width="10.42578125" style="286" customWidth="1"/>
    <col min="5858" max="5858" width="9" style="286" customWidth="1"/>
    <col min="5859" max="5859" width="11.28515625" style="286" customWidth="1"/>
    <col min="5860" max="5860" width="10.140625" style="286" customWidth="1"/>
    <col min="5861" max="5861" width="10.7109375" style="286" customWidth="1"/>
    <col min="5862" max="5862" width="9.28515625" style="286"/>
    <col min="5863" max="5864" width="9.140625" style="286" customWidth="1"/>
    <col min="5865" max="5888" width="9.28515625" style="286"/>
    <col min="5889" max="5889" width="4.28515625" style="286" customWidth="1"/>
    <col min="5890" max="5890" width="5.42578125" style="286" customWidth="1"/>
    <col min="5891" max="5891" width="41.5703125" style="286" customWidth="1"/>
    <col min="5892" max="5892" width="7.42578125" style="286" customWidth="1"/>
    <col min="5893" max="5893" width="13.140625" style="286" customWidth="1"/>
    <col min="5894" max="5894" width="11.7109375" style="286" customWidth="1"/>
    <col min="5895" max="5895" width="14.7109375" style="286" customWidth="1"/>
    <col min="5896" max="5896" width="11.7109375" style="286" customWidth="1"/>
    <col min="5897" max="5897" width="12" style="286" customWidth="1"/>
    <col min="5898" max="5898" width="9.7109375" style="286" customWidth="1"/>
    <col min="5899" max="5900" width="9.42578125" style="286" customWidth="1"/>
    <col min="5901" max="5901" width="10.7109375" style="286" customWidth="1"/>
    <col min="5902" max="5902" width="13.42578125" style="286" customWidth="1"/>
    <col min="5903" max="5903" width="12" style="286" customWidth="1"/>
    <col min="5904" max="5904" width="11" style="286" customWidth="1"/>
    <col min="5905" max="5905" width="10.5703125" style="286" customWidth="1"/>
    <col min="5906" max="5906" width="10.42578125" style="286" customWidth="1"/>
    <col min="5907" max="5907" width="10.7109375" style="286" customWidth="1"/>
    <col min="5908" max="5909" width="11.140625" style="286" customWidth="1"/>
    <col min="5910" max="5910" width="10.5703125" style="286" customWidth="1"/>
    <col min="5911" max="5911" width="10.85546875" style="286" customWidth="1"/>
    <col min="5912" max="5912" width="9.85546875" style="286" customWidth="1"/>
    <col min="5913" max="5913" width="11" style="286" customWidth="1"/>
    <col min="5914" max="5914" width="11.42578125" style="286" customWidth="1"/>
    <col min="5915" max="5915" width="12" style="286" customWidth="1"/>
    <col min="5916" max="5916" width="9.85546875" style="286" customWidth="1"/>
    <col min="5917" max="5917" width="10.5703125" style="286" customWidth="1"/>
    <col min="5918" max="5918" width="11.140625" style="286" customWidth="1"/>
    <col min="5919" max="5919" width="11.42578125" style="286" customWidth="1"/>
    <col min="5920" max="5924" width="9.85546875" style="286" customWidth="1"/>
    <col min="5925" max="5927" width="11.7109375" style="286" customWidth="1"/>
    <col min="5928" max="5928" width="9.85546875" style="286" customWidth="1"/>
    <col min="5929" max="5929" width="11" style="286" customWidth="1"/>
    <col min="5930" max="5930" width="11.42578125" style="286" customWidth="1"/>
    <col min="5931" max="5931" width="11.140625" style="286" customWidth="1"/>
    <col min="5932" max="5932" width="10.42578125" style="286" customWidth="1"/>
    <col min="5933" max="5933" width="11.5703125" style="286" customWidth="1"/>
    <col min="5934" max="5935" width="11.140625" style="286" customWidth="1"/>
    <col min="5936" max="5948" width="9.85546875" style="286" customWidth="1"/>
    <col min="5949" max="5949" width="10.5703125" style="286" customWidth="1"/>
    <col min="5950" max="5950" width="12.42578125" style="286" customWidth="1"/>
    <col min="5951" max="5951" width="10.140625" style="286" customWidth="1"/>
    <col min="5952" max="5952" width="9.140625" style="286" customWidth="1"/>
    <col min="5953" max="5953" width="9" style="286" customWidth="1"/>
    <col min="5954" max="5955" width="9.7109375" style="286" customWidth="1"/>
    <col min="5956" max="5956" width="8.42578125" style="286" customWidth="1"/>
    <col min="5957" max="5957" width="11.7109375" style="286" customWidth="1"/>
    <col min="5958" max="5958" width="10.85546875" style="286" customWidth="1"/>
    <col min="5959" max="5959" width="11.7109375" style="286" customWidth="1"/>
    <col min="5960" max="5960" width="9" style="286" customWidth="1"/>
    <col min="5961" max="5961" width="11" style="286" customWidth="1"/>
    <col min="5962" max="5962" width="10.5703125" style="286" customWidth="1"/>
    <col min="5963" max="5963" width="11.7109375" style="286" customWidth="1"/>
    <col min="5964" max="5965" width="11" style="286" customWidth="1"/>
    <col min="5966" max="5968" width="11.140625" style="286" customWidth="1"/>
    <col min="5969" max="5969" width="8.7109375" style="286" customWidth="1"/>
    <col min="5970" max="5970" width="11.140625" style="286" customWidth="1"/>
    <col min="5971" max="5971" width="9.28515625" style="286"/>
    <col min="5972" max="5972" width="11.140625" style="286" customWidth="1"/>
    <col min="5973" max="5973" width="10.5703125" style="286" customWidth="1"/>
    <col min="5974" max="5974" width="12.28515625" style="286" customWidth="1"/>
    <col min="5975" max="5975" width="12" style="286" customWidth="1"/>
    <col min="5976" max="5976" width="9.85546875" style="286" customWidth="1"/>
    <col min="5977" max="5977" width="11" style="286" customWidth="1"/>
    <col min="5978" max="5978" width="12.28515625" style="286" customWidth="1"/>
    <col min="5979" max="5979" width="12" style="286" customWidth="1"/>
    <col min="5980" max="5980" width="9.85546875" style="286" customWidth="1"/>
    <col min="5981" max="5981" width="11" style="286" customWidth="1"/>
    <col min="5982" max="5982" width="12.28515625" style="286" customWidth="1"/>
    <col min="5983" max="5983" width="12" style="286" customWidth="1"/>
    <col min="5984" max="5984" width="9.85546875" style="286" customWidth="1"/>
    <col min="5985" max="5985" width="11" style="286" customWidth="1"/>
    <col min="5986" max="5986" width="12.28515625" style="286" customWidth="1"/>
    <col min="5987" max="5987" width="12" style="286" customWidth="1"/>
    <col min="5988" max="5988" width="9.85546875" style="286" customWidth="1"/>
    <col min="5989" max="5989" width="11" style="286" customWidth="1"/>
    <col min="5990" max="5990" width="12.28515625" style="286" customWidth="1"/>
    <col min="5991" max="5991" width="12" style="286" customWidth="1"/>
    <col min="5992" max="5992" width="9.85546875" style="286" customWidth="1"/>
    <col min="5993" max="5993" width="11" style="286" customWidth="1"/>
    <col min="5994" max="5994" width="12.28515625" style="286" customWidth="1"/>
    <col min="5995" max="5995" width="12" style="286" customWidth="1"/>
    <col min="5996" max="5996" width="9.85546875" style="286" customWidth="1"/>
    <col min="5997" max="5997" width="11" style="286" customWidth="1"/>
    <col min="5998" max="5998" width="12.28515625" style="286" customWidth="1"/>
    <col min="5999" max="5999" width="12" style="286" customWidth="1"/>
    <col min="6000" max="6000" width="9.85546875" style="286" customWidth="1"/>
    <col min="6001" max="6001" width="11" style="286" customWidth="1"/>
    <col min="6002" max="6002" width="12.28515625" style="286" customWidth="1"/>
    <col min="6003" max="6003" width="12" style="286" customWidth="1"/>
    <col min="6004" max="6004" width="9.85546875" style="286" customWidth="1"/>
    <col min="6005" max="6005" width="11" style="286" customWidth="1"/>
    <col min="6006" max="6006" width="12.28515625" style="286" customWidth="1"/>
    <col min="6007" max="6007" width="12" style="286" customWidth="1"/>
    <col min="6008" max="6008" width="9.85546875" style="286" customWidth="1"/>
    <col min="6009" max="6009" width="11" style="286" customWidth="1"/>
    <col min="6010" max="6010" width="12.28515625" style="286" customWidth="1"/>
    <col min="6011" max="6011" width="12" style="286" customWidth="1"/>
    <col min="6012" max="6012" width="9.85546875" style="286" customWidth="1"/>
    <col min="6013" max="6013" width="11" style="286" customWidth="1"/>
    <col min="6014" max="6014" width="12.28515625" style="286" customWidth="1"/>
    <col min="6015" max="6015" width="12" style="286" customWidth="1"/>
    <col min="6016" max="6016" width="9.85546875" style="286" customWidth="1"/>
    <col min="6017" max="6017" width="11" style="286" customWidth="1"/>
    <col min="6018" max="6018" width="12.28515625" style="286" customWidth="1"/>
    <col min="6019" max="6019" width="12" style="286" customWidth="1"/>
    <col min="6020" max="6020" width="9.85546875" style="286" customWidth="1"/>
    <col min="6021" max="6021" width="11" style="286" customWidth="1"/>
    <col min="6022" max="6022" width="12.28515625" style="286" customWidth="1"/>
    <col min="6023" max="6023" width="12" style="286" customWidth="1"/>
    <col min="6024" max="6024" width="9.85546875" style="286" customWidth="1"/>
    <col min="6025" max="6025" width="11" style="286" customWidth="1"/>
    <col min="6026" max="6026" width="12.28515625" style="286" customWidth="1"/>
    <col min="6027" max="6027" width="12" style="286" customWidth="1"/>
    <col min="6028" max="6028" width="9.85546875" style="286" customWidth="1"/>
    <col min="6029" max="6029" width="11" style="286" customWidth="1"/>
    <col min="6030" max="6030" width="12.28515625" style="286" customWidth="1"/>
    <col min="6031" max="6031" width="12" style="286" customWidth="1"/>
    <col min="6032" max="6032" width="9.85546875" style="286" customWidth="1"/>
    <col min="6033" max="6033" width="11" style="286" customWidth="1"/>
    <col min="6034" max="6034" width="12.28515625" style="286" customWidth="1"/>
    <col min="6035" max="6035" width="12" style="286" customWidth="1"/>
    <col min="6036" max="6036" width="9.85546875" style="286" customWidth="1"/>
    <col min="6037" max="6037" width="11" style="286" customWidth="1"/>
    <col min="6038" max="6038" width="12.28515625" style="286" customWidth="1"/>
    <col min="6039" max="6039" width="12" style="286" customWidth="1"/>
    <col min="6040" max="6040" width="9.85546875" style="286" customWidth="1"/>
    <col min="6041" max="6041" width="11.7109375" style="286" customWidth="1"/>
    <col min="6042" max="6042" width="10.85546875" style="286" customWidth="1"/>
    <col min="6043" max="6043" width="11.7109375" style="286" customWidth="1"/>
    <col min="6044" max="6044" width="9" style="286" customWidth="1"/>
    <col min="6045" max="6045" width="11" style="286" customWidth="1"/>
    <col min="6046" max="6046" width="12.28515625" style="286" customWidth="1"/>
    <col min="6047" max="6047" width="12" style="286" customWidth="1"/>
    <col min="6048" max="6048" width="9.85546875" style="286" customWidth="1"/>
    <col min="6049" max="6049" width="11" style="286" customWidth="1"/>
    <col min="6050" max="6050" width="12.28515625" style="286" customWidth="1"/>
    <col min="6051" max="6051" width="12" style="286" customWidth="1"/>
    <col min="6052" max="6052" width="9.85546875" style="286" customWidth="1"/>
    <col min="6053" max="6053" width="11" style="286" customWidth="1"/>
    <col min="6054" max="6054" width="12.28515625" style="286" customWidth="1"/>
    <col min="6055" max="6055" width="12" style="286" customWidth="1"/>
    <col min="6056" max="6056" width="9.85546875" style="286" customWidth="1"/>
    <col min="6057" max="6060" width="0" style="286" hidden="1" customWidth="1"/>
    <col min="6061" max="6061" width="11" style="286" customWidth="1"/>
    <col min="6062" max="6062" width="12.28515625" style="286" customWidth="1"/>
    <col min="6063" max="6063" width="12" style="286" customWidth="1"/>
    <col min="6064" max="6064" width="9.85546875" style="286" customWidth="1"/>
    <col min="6065" max="6065" width="11" style="286" customWidth="1"/>
    <col min="6066" max="6066" width="12.28515625" style="286" customWidth="1"/>
    <col min="6067" max="6067" width="12" style="286" customWidth="1"/>
    <col min="6068" max="6068" width="9.85546875" style="286" customWidth="1"/>
    <col min="6069" max="6069" width="11" style="286" customWidth="1"/>
    <col min="6070" max="6070" width="12.28515625" style="286" customWidth="1"/>
    <col min="6071" max="6071" width="12" style="286" customWidth="1"/>
    <col min="6072" max="6072" width="9.85546875" style="286" customWidth="1"/>
    <col min="6073" max="6073" width="11" style="286" customWidth="1"/>
    <col min="6074" max="6074" width="12.28515625" style="286" customWidth="1"/>
    <col min="6075" max="6075" width="12" style="286" customWidth="1"/>
    <col min="6076" max="6076" width="9.85546875" style="286" customWidth="1"/>
    <col min="6077" max="6077" width="11" style="286" customWidth="1"/>
    <col min="6078" max="6078" width="12.28515625" style="286" customWidth="1"/>
    <col min="6079" max="6079" width="12" style="286" customWidth="1"/>
    <col min="6080" max="6080" width="9.85546875" style="286" customWidth="1"/>
    <col min="6081" max="6081" width="11" style="286" customWidth="1"/>
    <col min="6082" max="6082" width="12.28515625" style="286" customWidth="1"/>
    <col min="6083" max="6083" width="12" style="286" customWidth="1"/>
    <col min="6084" max="6084" width="9.85546875" style="286" customWidth="1"/>
    <col min="6085" max="6085" width="11" style="286" customWidth="1"/>
    <col min="6086" max="6086" width="12.28515625" style="286" customWidth="1"/>
    <col min="6087" max="6087" width="12" style="286" customWidth="1"/>
    <col min="6088" max="6088" width="9.85546875" style="286" customWidth="1"/>
    <col min="6089" max="6089" width="11" style="286" customWidth="1"/>
    <col min="6090" max="6090" width="12.28515625" style="286" customWidth="1"/>
    <col min="6091" max="6091" width="12" style="286" customWidth="1"/>
    <col min="6092" max="6092" width="9.85546875" style="286" customWidth="1"/>
    <col min="6093" max="6093" width="11" style="286" customWidth="1"/>
    <col min="6094" max="6094" width="12.28515625" style="286" customWidth="1"/>
    <col min="6095" max="6095" width="12" style="286" customWidth="1"/>
    <col min="6096" max="6096" width="9.85546875" style="286" customWidth="1"/>
    <col min="6097" max="6111" width="0" style="286" hidden="1" customWidth="1"/>
    <col min="6112" max="6112" width="9.85546875" style="286" customWidth="1"/>
    <col min="6113" max="6113" width="10.42578125" style="286" customWidth="1"/>
    <col min="6114" max="6114" width="9" style="286" customWidth="1"/>
    <col min="6115" max="6115" width="11.28515625" style="286" customWidth="1"/>
    <col min="6116" max="6116" width="10.140625" style="286" customWidth="1"/>
    <col min="6117" max="6117" width="10.7109375" style="286" customWidth="1"/>
    <col min="6118" max="6118" width="9.28515625" style="286"/>
    <col min="6119" max="6120" width="9.140625" style="286" customWidth="1"/>
    <col min="6121" max="6144" width="9.28515625" style="286"/>
    <col min="6145" max="6145" width="4.28515625" style="286" customWidth="1"/>
    <col min="6146" max="6146" width="5.42578125" style="286" customWidth="1"/>
    <col min="6147" max="6147" width="41.5703125" style="286" customWidth="1"/>
    <col min="6148" max="6148" width="7.42578125" style="286" customWidth="1"/>
    <col min="6149" max="6149" width="13.140625" style="286" customWidth="1"/>
    <col min="6150" max="6150" width="11.7109375" style="286" customWidth="1"/>
    <col min="6151" max="6151" width="14.7109375" style="286" customWidth="1"/>
    <col min="6152" max="6152" width="11.7109375" style="286" customWidth="1"/>
    <col min="6153" max="6153" width="12" style="286" customWidth="1"/>
    <col min="6154" max="6154" width="9.7109375" style="286" customWidth="1"/>
    <col min="6155" max="6156" width="9.42578125" style="286" customWidth="1"/>
    <col min="6157" max="6157" width="10.7109375" style="286" customWidth="1"/>
    <col min="6158" max="6158" width="13.42578125" style="286" customWidth="1"/>
    <col min="6159" max="6159" width="12" style="286" customWidth="1"/>
    <col min="6160" max="6160" width="11" style="286" customWidth="1"/>
    <col min="6161" max="6161" width="10.5703125" style="286" customWidth="1"/>
    <col min="6162" max="6162" width="10.42578125" style="286" customWidth="1"/>
    <col min="6163" max="6163" width="10.7109375" style="286" customWidth="1"/>
    <col min="6164" max="6165" width="11.140625" style="286" customWidth="1"/>
    <col min="6166" max="6166" width="10.5703125" style="286" customWidth="1"/>
    <col min="6167" max="6167" width="10.85546875" style="286" customWidth="1"/>
    <col min="6168" max="6168" width="9.85546875" style="286" customWidth="1"/>
    <col min="6169" max="6169" width="11" style="286" customWidth="1"/>
    <col min="6170" max="6170" width="11.42578125" style="286" customWidth="1"/>
    <col min="6171" max="6171" width="12" style="286" customWidth="1"/>
    <col min="6172" max="6172" width="9.85546875" style="286" customWidth="1"/>
    <col min="6173" max="6173" width="10.5703125" style="286" customWidth="1"/>
    <col min="6174" max="6174" width="11.140625" style="286" customWidth="1"/>
    <col min="6175" max="6175" width="11.42578125" style="286" customWidth="1"/>
    <col min="6176" max="6180" width="9.85546875" style="286" customWidth="1"/>
    <col min="6181" max="6183" width="11.7109375" style="286" customWidth="1"/>
    <col min="6184" max="6184" width="9.85546875" style="286" customWidth="1"/>
    <col min="6185" max="6185" width="11" style="286" customWidth="1"/>
    <col min="6186" max="6186" width="11.42578125" style="286" customWidth="1"/>
    <col min="6187" max="6187" width="11.140625" style="286" customWidth="1"/>
    <col min="6188" max="6188" width="10.42578125" style="286" customWidth="1"/>
    <col min="6189" max="6189" width="11.5703125" style="286" customWidth="1"/>
    <col min="6190" max="6191" width="11.140625" style="286" customWidth="1"/>
    <col min="6192" max="6204" width="9.85546875" style="286" customWidth="1"/>
    <col min="6205" max="6205" width="10.5703125" style="286" customWidth="1"/>
    <col min="6206" max="6206" width="12.42578125" style="286" customWidth="1"/>
    <col min="6207" max="6207" width="10.140625" style="286" customWidth="1"/>
    <col min="6208" max="6208" width="9.140625" style="286" customWidth="1"/>
    <col min="6209" max="6209" width="9" style="286" customWidth="1"/>
    <col min="6210" max="6211" width="9.7109375" style="286" customWidth="1"/>
    <col min="6212" max="6212" width="8.42578125" style="286" customWidth="1"/>
    <col min="6213" max="6213" width="11.7109375" style="286" customWidth="1"/>
    <col min="6214" max="6214" width="10.85546875" style="286" customWidth="1"/>
    <col min="6215" max="6215" width="11.7109375" style="286" customWidth="1"/>
    <col min="6216" max="6216" width="9" style="286" customWidth="1"/>
    <col min="6217" max="6217" width="11" style="286" customWidth="1"/>
    <col min="6218" max="6218" width="10.5703125" style="286" customWidth="1"/>
    <col min="6219" max="6219" width="11.7109375" style="286" customWidth="1"/>
    <col min="6220" max="6221" width="11" style="286" customWidth="1"/>
    <col min="6222" max="6224" width="11.140625" style="286" customWidth="1"/>
    <col min="6225" max="6225" width="8.7109375" style="286" customWidth="1"/>
    <col min="6226" max="6226" width="11.140625" style="286" customWidth="1"/>
    <col min="6227" max="6227" width="9.28515625" style="286"/>
    <col min="6228" max="6228" width="11.140625" style="286" customWidth="1"/>
    <col min="6229" max="6229" width="10.5703125" style="286" customWidth="1"/>
    <col min="6230" max="6230" width="12.28515625" style="286" customWidth="1"/>
    <col min="6231" max="6231" width="12" style="286" customWidth="1"/>
    <col min="6232" max="6232" width="9.85546875" style="286" customWidth="1"/>
    <col min="6233" max="6233" width="11" style="286" customWidth="1"/>
    <col min="6234" max="6234" width="12.28515625" style="286" customWidth="1"/>
    <col min="6235" max="6235" width="12" style="286" customWidth="1"/>
    <col min="6236" max="6236" width="9.85546875" style="286" customWidth="1"/>
    <col min="6237" max="6237" width="11" style="286" customWidth="1"/>
    <col min="6238" max="6238" width="12.28515625" style="286" customWidth="1"/>
    <col min="6239" max="6239" width="12" style="286" customWidth="1"/>
    <col min="6240" max="6240" width="9.85546875" style="286" customWidth="1"/>
    <col min="6241" max="6241" width="11" style="286" customWidth="1"/>
    <col min="6242" max="6242" width="12.28515625" style="286" customWidth="1"/>
    <col min="6243" max="6243" width="12" style="286" customWidth="1"/>
    <col min="6244" max="6244" width="9.85546875" style="286" customWidth="1"/>
    <col min="6245" max="6245" width="11" style="286" customWidth="1"/>
    <col min="6246" max="6246" width="12.28515625" style="286" customWidth="1"/>
    <col min="6247" max="6247" width="12" style="286" customWidth="1"/>
    <col min="6248" max="6248" width="9.85546875" style="286" customWidth="1"/>
    <col min="6249" max="6249" width="11" style="286" customWidth="1"/>
    <col min="6250" max="6250" width="12.28515625" style="286" customWidth="1"/>
    <col min="6251" max="6251" width="12" style="286" customWidth="1"/>
    <col min="6252" max="6252" width="9.85546875" style="286" customWidth="1"/>
    <col min="6253" max="6253" width="11" style="286" customWidth="1"/>
    <col min="6254" max="6254" width="12.28515625" style="286" customWidth="1"/>
    <col min="6255" max="6255" width="12" style="286" customWidth="1"/>
    <col min="6256" max="6256" width="9.85546875" style="286" customWidth="1"/>
    <col min="6257" max="6257" width="11" style="286" customWidth="1"/>
    <col min="6258" max="6258" width="12.28515625" style="286" customWidth="1"/>
    <col min="6259" max="6259" width="12" style="286" customWidth="1"/>
    <col min="6260" max="6260" width="9.85546875" style="286" customWidth="1"/>
    <col min="6261" max="6261" width="11" style="286" customWidth="1"/>
    <col min="6262" max="6262" width="12.28515625" style="286" customWidth="1"/>
    <col min="6263" max="6263" width="12" style="286" customWidth="1"/>
    <col min="6264" max="6264" width="9.85546875" style="286" customWidth="1"/>
    <col min="6265" max="6265" width="11" style="286" customWidth="1"/>
    <col min="6266" max="6266" width="12.28515625" style="286" customWidth="1"/>
    <col min="6267" max="6267" width="12" style="286" customWidth="1"/>
    <col min="6268" max="6268" width="9.85546875" style="286" customWidth="1"/>
    <col min="6269" max="6269" width="11" style="286" customWidth="1"/>
    <col min="6270" max="6270" width="12.28515625" style="286" customWidth="1"/>
    <col min="6271" max="6271" width="12" style="286" customWidth="1"/>
    <col min="6272" max="6272" width="9.85546875" style="286" customWidth="1"/>
    <col min="6273" max="6273" width="11" style="286" customWidth="1"/>
    <col min="6274" max="6274" width="12.28515625" style="286" customWidth="1"/>
    <col min="6275" max="6275" width="12" style="286" customWidth="1"/>
    <col min="6276" max="6276" width="9.85546875" style="286" customWidth="1"/>
    <col min="6277" max="6277" width="11" style="286" customWidth="1"/>
    <col min="6278" max="6278" width="12.28515625" style="286" customWidth="1"/>
    <col min="6279" max="6279" width="12" style="286" customWidth="1"/>
    <col min="6280" max="6280" width="9.85546875" style="286" customWidth="1"/>
    <col min="6281" max="6281" width="11" style="286" customWidth="1"/>
    <col min="6282" max="6282" width="12.28515625" style="286" customWidth="1"/>
    <col min="6283" max="6283" width="12" style="286" customWidth="1"/>
    <col min="6284" max="6284" width="9.85546875" style="286" customWidth="1"/>
    <col min="6285" max="6285" width="11" style="286" customWidth="1"/>
    <col min="6286" max="6286" width="12.28515625" style="286" customWidth="1"/>
    <col min="6287" max="6287" width="12" style="286" customWidth="1"/>
    <col min="6288" max="6288" width="9.85546875" style="286" customWidth="1"/>
    <col min="6289" max="6289" width="11" style="286" customWidth="1"/>
    <col min="6290" max="6290" width="12.28515625" style="286" customWidth="1"/>
    <col min="6291" max="6291" width="12" style="286" customWidth="1"/>
    <col min="6292" max="6292" width="9.85546875" style="286" customWidth="1"/>
    <col min="6293" max="6293" width="11" style="286" customWidth="1"/>
    <col min="6294" max="6294" width="12.28515625" style="286" customWidth="1"/>
    <col min="6295" max="6295" width="12" style="286" customWidth="1"/>
    <col min="6296" max="6296" width="9.85546875" style="286" customWidth="1"/>
    <col min="6297" max="6297" width="11.7109375" style="286" customWidth="1"/>
    <col min="6298" max="6298" width="10.85546875" style="286" customWidth="1"/>
    <col min="6299" max="6299" width="11.7109375" style="286" customWidth="1"/>
    <col min="6300" max="6300" width="9" style="286" customWidth="1"/>
    <col min="6301" max="6301" width="11" style="286" customWidth="1"/>
    <col min="6302" max="6302" width="12.28515625" style="286" customWidth="1"/>
    <col min="6303" max="6303" width="12" style="286" customWidth="1"/>
    <col min="6304" max="6304" width="9.85546875" style="286" customWidth="1"/>
    <col min="6305" max="6305" width="11" style="286" customWidth="1"/>
    <col min="6306" max="6306" width="12.28515625" style="286" customWidth="1"/>
    <col min="6307" max="6307" width="12" style="286" customWidth="1"/>
    <col min="6308" max="6308" width="9.85546875" style="286" customWidth="1"/>
    <col min="6309" max="6309" width="11" style="286" customWidth="1"/>
    <col min="6310" max="6310" width="12.28515625" style="286" customWidth="1"/>
    <col min="6311" max="6311" width="12" style="286" customWidth="1"/>
    <col min="6312" max="6312" width="9.85546875" style="286" customWidth="1"/>
    <col min="6313" max="6316" width="0" style="286" hidden="1" customWidth="1"/>
    <col min="6317" max="6317" width="11" style="286" customWidth="1"/>
    <col min="6318" max="6318" width="12.28515625" style="286" customWidth="1"/>
    <col min="6319" max="6319" width="12" style="286" customWidth="1"/>
    <col min="6320" max="6320" width="9.85546875" style="286" customWidth="1"/>
    <col min="6321" max="6321" width="11" style="286" customWidth="1"/>
    <col min="6322" max="6322" width="12.28515625" style="286" customWidth="1"/>
    <col min="6323" max="6323" width="12" style="286" customWidth="1"/>
    <col min="6324" max="6324" width="9.85546875" style="286" customWidth="1"/>
    <col min="6325" max="6325" width="11" style="286" customWidth="1"/>
    <col min="6326" max="6326" width="12.28515625" style="286" customWidth="1"/>
    <col min="6327" max="6327" width="12" style="286" customWidth="1"/>
    <col min="6328" max="6328" width="9.85546875" style="286" customWidth="1"/>
    <col min="6329" max="6329" width="11" style="286" customWidth="1"/>
    <col min="6330" max="6330" width="12.28515625" style="286" customWidth="1"/>
    <col min="6331" max="6331" width="12" style="286" customWidth="1"/>
    <col min="6332" max="6332" width="9.85546875" style="286" customWidth="1"/>
    <col min="6333" max="6333" width="11" style="286" customWidth="1"/>
    <col min="6334" max="6334" width="12.28515625" style="286" customWidth="1"/>
    <col min="6335" max="6335" width="12" style="286" customWidth="1"/>
    <col min="6336" max="6336" width="9.85546875" style="286" customWidth="1"/>
    <col min="6337" max="6337" width="11" style="286" customWidth="1"/>
    <col min="6338" max="6338" width="12.28515625" style="286" customWidth="1"/>
    <col min="6339" max="6339" width="12" style="286" customWidth="1"/>
    <col min="6340" max="6340" width="9.85546875" style="286" customWidth="1"/>
    <col min="6341" max="6341" width="11" style="286" customWidth="1"/>
    <col min="6342" max="6342" width="12.28515625" style="286" customWidth="1"/>
    <col min="6343" max="6343" width="12" style="286" customWidth="1"/>
    <col min="6344" max="6344" width="9.85546875" style="286" customWidth="1"/>
    <col min="6345" max="6345" width="11" style="286" customWidth="1"/>
    <col min="6346" max="6346" width="12.28515625" style="286" customWidth="1"/>
    <col min="6347" max="6347" width="12" style="286" customWidth="1"/>
    <col min="6348" max="6348" width="9.85546875" style="286" customWidth="1"/>
    <col min="6349" max="6349" width="11" style="286" customWidth="1"/>
    <col min="6350" max="6350" width="12.28515625" style="286" customWidth="1"/>
    <col min="6351" max="6351" width="12" style="286" customWidth="1"/>
    <col min="6352" max="6352" width="9.85546875" style="286" customWidth="1"/>
    <col min="6353" max="6367" width="0" style="286" hidden="1" customWidth="1"/>
    <col min="6368" max="6368" width="9.85546875" style="286" customWidth="1"/>
    <col min="6369" max="6369" width="10.42578125" style="286" customWidth="1"/>
    <col min="6370" max="6370" width="9" style="286" customWidth="1"/>
    <col min="6371" max="6371" width="11.28515625" style="286" customWidth="1"/>
    <col min="6372" max="6372" width="10.140625" style="286" customWidth="1"/>
    <col min="6373" max="6373" width="10.7109375" style="286" customWidth="1"/>
    <col min="6374" max="6374" width="9.28515625" style="286"/>
    <col min="6375" max="6376" width="9.140625" style="286" customWidth="1"/>
    <col min="6377" max="6400" width="9.28515625" style="286"/>
    <col min="6401" max="6401" width="4.28515625" style="286" customWidth="1"/>
    <col min="6402" max="6402" width="5.42578125" style="286" customWidth="1"/>
    <col min="6403" max="6403" width="41.5703125" style="286" customWidth="1"/>
    <col min="6404" max="6404" width="7.42578125" style="286" customWidth="1"/>
    <col min="6405" max="6405" width="13.140625" style="286" customWidth="1"/>
    <col min="6406" max="6406" width="11.7109375" style="286" customWidth="1"/>
    <col min="6407" max="6407" width="14.7109375" style="286" customWidth="1"/>
    <col min="6408" max="6408" width="11.7109375" style="286" customWidth="1"/>
    <col min="6409" max="6409" width="12" style="286" customWidth="1"/>
    <col min="6410" max="6410" width="9.7109375" style="286" customWidth="1"/>
    <col min="6411" max="6412" width="9.42578125" style="286" customWidth="1"/>
    <col min="6413" max="6413" width="10.7109375" style="286" customWidth="1"/>
    <col min="6414" max="6414" width="13.42578125" style="286" customWidth="1"/>
    <col min="6415" max="6415" width="12" style="286" customWidth="1"/>
    <col min="6416" max="6416" width="11" style="286" customWidth="1"/>
    <col min="6417" max="6417" width="10.5703125" style="286" customWidth="1"/>
    <col min="6418" max="6418" width="10.42578125" style="286" customWidth="1"/>
    <col min="6419" max="6419" width="10.7109375" style="286" customWidth="1"/>
    <col min="6420" max="6421" width="11.140625" style="286" customWidth="1"/>
    <col min="6422" max="6422" width="10.5703125" style="286" customWidth="1"/>
    <col min="6423" max="6423" width="10.85546875" style="286" customWidth="1"/>
    <col min="6424" max="6424" width="9.85546875" style="286" customWidth="1"/>
    <col min="6425" max="6425" width="11" style="286" customWidth="1"/>
    <col min="6426" max="6426" width="11.42578125" style="286" customWidth="1"/>
    <col min="6427" max="6427" width="12" style="286" customWidth="1"/>
    <col min="6428" max="6428" width="9.85546875" style="286" customWidth="1"/>
    <col min="6429" max="6429" width="10.5703125" style="286" customWidth="1"/>
    <col min="6430" max="6430" width="11.140625" style="286" customWidth="1"/>
    <col min="6431" max="6431" width="11.42578125" style="286" customWidth="1"/>
    <col min="6432" max="6436" width="9.85546875" style="286" customWidth="1"/>
    <col min="6437" max="6439" width="11.7109375" style="286" customWidth="1"/>
    <col min="6440" max="6440" width="9.85546875" style="286" customWidth="1"/>
    <col min="6441" max="6441" width="11" style="286" customWidth="1"/>
    <col min="6442" max="6442" width="11.42578125" style="286" customWidth="1"/>
    <col min="6443" max="6443" width="11.140625" style="286" customWidth="1"/>
    <col min="6444" max="6444" width="10.42578125" style="286" customWidth="1"/>
    <col min="6445" max="6445" width="11.5703125" style="286" customWidth="1"/>
    <col min="6446" max="6447" width="11.140625" style="286" customWidth="1"/>
    <col min="6448" max="6460" width="9.85546875" style="286" customWidth="1"/>
    <col min="6461" max="6461" width="10.5703125" style="286" customWidth="1"/>
    <col min="6462" max="6462" width="12.42578125" style="286" customWidth="1"/>
    <col min="6463" max="6463" width="10.140625" style="286" customWidth="1"/>
    <col min="6464" max="6464" width="9.140625" style="286" customWidth="1"/>
    <col min="6465" max="6465" width="9" style="286" customWidth="1"/>
    <col min="6466" max="6467" width="9.7109375" style="286" customWidth="1"/>
    <col min="6468" max="6468" width="8.42578125" style="286" customWidth="1"/>
    <col min="6469" max="6469" width="11.7109375" style="286" customWidth="1"/>
    <col min="6470" max="6470" width="10.85546875" style="286" customWidth="1"/>
    <col min="6471" max="6471" width="11.7109375" style="286" customWidth="1"/>
    <col min="6472" max="6472" width="9" style="286" customWidth="1"/>
    <col min="6473" max="6473" width="11" style="286" customWidth="1"/>
    <col min="6474" max="6474" width="10.5703125" style="286" customWidth="1"/>
    <col min="6475" max="6475" width="11.7109375" style="286" customWidth="1"/>
    <col min="6476" max="6477" width="11" style="286" customWidth="1"/>
    <col min="6478" max="6480" width="11.140625" style="286" customWidth="1"/>
    <col min="6481" max="6481" width="8.7109375" style="286" customWidth="1"/>
    <col min="6482" max="6482" width="11.140625" style="286" customWidth="1"/>
    <col min="6483" max="6483" width="9.28515625" style="286"/>
    <col min="6484" max="6484" width="11.140625" style="286" customWidth="1"/>
    <col min="6485" max="6485" width="10.5703125" style="286" customWidth="1"/>
    <col min="6486" max="6486" width="12.28515625" style="286" customWidth="1"/>
    <col min="6487" max="6487" width="12" style="286" customWidth="1"/>
    <col min="6488" max="6488" width="9.85546875" style="286" customWidth="1"/>
    <col min="6489" max="6489" width="11" style="286" customWidth="1"/>
    <col min="6490" max="6490" width="12.28515625" style="286" customWidth="1"/>
    <col min="6491" max="6491" width="12" style="286" customWidth="1"/>
    <col min="6492" max="6492" width="9.85546875" style="286" customWidth="1"/>
    <col min="6493" max="6493" width="11" style="286" customWidth="1"/>
    <col min="6494" max="6494" width="12.28515625" style="286" customWidth="1"/>
    <col min="6495" max="6495" width="12" style="286" customWidth="1"/>
    <col min="6496" max="6496" width="9.85546875" style="286" customWidth="1"/>
    <col min="6497" max="6497" width="11" style="286" customWidth="1"/>
    <col min="6498" max="6498" width="12.28515625" style="286" customWidth="1"/>
    <col min="6499" max="6499" width="12" style="286" customWidth="1"/>
    <col min="6500" max="6500" width="9.85546875" style="286" customWidth="1"/>
    <col min="6501" max="6501" width="11" style="286" customWidth="1"/>
    <col min="6502" max="6502" width="12.28515625" style="286" customWidth="1"/>
    <col min="6503" max="6503" width="12" style="286" customWidth="1"/>
    <col min="6504" max="6504" width="9.85546875" style="286" customWidth="1"/>
    <col min="6505" max="6505" width="11" style="286" customWidth="1"/>
    <col min="6506" max="6506" width="12.28515625" style="286" customWidth="1"/>
    <col min="6507" max="6507" width="12" style="286" customWidth="1"/>
    <col min="6508" max="6508" width="9.85546875" style="286" customWidth="1"/>
    <col min="6509" max="6509" width="11" style="286" customWidth="1"/>
    <col min="6510" max="6510" width="12.28515625" style="286" customWidth="1"/>
    <col min="6511" max="6511" width="12" style="286" customWidth="1"/>
    <col min="6512" max="6512" width="9.85546875" style="286" customWidth="1"/>
    <col min="6513" max="6513" width="11" style="286" customWidth="1"/>
    <col min="6514" max="6514" width="12.28515625" style="286" customWidth="1"/>
    <col min="6515" max="6515" width="12" style="286" customWidth="1"/>
    <col min="6516" max="6516" width="9.85546875" style="286" customWidth="1"/>
    <col min="6517" max="6517" width="11" style="286" customWidth="1"/>
    <col min="6518" max="6518" width="12.28515625" style="286" customWidth="1"/>
    <col min="6519" max="6519" width="12" style="286" customWidth="1"/>
    <col min="6520" max="6520" width="9.85546875" style="286" customWidth="1"/>
    <col min="6521" max="6521" width="11" style="286" customWidth="1"/>
    <col min="6522" max="6522" width="12.28515625" style="286" customWidth="1"/>
    <col min="6523" max="6523" width="12" style="286" customWidth="1"/>
    <col min="6524" max="6524" width="9.85546875" style="286" customWidth="1"/>
    <col min="6525" max="6525" width="11" style="286" customWidth="1"/>
    <col min="6526" max="6526" width="12.28515625" style="286" customWidth="1"/>
    <col min="6527" max="6527" width="12" style="286" customWidth="1"/>
    <col min="6528" max="6528" width="9.85546875" style="286" customWidth="1"/>
    <col min="6529" max="6529" width="11" style="286" customWidth="1"/>
    <col min="6530" max="6530" width="12.28515625" style="286" customWidth="1"/>
    <col min="6531" max="6531" width="12" style="286" customWidth="1"/>
    <col min="6532" max="6532" width="9.85546875" style="286" customWidth="1"/>
    <col min="6533" max="6533" width="11" style="286" customWidth="1"/>
    <col min="6534" max="6534" width="12.28515625" style="286" customWidth="1"/>
    <col min="6535" max="6535" width="12" style="286" customWidth="1"/>
    <col min="6536" max="6536" width="9.85546875" style="286" customWidth="1"/>
    <col min="6537" max="6537" width="11" style="286" customWidth="1"/>
    <col min="6538" max="6538" width="12.28515625" style="286" customWidth="1"/>
    <col min="6539" max="6539" width="12" style="286" customWidth="1"/>
    <col min="6540" max="6540" width="9.85546875" style="286" customWidth="1"/>
    <col min="6541" max="6541" width="11" style="286" customWidth="1"/>
    <col min="6542" max="6542" width="12.28515625" style="286" customWidth="1"/>
    <col min="6543" max="6543" width="12" style="286" customWidth="1"/>
    <col min="6544" max="6544" width="9.85546875" style="286" customWidth="1"/>
    <col min="6545" max="6545" width="11" style="286" customWidth="1"/>
    <col min="6546" max="6546" width="12.28515625" style="286" customWidth="1"/>
    <col min="6547" max="6547" width="12" style="286" customWidth="1"/>
    <col min="6548" max="6548" width="9.85546875" style="286" customWidth="1"/>
    <col min="6549" max="6549" width="11" style="286" customWidth="1"/>
    <col min="6550" max="6550" width="12.28515625" style="286" customWidth="1"/>
    <col min="6551" max="6551" width="12" style="286" customWidth="1"/>
    <col min="6552" max="6552" width="9.85546875" style="286" customWidth="1"/>
    <col min="6553" max="6553" width="11.7109375" style="286" customWidth="1"/>
    <col min="6554" max="6554" width="10.85546875" style="286" customWidth="1"/>
    <col min="6555" max="6555" width="11.7109375" style="286" customWidth="1"/>
    <col min="6556" max="6556" width="9" style="286" customWidth="1"/>
    <col min="6557" max="6557" width="11" style="286" customWidth="1"/>
    <col min="6558" max="6558" width="12.28515625" style="286" customWidth="1"/>
    <col min="6559" max="6559" width="12" style="286" customWidth="1"/>
    <col min="6560" max="6560" width="9.85546875" style="286" customWidth="1"/>
    <col min="6561" max="6561" width="11" style="286" customWidth="1"/>
    <col min="6562" max="6562" width="12.28515625" style="286" customWidth="1"/>
    <col min="6563" max="6563" width="12" style="286" customWidth="1"/>
    <col min="6564" max="6564" width="9.85546875" style="286" customWidth="1"/>
    <col min="6565" max="6565" width="11" style="286" customWidth="1"/>
    <col min="6566" max="6566" width="12.28515625" style="286" customWidth="1"/>
    <col min="6567" max="6567" width="12" style="286" customWidth="1"/>
    <col min="6568" max="6568" width="9.85546875" style="286" customWidth="1"/>
    <col min="6569" max="6572" width="0" style="286" hidden="1" customWidth="1"/>
    <col min="6573" max="6573" width="11" style="286" customWidth="1"/>
    <col min="6574" max="6574" width="12.28515625" style="286" customWidth="1"/>
    <col min="6575" max="6575" width="12" style="286" customWidth="1"/>
    <col min="6576" max="6576" width="9.85546875" style="286" customWidth="1"/>
    <col min="6577" max="6577" width="11" style="286" customWidth="1"/>
    <col min="6578" max="6578" width="12.28515625" style="286" customWidth="1"/>
    <col min="6579" max="6579" width="12" style="286" customWidth="1"/>
    <col min="6580" max="6580" width="9.85546875" style="286" customWidth="1"/>
    <col min="6581" max="6581" width="11" style="286" customWidth="1"/>
    <col min="6582" max="6582" width="12.28515625" style="286" customWidth="1"/>
    <col min="6583" max="6583" width="12" style="286" customWidth="1"/>
    <col min="6584" max="6584" width="9.85546875" style="286" customWidth="1"/>
    <col min="6585" max="6585" width="11" style="286" customWidth="1"/>
    <col min="6586" max="6586" width="12.28515625" style="286" customWidth="1"/>
    <col min="6587" max="6587" width="12" style="286" customWidth="1"/>
    <col min="6588" max="6588" width="9.85546875" style="286" customWidth="1"/>
    <col min="6589" max="6589" width="11" style="286" customWidth="1"/>
    <col min="6590" max="6590" width="12.28515625" style="286" customWidth="1"/>
    <col min="6591" max="6591" width="12" style="286" customWidth="1"/>
    <col min="6592" max="6592" width="9.85546875" style="286" customWidth="1"/>
    <col min="6593" max="6593" width="11" style="286" customWidth="1"/>
    <col min="6594" max="6594" width="12.28515625" style="286" customWidth="1"/>
    <col min="6595" max="6595" width="12" style="286" customWidth="1"/>
    <col min="6596" max="6596" width="9.85546875" style="286" customWidth="1"/>
    <col min="6597" max="6597" width="11" style="286" customWidth="1"/>
    <col min="6598" max="6598" width="12.28515625" style="286" customWidth="1"/>
    <col min="6599" max="6599" width="12" style="286" customWidth="1"/>
    <col min="6600" max="6600" width="9.85546875" style="286" customWidth="1"/>
    <col min="6601" max="6601" width="11" style="286" customWidth="1"/>
    <col min="6602" max="6602" width="12.28515625" style="286" customWidth="1"/>
    <col min="6603" max="6603" width="12" style="286" customWidth="1"/>
    <col min="6604" max="6604" width="9.85546875" style="286" customWidth="1"/>
    <col min="6605" max="6605" width="11" style="286" customWidth="1"/>
    <col min="6606" max="6606" width="12.28515625" style="286" customWidth="1"/>
    <col min="6607" max="6607" width="12" style="286" customWidth="1"/>
    <col min="6608" max="6608" width="9.85546875" style="286" customWidth="1"/>
    <col min="6609" max="6623" width="0" style="286" hidden="1" customWidth="1"/>
    <col min="6624" max="6624" width="9.85546875" style="286" customWidth="1"/>
    <col min="6625" max="6625" width="10.42578125" style="286" customWidth="1"/>
    <col min="6626" max="6626" width="9" style="286" customWidth="1"/>
    <col min="6627" max="6627" width="11.28515625" style="286" customWidth="1"/>
    <col min="6628" max="6628" width="10.140625" style="286" customWidth="1"/>
    <col min="6629" max="6629" width="10.7109375" style="286" customWidth="1"/>
    <col min="6630" max="6630" width="9.28515625" style="286"/>
    <col min="6631" max="6632" width="9.140625" style="286" customWidth="1"/>
    <col min="6633" max="6656" width="9.28515625" style="286"/>
    <col min="6657" max="6657" width="4.28515625" style="286" customWidth="1"/>
    <col min="6658" max="6658" width="5.42578125" style="286" customWidth="1"/>
    <col min="6659" max="6659" width="41.5703125" style="286" customWidth="1"/>
    <col min="6660" max="6660" width="7.42578125" style="286" customWidth="1"/>
    <col min="6661" max="6661" width="13.140625" style="286" customWidth="1"/>
    <col min="6662" max="6662" width="11.7109375" style="286" customWidth="1"/>
    <col min="6663" max="6663" width="14.7109375" style="286" customWidth="1"/>
    <col min="6664" max="6664" width="11.7109375" style="286" customWidth="1"/>
    <col min="6665" max="6665" width="12" style="286" customWidth="1"/>
    <col min="6666" max="6666" width="9.7109375" style="286" customWidth="1"/>
    <col min="6667" max="6668" width="9.42578125" style="286" customWidth="1"/>
    <col min="6669" max="6669" width="10.7109375" style="286" customWidth="1"/>
    <col min="6670" max="6670" width="13.42578125" style="286" customWidth="1"/>
    <col min="6671" max="6671" width="12" style="286" customWidth="1"/>
    <col min="6672" max="6672" width="11" style="286" customWidth="1"/>
    <col min="6673" max="6673" width="10.5703125" style="286" customWidth="1"/>
    <col min="6674" max="6674" width="10.42578125" style="286" customWidth="1"/>
    <col min="6675" max="6675" width="10.7109375" style="286" customWidth="1"/>
    <col min="6676" max="6677" width="11.140625" style="286" customWidth="1"/>
    <col min="6678" max="6678" width="10.5703125" style="286" customWidth="1"/>
    <col min="6679" max="6679" width="10.85546875" style="286" customWidth="1"/>
    <col min="6680" max="6680" width="9.85546875" style="286" customWidth="1"/>
    <col min="6681" max="6681" width="11" style="286" customWidth="1"/>
    <col min="6682" max="6682" width="11.42578125" style="286" customWidth="1"/>
    <col min="6683" max="6683" width="12" style="286" customWidth="1"/>
    <col min="6684" max="6684" width="9.85546875" style="286" customWidth="1"/>
    <col min="6685" max="6685" width="10.5703125" style="286" customWidth="1"/>
    <col min="6686" max="6686" width="11.140625" style="286" customWidth="1"/>
    <col min="6687" max="6687" width="11.42578125" style="286" customWidth="1"/>
    <col min="6688" max="6692" width="9.85546875" style="286" customWidth="1"/>
    <col min="6693" max="6695" width="11.7109375" style="286" customWidth="1"/>
    <col min="6696" max="6696" width="9.85546875" style="286" customWidth="1"/>
    <col min="6697" max="6697" width="11" style="286" customWidth="1"/>
    <col min="6698" max="6698" width="11.42578125" style="286" customWidth="1"/>
    <col min="6699" max="6699" width="11.140625" style="286" customWidth="1"/>
    <col min="6700" max="6700" width="10.42578125" style="286" customWidth="1"/>
    <col min="6701" max="6701" width="11.5703125" style="286" customWidth="1"/>
    <col min="6702" max="6703" width="11.140625" style="286" customWidth="1"/>
    <col min="6704" max="6716" width="9.85546875" style="286" customWidth="1"/>
    <col min="6717" max="6717" width="10.5703125" style="286" customWidth="1"/>
    <col min="6718" max="6718" width="12.42578125" style="286" customWidth="1"/>
    <col min="6719" max="6719" width="10.140625" style="286" customWidth="1"/>
    <col min="6720" max="6720" width="9.140625" style="286" customWidth="1"/>
    <col min="6721" max="6721" width="9" style="286" customWidth="1"/>
    <col min="6722" max="6723" width="9.7109375" style="286" customWidth="1"/>
    <col min="6724" max="6724" width="8.42578125" style="286" customWidth="1"/>
    <col min="6725" max="6725" width="11.7109375" style="286" customWidth="1"/>
    <col min="6726" max="6726" width="10.85546875" style="286" customWidth="1"/>
    <col min="6727" max="6727" width="11.7109375" style="286" customWidth="1"/>
    <col min="6728" max="6728" width="9" style="286" customWidth="1"/>
    <col min="6729" max="6729" width="11" style="286" customWidth="1"/>
    <col min="6730" max="6730" width="10.5703125" style="286" customWidth="1"/>
    <col min="6731" max="6731" width="11.7109375" style="286" customWidth="1"/>
    <col min="6732" max="6733" width="11" style="286" customWidth="1"/>
    <col min="6734" max="6736" width="11.140625" style="286" customWidth="1"/>
    <col min="6737" max="6737" width="8.7109375" style="286" customWidth="1"/>
    <col min="6738" max="6738" width="11.140625" style="286" customWidth="1"/>
    <col min="6739" max="6739" width="9.28515625" style="286"/>
    <col min="6740" max="6740" width="11.140625" style="286" customWidth="1"/>
    <col min="6741" max="6741" width="10.5703125" style="286" customWidth="1"/>
    <col min="6742" max="6742" width="12.28515625" style="286" customWidth="1"/>
    <col min="6743" max="6743" width="12" style="286" customWidth="1"/>
    <col min="6744" max="6744" width="9.85546875" style="286" customWidth="1"/>
    <col min="6745" max="6745" width="11" style="286" customWidth="1"/>
    <col min="6746" max="6746" width="12.28515625" style="286" customWidth="1"/>
    <col min="6747" max="6747" width="12" style="286" customWidth="1"/>
    <col min="6748" max="6748" width="9.85546875" style="286" customWidth="1"/>
    <col min="6749" max="6749" width="11" style="286" customWidth="1"/>
    <col min="6750" max="6750" width="12.28515625" style="286" customWidth="1"/>
    <col min="6751" max="6751" width="12" style="286" customWidth="1"/>
    <col min="6752" max="6752" width="9.85546875" style="286" customWidth="1"/>
    <col min="6753" max="6753" width="11" style="286" customWidth="1"/>
    <col min="6754" max="6754" width="12.28515625" style="286" customWidth="1"/>
    <col min="6755" max="6755" width="12" style="286" customWidth="1"/>
    <col min="6756" max="6756" width="9.85546875" style="286" customWidth="1"/>
    <col min="6757" max="6757" width="11" style="286" customWidth="1"/>
    <col min="6758" max="6758" width="12.28515625" style="286" customWidth="1"/>
    <col min="6759" max="6759" width="12" style="286" customWidth="1"/>
    <col min="6760" max="6760" width="9.85546875" style="286" customWidth="1"/>
    <col min="6761" max="6761" width="11" style="286" customWidth="1"/>
    <col min="6762" max="6762" width="12.28515625" style="286" customWidth="1"/>
    <col min="6763" max="6763" width="12" style="286" customWidth="1"/>
    <col min="6764" max="6764" width="9.85546875" style="286" customWidth="1"/>
    <col min="6765" max="6765" width="11" style="286" customWidth="1"/>
    <col min="6766" max="6766" width="12.28515625" style="286" customWidth="1"/>
    <col min="6767" max="6767" width="12" style="286" customWidth="1"/>
    <col min="6768" max="6768" width="9.85546875" style="286" customWidth="1"/>
    <col min="6769" max="6769" width="11" style="286" customWidth="1"/>
    <col min="6770" max="6770" width="12.28515625" style="286" customWidth="1"/>
    <col min="6771" max="6771" width="12" style="286" customWidth="1"/>
    <col min="6772" max="6772" width="9.85546875" style="286" customWidth="1"/>
    <col min="6773" max="6773" width="11" style="286" customWidth="1"/>
    <col min="6774" max="6774" width="12.28515625" style="286" customWidth="1"/>
    <col min="6775" max="6775" width="12" style="286" customWidth="1"/>
    <col min="6776" max="6776" width="9.85546875" style="286" customWidth="1"/>
    <col min="6777" max="6777" width="11" style="286" customWidth="1"/>
    <col min="6778" max="6778" width="12.28515625" style="286" customWidth="1"/>
    <col min="6779" max="6779" width="12" style="286" customWidth="1"/>
    <col min="6780" max="6780" width="9.85546875" style="286" customWidth="1"/>
    <col min="6781" max="6781" width="11" style="286" customWidth="1"/>
    <col min="6782" max="6782" width="12.28515625" style="286" customWidth="1"/>
    <col min="6783" max="6783" width="12" style="286" customWidth="1"/>
    <col min="6784" max="6784" width="9.85546875" style="286" customWidth="1"/>
    <col min="6785" max="6785" width="11" style="286" customWidth="1"/>
    <col min="6786" max="6786" width="12.28515625" style="286" customWidth="1"/>
    <col min="6787" max="6787" width="12" style="286" customWidth="1"/>
    <col min="6788" max="6788" width="9.85546875" style="286" customWidth="1"/>
    <col min="6789" max="6789" width="11" style="286" customWidth="1"/>
    <col min="6790" max="6790" width="12.28515625" style="286" customWidth="1"/>
    <col min="6791" max="6791" width="12" style="286" customWidth="1"/>
    <col min="6792" max="6792" width="9.85546875" style="286" customWidth="1"/>
    <col min="6793" max="6793" width="11" style="286" customWidth="1"/>
    <col min="6794" max="6794" width="12.28515625" style="286" customWidth="1"/>
    <col min="6795" max="6795" width="12" style="286" customWidth="1"/>
    <col min="6796" max="6796" width="9.85546875" style="286" customWidth="1"/>
    <col min="6797" max="6797" width="11" style="286" customWidth="1"/>
    <col min="6798" max="6798" width="12.28515625" style="286" customWidth="1"/>
    <col min="6799" max="6799" width="12" style="286" customWidth="1"/>
    <col min="6800" max="6800" width="9.85546875" style="286" customWidth="1"/>
    <col min="6801" max="6801" width="11" style="286" customWidth="1"/>
    <col min="6802" max="6802" width="12.28515625" style="286" customWidth="1"/>
    <col min="6803" max="6803" width="12" style="286" customWidth="1"/>
    <col min="6804" max="6804" width="9.85546875" style="286" customWidth="1"/>
    <col min="6805" max="6805" width="11" style="286" customWidth="1"/>
    <col min="6806" max="6806" width="12.28515625" style="286" customWidth="1"/>
    <col min="6807" max="6807" width="12" style="286" customWidth="1"/>
    <col min="6808" max="6808" width="9.85546875" style="286" customWidth="1"/>
    <col min="6809" max="6809" width="11.7109375" style="286" customWidth="1"/>
    <col min="6810" max="6810" width="10.85546875" style="286" customWidth="1"/>
    <col min="6811" max="6811" width="11.7109375" style="286" customWidth="1"/>
    <col min="6812" max="6812" width="9" style="286" customWidth="1"/>
    <col min="6813" max="6813" width="11" style="286" customWidth="1"/>
    <col min="6814" max="6814" width="12.28515625" style="286" customWidth="1"/>
    <col min="6815" max="6815" width="12" style="286" customWidth="1"/>
    <col min="6816" max="6816" width="9.85546875" style="286" customWidth="1"/>
    <col min="6817" max="6817" width="11" style="286" customWidth="1"/>
    <col min="6818" max="6818" width="12.28515625" style="286" customWidth="1"/>
    <col min="6819" max="6819" width="12" style="286" customWidth="1"/>
    <col min="6820" max="6820" width="9.85546875" style="286" customWidth="1"/>
    <col min="6821" max="6821" width="11" style="286" customWidth="1"/>
    <col min="6822" max="6822" width="12.28515625" style="286" customWidth="1"/>
    <col min="6823" max="6823" width="12" style="286" customWidth="1"/>
    <col min="6824" max="6824" width="9.85546875" style="286" customWidth="1"/>
    <col min="6825" max="6828" width="0" style="286" hidden="1" customWidth="1"/>
    <col min="6829" max="6829" width="11" style="286" customWidth="1"/>
    <col min="6830" max="6830" width="12.28515625" style="286" customWidth="1"/>
    <col min="6831" max="6831" width="12" style="286" customWidth="1"/>
    <col min="6832" max="6832" width="9.85546875" style="286" customWidth="1"/>
    <col min="6833" max="6833" width="11" style="286" customWidth="1"/>
    <col min="6834" max="6834" width="12.28515625" style="286" customWidth="1"/>
    <col min="6835" max="6835" width="12" style="286" customWidth="1"/>
    <col min="6836" max="6836" width="9.85546875" style="286" customWidth="1"/>
    <col min="6837" max="6837" width="11" style="286" customWidth="1"/>
    <col min="6838" max="6838" width="12.28515625" style="286" customWidth="1"/>
    <col min="6839" max="6839" width="12" style="286" customWidth="1"/>
    <col min="6840" max="6840" width="9.85546875" style="286" customWidth="1"/>
    <col min="6841" max="6841" width="11" style="286" customWidth="1"/>
    <col min="6842" max="6842" width="12.28515625" style="286" customWidth="1"/>
    <col min="6843" max="6843" width="12" style="286" customWidth="1"/>
    <col min="6844" max="6844" width="9.85546875" style="286" customWidth="1"/>
    <col min="6845" max="6845" width="11" style="286" customWidth="1"/>
    <col min="6846" max="6846" width="12.28515625" style="286" customWidth="1"/>
    <col min="6847" max="6847" width="12" style="286" customWidth="1"/>
    <col min="6848" max="6848" width="9.85546875" style="286" customWidth="1"/>
    <col min="6849" max="6849" width="11" style="286" customWidth="1"/>
    <col min="6850" max="6850" width="12.28515625" style="286" customWidth="1"/>
    <col min="6851" max="6851" width="12" style="286" customWidth="1"/>
    <col min="6852" max="6852" width="9.85546875" style="286" customWidth="1"/>
    <col min="6853" max="6853" width="11" style="286" customWidth="1"/>
    <col min="6854" max="6854" width="12.28515625" style="286" customWidth="1"/>
    <col min="6855" max="6855" width="12" style="286" customWidth="1"/>
    <col min="6856" max="6856" width="9.85546875" style="286" customWidth="1"/>
    <col min="6857" max="6857" width="11" style="286" customWidth="1"/>
    <col min="6858" max="6858" width="12.28515625" style="286" customWidth="1"/>
    <col min="6859" max="6859" width="12" style="286" customWidth="1"/>
    <col min="6860" max="6860" width="9.85546875" style="286" customWidth="1"/>
    <col min="6861" max="6861" width="11" style="286" customWidth="1"/>
    <col min="6862" max="6862" width="12.28515625" style="286" customWidth="1"/>
    <col min="6863" max="6863" width="12" style="286" customWidth="1"/>
    <col min="6864" max="6864" width="9.85546875" style="286" customWidth="1"/>
    <col min="6865" max="6879" width="0" style="286" hidden="1" customWidth="1"/>
    <col min="6880" max="6880" width="9.85546875" style="286" customWidth="1"/>
    <col min="6881" max="6881" width="10.42578125" style="286" customWidth="1"/>
    <col min="6882" max="6882" width="9" style="286" customWidth="1"/>
    <col min="6883" max="6883" width="11.28515625" style="286" customWidth="1"/>
    <col min="6884" max="6884" width="10.140625" style="286" customWidth="1"/>
    <col min="6885" max="6885" width="10.7109375" style="286" customWidth="1"/>
    <col min="6886" max="6886" width="9.28515625" style="286"/>
    <col min="6887" max="6888" width="9.140625" style="286" customWidth="1"/>
    <col min="6889" max="6912" width="9.28515625" style="286"/>
    <col min="6913" max="6913" width="4.28515625" style="286" customWidth="1"/>
    <col min="6914" max="6914" width="5.42578125" style="286" customWidth="1"/>
    <col min="6915" max="6915" width="41.5703125" style="286" customWidth="1"/>
    <col min="6916" max="6916" width="7.42578125" style="286" customWidth="1"/>
    <col min="6917" max="6917" width="13.140625" style="286" customWidth="1"/>
    <col min="6918" max="6918" width="11.7109375" style="286" customWidth="1"/>
    <col min="6919" max="6919" width="14.7109375" style="286" customWidth="1"/>
    <col min="6920" max="6920" width="11.7109375" style="286" customWidth="1"/>
    <col min="6921" max="6921" width="12" style="286" customWidth="1"/>
    <col min="6922" max="6922" width="9.7109375" style="286" customWidth="1"/>
    <col min="6923" max="6924" width="9.42578125" style="286" customWidth="1"/>
    <col min="6925" max="6925" width="10.7109375" style="286" customWidth="1"/>
    <col min="6926" max="6926" width="13.42578125" style="286" customWidth="1"/>
    <col min="6927" max="6927" width="12" style="286" customWidth="1"/>
    <col min="6928" max="6928" width="11" style="286" customWidth="1"/>
    <col min="6929" max="6929" width="10.5703125" style="286" customWidth="1"/>
    <col min="6930" max="6930" width="10.42578125" style="286" customWidth="1"/>
    <col min="6931" max="6931" width="10.7109375" style="286" customWidth="1"/>
    <col min="6932" max="6933" width="11.140625" style="286" customWidth="1"/>
    <col min="6934" max="6934" width="10.5703125" style="286" customWidth="1"/>
    <col min="6935" max="6935" width="10.85546875" style="286" customWidth="1"/>
    <col min="6936" max="6936" width="9.85546875" style="286" customWidth="1"/>
    <col min="6937" max="6937" width="11" style="286" customWidth="1"/>
    <col min="6938" max="6938" width="11.42578125" style="286" customWidth="1"/>
    <col min="6939" max="6939" width="12" style="286" customWidth="1"/>
    <col min="6940" max="6940" width="9.85546875" style="286" customWidth="1"/>
    <col min="6941" max="6941" width="10.5703125" style="286" customWidth="1"/>
    <col min="6942" max="6942" width="11.140625" style="286" customWidth="1"/>
    <col min="6943" max="6943" width="11.42578125" style="286" customWidth="1"/>
    <col min="6944" max="6948" width="9.85546875" style="286" customWidth="1"/>
    <col min="6949" max="6951" width="11.7109375" style="286" customWidth="1"/>
    <col min="6952" max="6952" width="9.85546875" style="286" customWidth="1"/>
    <col min="6953" max="6953" width="11" style="286" customWidth="1"/>
    <col min="6954" max="6954" width="11.42578125" style="286" customWidth="1"/>
    <col min="6955" max="6955" width="11.140625" style="286" customWidth="1"/>
    <col min="6956" max="6956" width="10.42578125" style="286" customWidth="1"/>
    <col min="6957" max="6957" width="11.5703125" style="286" customWidth="1"/>
    <col min="6958" max="6959" width="11.140625" style="286" customWidth="1"/>
    <col min="6960" max="6972" width="9.85546875" style="286" customWidth="1"/>
    <col min="6973" max="6973" width="10.5703125" style="286" customWidth="1"/>
    <col min="6974" max="6974" width="12.42578125" style="286" customWidth="1"/>
    <col min="6975" max="6975" width="10.140625" style="286" customWidth="1"/>
    <col min="6976" max="6976" width="9.140625" style="286" customWidth="1"/>
    <col min="6977" max="6977" width="9" style="286" customWidth="1"/>
    <col min="6978" max="6979" width="9.7109375" style="286" customWidth="1"/>
    <col min="6980" max="6980" width="8.42578125" style="286" customWidth="1"/>
    <col min="6981" max="6981" width="11.7109375" style="286" customWidth="1"/>
    <col min="6982" max="6982" width="10.85546875" style="286" customWidth="1"/>
    <col min="6983" max="6983" width="11.7109375" style="286" customWidth="1"/>
    <col min="6984" max="6984" width="9" style="286" customWidth="1"/>
    <col min="6985" max="6985" width="11" style="286" customWidth="1"/>
    <col min="6986" max="6986" width="10.5703125" style="286" customWidth="1"/>
    <col min="6987" max="6987" width="11.7109375" style="286" customWidth="1"/>
    <col min="6988" max="6989" width="11" style="286" customWidth="1"/>
    <col min="6990" max="6992" width="11.140625" style="286" customWidth="1"/>
    <col min="6993" max="6993" width="8.7109375" style="286" customWidth="1"/>
    <col min="6994" max="6994" width="11.140625" style="286" customWidth="1"/>
    <col min="6995" max="6995" width="9.28515625" style="286"/>
    <col min="6996" max="6996" width="11.140625" style="286" customWidth="1"/>
    <col min="6997" max="6997" width="10.5703125" style="286" customWidth="1"/>
    <col min="6998" max="6998" width="12.28515625" style="286" customWidth="1"/>
    <col min="6999" max="6999" width="12" style="286" customWidth="1"/>
    <col min="7000" max="7000" width="9.85546875" style="286" customWidth="1"/>
    <col min="7001" max="7001" width="11" style="286" customWidth="1"/>
    <col min="7002" max="7002" width="12.28515625" style="286" customWidth="1"/>
    <col min="7003" max="7003" width="12" style="286" customWidth="1"/>
    <col min="7004" max="7004" width="9.85546875" style="286" customWidth="1"/>
    <col min="7005" max="7005" width="11" style="286" customWidth="1"/>
    <col min="7006" max="7006" width="12.28515625" style="286" customWidth="1"/>
    <col min="7007" max="7007" width="12" style="286" customWidth="1"/>
    <col min="7008" max="7008" width="9.85546875" style="286" customWidth="1"/>
    <col min="7009" max="7009" width="11" style="286" customWidth="1"/>
    <col min="7010" max="7010" width="12.28515625" style="286" customWidth="1"/>
    <col min="7011" max="7011" width="12" style="286" customWidth="1"/>
    <col min="7012" max="7012" width="9.85546875" style="286" customWidth="1"/>
    <col min="7013" max="7013" width="11" style="286" customWidth="1"/>
    <col min="7014" max="7014" width="12.28515625" style="286" customWidth="1"/>
    <col min="7015" max="7015" width="12" style="286" customWidth="1"/>
    <col min="7016" max="7016" width="9.85546875" style="286" customWidth="1"/>
    <col min="7017" max="7017" width="11" style="286" customWidth="1"/>
    <col min="7018" max="7018" width="12.28515625" style="286" customWidth="1"/>
    <col min="7019" max="7019" width="12" style="286" customWidth="1"/>
    <col min="7020" max="7020" width="9.85546875" style="286" customWidth="1"/>
    <col min="7021" max="7021" width="11" style="286" customWidth="1"/>
    <col min="7022" max="7022" width="12.28515625" style="286" customWidth="1"/>
    <col min="7023" max="7023" width="12" style="286" customWidth="1"/>
    <col min="7024" max="7024" width="9.85546875" style="286" customWidth="1"/>
    <col min="7025" max="7025" width="11" style="286" customWidth="1"/>
    <col min="7026" max="7026" width="12.28515625" style="286" customWidth="1"/>
    <col min="7027" max="7027" width="12" style="286" customWidth="1"/>
    <col min="7028" max="7028" width="9.85546875" style="286" customWidth="1"/>
    <col min="7029" max="7029" width="11" style="286" customWidth="1"/>
    <col min="7030" max="7030" width="12.28515625" style="286" customWidth="1"/>
    <col min="7031" max="7031" width="12" style="286" customWidth="1"/>
    <col min="7032" max="7032" width="9.85546875" style="286" customWidth="1"/>
    <col min="7033" max="7033" width="11" style="286" customWidth="1"/>
    <col min="7034" max="7034" width="12.28515625" style="286" customWidth="1"/>
    <col min="7035" max="7035" width="12" style="286" customWidth="1"/>
    <col min="7036" max="7036" width="9.85546875" style="286" customWidth="1"/>
    <col min="7037" max="7037" width="11" style="286" customWidth="1"/>
    <col min="7038" max="7038" width="12.28515625" style="286" customWidth="1"/>
    <col min="7039" max="7039" width="12" style="286" customWidth="1"/>
    <col min="7040" max="7040" width="9.85546875" style="286" customWidth="1"/>
    <col min="7041" max="7041" width="11" style="286" customWidth="1"/>
    <col min="7042" max="7042" width="12.28515625" style="286" customWidth="1"/>
    <col min="7043" max="7043" width="12" style="286" customWidth="1"/>
    <col min="7044" max="7044" width="9.85546875" style="286" customWidth="1"/>
    <col min="7045" max="7045" width="11" style="286" customWidth="1"/>
    <col min="7046" max="7046" width="12.28515625" style="286" customWidth="1"/>
    <col min="7047" max="7047" width="12" style="286" customWidth="1"/>
    <col min="7048" max="7048" width="9.85546875" style="286" customWidth="1"/>
    <col min="7049" max="7049" width="11" style="286" customWidth="1"/>
    <col min="7050" max="7050" width="12.28515625" style="286" customWidth="1"/>
    <col min="7051" max="7051" width="12" style="286" customWidth="1"/>
    <col min="7052" max="7052" width="9.85546875" style="286" customWidth="1"/>
    <col min="7053" max="7053" width="11" style="286" customWidth="1"/>
    <col min="7054" max="7054" width="12.28515625" style="286" customWidth="1"/>
    <col min="7055" max="7055" width="12" style="286" customWidth="1"/>
    <col min="7056" max="7056" width="9.85546875" style="286" customWidth="1"/>
    <col min="7057" max="7057" width="11" style="286" customWidth="1"/>
    <col min="7058" max="7058" width="12.28515625" style="286" customWidth="1"/>
    <col min="7059" max="7059" width="12" style="286" customWidth="1"/>
    <col min="7060" max="7060" width="9.85546875" style="286" customWidth="1"/>
    <col min="7061" max="7061" width="11" style="286" customWidth="1"/>
    <col min="7062" max="7062" width="12.28515625" style="286" customWidth="1"/>
    <col min="7063" max="7063" width="12" style="286" customWidth="1"/>
    <col min="7064" max="7064" width="9.85546875" style="286" customWidth="1"/>
    <col min="7065" max="7065" width="11.7109375" style="286" customWidth="1"/>
    <col min="7066" max="7066" width="10.85546875" style="286" customWidth="1"/>
    <col min="7067" max="7067" width="11.7109375" style="286" customWidth="1"/>
    <col min="7068" max="7068" width="9" style="286" customWidth="1"/>
    <col min="7069" max="7069" width="11" style="286" customWidth="1"/>
    <col min="7070" max="7070" width="12.28515625" style="286" customWidth="1"/>
    <col min="7071" max="7071" width="12" style="286" customWidth="1"/>
    <col min="7072" max="7072" width="9.85546875" style="286" customWidth="1"/>
    <col min="7073" max="7073" width="11" style="286" customWidth="1"/>
    <col min="7074" max="7074" width="12.28515625" style="286" customWidth="1"/>
    <col min="7075" max="7075" width="12" style="286" customWidth="1"/>
    <col min="7076" max="7076" width="9.85546875" style="286" customWidth="1"/>
    <col min="7077" max="7077" width="11" style="286" customWidth="1"/>
    <col min="7078" max="7078" width="12.28515625" style="286" customWidth="1"/>
    <col min="7079" max="7079" width="12" style="286" customWidth="1"/>
    <col min="7080" max="7080" width="9.85546875" style="286" customWidth="1"/>
    <col min="7081" max="7084" width="0" style="286" hidden="1" customWidth="1"/>
    <col min="7085" max="7085" width="11" style="286" customWidth="1"/>
    <col min="7086" max="7086" width="12.28515625" style="286" customWidth="1"/>
    <col min="7087" max="7087" width="12" style="286" customWidth="1"/>
    <col min="7088" max="7088" width="9.85546875" style="286" customWidth="1"/>
    <col min="7089" max="7089" width="11" style="286" customWidth="1"/>
    <col min="7090" max="7090" width="12.28515625" style="286" customWidth="1"/>
    <col min="7091" max="7091" width="12" style="286" customWidth="1"/>
    <col min="7092" max="7092" width="9.85546875" style="286" customWidth="1"/>
    <col min="7093" max="7093" width="11" style="286" customWidth="1"/>
    <col min="7094" max="7094" width="12.28515625" style="286" customWidth="1"/>
    <col min="7095" max="7095" width="12" style="286" customWidth="1"/>
    <col min="7096" max="7096" width="9.85546875" style="286" customWidth="1"/>
    <col min="7097" max="7097" width="11" style="286" customWidth="1"/>
    <col min="7098" max="7098" width="12.28515625" style="286" customWidth="1"/>
    <col min="7099" max="7099" width="12" style="286" customWidth="1"/>
    <col min="7100" max="7100" width="9.85546875" style="286" customWidth="1"/>
    <col min="7101" max="7101" width="11" style="286" customWidth="1"/>
    <col min="7102" max="7102" width="12.28515625" style="286" customWidth="1"/>
    <col min="7103" max="7103" width="12" style="286" customWidth="1"/>
    <col min="7104" max="7104" width="9.85546875" style="286" customWidth="1"/>
    <col min="7105" max="7105" width="11" style="286" customWidth="1"/>
    <col min="7106" max="7106" width="12.28515625" style="286" customWidth="1"/>
    <col min="7107" max="7107" width="12" style="286" customWidth="1"/>
    <col min="7108" max="7108" width="9.85546875" style="286" customWidth="1"/>
    <col min="7109" max="7109" width="11" style="286" customWidth="1"/>
    <col min="7110" max="7110" width="12.28515625" style="286" customWidth="1"/>
    <col min="7111" max="7111" width="12" style="286" customWidth="1"/>
    <col min="7112" max="7112" width="9.85546875" style="286" customWidth="1"/>
    <col min="7113" max="7113" width="11" style="286" customWidth="1"/>
    <col min="7114" max="7114" width="12.28515625" style="286" customWidth="1"/>
    <col min="7115" max="7115" width="12" style="286" customWidth="1"/>
    <col min="7116" max="7116" width="9.85546875" style="286" customWidth="1"/>
    <col min="7117" max="7117" width="11" style="286" customWidth="1"/>
    <col min="7118" max="7118" width="12.28515625" style="286" customWidth="1"/>
    <col min="7119" max="7119" width="12" style="286" customWidth="1"/>
    <col min="7120" max="7120" width="9.85546875" style="286" customWidth="1"/>
    <col min="7121" max="7135" width="0" style="286" hidden="1" customWidth="1"/>
    <col min="7136" max="7136" width="9.85546875" style="286" customWidth="1"/>
    <col min="7137" max="7137" width="10.42578125" style="286" customWidth="1"/>
    <col min="7138" max="7138" width="9" style="286" customWidth="1"/>
    <col min="7139" max="7139" width="11.28515625" style="286" customWidth="1"/>
    <col min="7140" max="7140" width="10.140625" style="286" customWidth="1"/>
    <col min="7141" max="7141" width="10.7109375" style="286" customWidth="1"/>
    <col min="7142" max="7142" width="9.28515625" style="286"/>
    <col min="7143" max="7144" width="9.140625" style="286" customWidth="1"/>
    <col min="7145" max="7168" width="9.28515625" style="286"/>
    <col min="7169" max="7169" width="4.28515625" style="286" customWidth="1"/>
    <col min="7170" max="7170" width="5.42578125" style="286" customWidth="1"/>
    <col min="7171" max="7171" width="41.5703125" style="286" customWidth="1"/>
    <col min="7172" max="7172" width="7.42578125" style="286" customWidth="1"/>
    <col min="7173" max="7173" width="13.140625" style="286" customWidth="1"/>
    <col min="7174" max="7174" width="11.7109375" style="286" customWidth="1"/>
    <col min="7175" max="7175" width="14.7109375" style="286" customWidth="1"/>
    <col min="7176" max="7176" width="11.7109375" style="286" customWidth="1"/>
    <col min="7177" max="7177" width="12" style="286" customWidth="1"/>
    <col min="7178" max="7178" width="9.7109375" style="286" customWidth="1"/>
    <col min="7179" max="7180" width="9.42578125" style="286" customWidth="1"/>
    <col min="7181" max="7181" width="10.7109375" style="286" customWidth="1"/>
    <col min="7182" max="7182" width="13.42578125" style="286" customWidth="1"/>
    <col min="7183" max="7183" width="12" style="286" customWidth="1"/>
    <col min="7184" max="7184" width="11" style="286" customWidth="1"/>
    <col min="7185" max="7185" width="10.5703125" style="286" customWidth="1"/>
    <col min="7186" max="7186" width="10.42578125" style="286" customWidth="1"/>
    <col min="7187" max="7187" width="10.7109375" style="286" customWidth="1"/>
    <col min="7188" max="7189" width="11.140625" style="286" customWidth="1"/>
    <col min="7190" max="7190" width="10.5703125" style="286" customWidth="1"/>
    <col min="7191" max="7191" width="10.85546875" style="286" customWidth="1"/>
    <col min="7192" max="7192" width="9.85546875" style="286" customWidth="1"/>
    <col min="7193" max="7193" width="11" style="286" customWidth="1"/>
    <col min="7194" max="7194" width="11.42578125" style="286" customWidth="1"/>
    <col min="7195" max="7195" width="12" style="286" customWidth="1"/>
    <col min="7196" max="7196" width="9.85546875" style="286" customWidth="1"/>
    <col min="7197" max="7197" width="10.5703125" style="286" customWidth="1"/>
    <col min="7198" max="7198" width="11.140625" style="286" customWidth="1"/>
    <col min="7199" max="7199" width="11.42578125" style="286" customWidth="1"/>
    <col min="7200" max="7204" width="9.85546875" style="286" customWidth="1"/>
    <col min="7205" max="7207" width="11.7109375" style="286" customWidth="1"/>
    <col min="7208" max="7208" width="9.85546875" style="286" customWidth="1"/>
    <col min="7209" max="7209" width="11" style="286" customWidth="1"/>
    <col min="7210" max="7210" width="11.42578125" style="286" customWidth="1"/>
    <col min="7211" max="7211" width="11.140625" style="286" customWidth="1"/>
    <col min="7212" max="7212" width="10.42578125" style="286" customWidth="1"/>
    <col min="7213" max="7213" width="11.5703125" style="286" customWidth="1"/>
    <col min="7214" max="7215" width="11.140625" style="286" customWidth="1"/>
    <col min="7216" max="7228" width="9.85546875" style="286" customWidth="1"/>
    <col min="7229" max="7229" width="10.5703125" style="286" customWidth="1"/>
    <col min="7230" max="7230" width="12.42578125" style="286" customWidth="1"/>
    <col min="7231" max="7231" width="10.140625" style="286" customWidth="1"/>
    <col min="7232" max="7232" width="9.140625" style="286" customWidth="1"/>
    <col min="7233" max="7233" width="9" style="286" customWidth="1"/>
    <col min="7234" max="7235" width="9.7109375" style="286" customWidth="1"/>
    <col min="7236" max="7236" width="8.42578125" style="286" customWidth="1"/>
    <col min="7237" max="7237" width="11.7109375" style="286" customWidth="1"/>
    <col min="7238" max="7238" width="10.85546875" style="286" customWidth="1"/>
    <col min="7239" max="7239" width="11.7109375" style="286" customWidth="1"/>
    <col min="7240" max="7240" width="9" style="286" customWidth="1"/>
    <col min="7241" max="7241" width="11" style="286" customWidth="1"/>
    <col min="7242" max="7242" width="10.5703125" style="286" customWidth="1"/>
    <col min="7243" max="7243" width="11.7109375" style="286" customWidth="1"/>
    <col min="7244" max="7245" width="11" style="286" customWidth="1"/>
    <col min="7246" max="7248" width="11.140625" style="286" customWidth="1"/>
    <col min="7249" max="7249" width="8.7109375" style="286" customWidth="1"/>
    <col min="7250" max="7250" width="11.140625" style="286" customWidth="1"/>
    <col min="7251" max="7251" width="9.28515625" style="286"/>
    <col min="7252" max="7252" width="11.140625" style="286" customWidth="1"/>
    <col min="7253" max="7253" width="10.5703125" style="286" customWidth="1"/>
    <col min="7254" max="7254" width="12.28515625" style="286" customWidth="1"/>
    <col min="7255" max="7255" width="12" style="286" customWidth="1"/>
    <col min="7256" max="7256" width="9.85546875" style="286" customWidth="1"/>
    <col min="7257" max="7257" width="11" style="286" customWidth="1"/>
    <col min="7258" max="7258" width="12.28515625" style="286" customWidth="1"/>
    <col min="7259" max="7259" width="12" style="286" customWidth="1"/>
    <col min="7260" max="7260" width="9.85546875" style="286" customWidth="1"/>
    <col min="7261" max="7261" width="11" style="286" customWidth="1"/>
    <col min="7262" max="7262" width="12.28515625" style="286" customWidth="1"/>
    <col min="7263" max="7263" width="12" style="286" customWidth="1"/>
    <col min="7264" max="7264" width="9.85546875" style="286" customWidth="1"/>
    <col min="7265" max="7265" width="11" style="286" customWidth="1"/>
    <col min="7266" max="7266" width="12.28515625" style="286" customWidth="1"/>
    <col min="7267" max="7267" width="12" style="286" customWidth="1"/>
    <col min="7268" max="7268" width="9.85546875" style="286" customWidth="1"/>
    <col min="7269" max="7269" width="11" style="286" customWidth="1"/>
    <col min="7270" max="7270" width="12.28515625" style="286" customWidth="1"/>
    <col min="7271" max="7271" width="12" style="286" customWidth="1"/>
    <col min="7272" max="7272" width="9.85546875" style="286" customWidth="1"/>
    <col min="7273" max="7273" width="11" style="286" customWidth="1"/>
    <col min="7274" max="7274" width="12.28515625" style="286" customWidth="1"/>
    <col min="7275" max="7275" width="12" style="286" customWidth="1"/>
    <col min="7276" max="7276" width="9.85546875" style="286" customWidth="1"/>
    <col min="7277" max="7277" width="11" style="286" customWidth="1"/>
    <col min="7278" max="7278" width="12.28515625" style="286" customWidth="1"/>
    <col min="7279" max="7279" width="12" style="286" customWidth="1"/>
    <col min="7280" max="7280" width="9.85546875" style="286" customWidth="1"/>
    <col min="7281" max="7281" width="11" style="286" customWidth="1"/>
    <col min="7282" max="7282" width="12.28515625" style="286" customWidth="1"/>
    <col min="7283" max="7283" width="12" style="286" customWidth="1"/>
    <col min="7284" max="7284" width="9.85546875" style="286" customWidth="1"/>
    <col min="7285" max="7285" width="11" style="286" customWidth="1"/>
    <col min="7286" max="7286" width="12.28515625" style="286" customWidth="1"/>
    <col min="7287" max="7287" width="12" style="286" customWidth="1"/>
    <col min="7288" max="7288" width="9.85546875" style="286" customWidth="1"/>
    <col min="7289" max="7289" width="11" style="286" customWidth="1"/>
    <col min="7290" max="7290" width="12.28515625" style="286" customWidth="1"/>
    <col min="7291" max="7291" width="12" style="286" customWidth="1"/>
    <col min="7292" max="7292" width="9.85546875" style="286" customWidth="1"/>
    <col min="7293" max="7293" width="11" style="286" customWidth="1"/>
    <col min="7294" max="7294" width="12.28515625" style="286" customWidth="1"/>
    <col min="7295" max="7295" width="12" style="286" customWidth="1"/>
    <col min="7296" max="7296" width="9.85546875" style="286" customWidth="1"/>
    <col min="7297" max="7297" width="11" style="286" customWidth="1"/>
    <col min="7298" max="7298" width="12.28515625" style="286" customWidth="1"/>
    <col min="7299" max="7299" width="12" style="286" customWidth="1"/>
    <col min="7300" max="7300" width="9.85546875" style="286" customWidth="1"/>
    <col min="7301" max="7301" width="11" style="286" customWidth="1"/>
    <col min="7302" max="7302" width="12.28515625" style="286" customWidth="1"/>
    <col min="7303" max="7303" width="12" style="286" customWidth="1"/>
    <col min="7304" max="7304" width="9.85546875" style="286" customWidth="1"/>
    <col min="7305" max="7305" width="11" style="286" customWidth="1"/>
    <col min="7306" max="7306" width="12.28515625" style="286" customWidth="1"/>
    <col min="7307" max="7307" width="12" style="286" customWidth="1"/>
    <col min="7308" max="7308" width="9.85546875" style="286" customWidth="1"/>
    <col min="7309" max="7309" width="11" style="286" customWidth="1"/>
    <col min="7310" max="7310" width="12.28515625" style="286" customWidth="1"/>
    <col min="7311" max="7311" width="12" style="286" customWidth="1"/>
    <col min="7312" max="7312" width="9.85546875" style="286" customWidth="1"/>
    <col min="7313" max="7313" width="11" style="286" customWidth="1"/>
    <col min="7314" max="7314" width="12.28515625" style="286" customWidth="1"/>
    <col min="7315" max="7315" width="12" style="286" customWidth="1"/>
    <col min="7316" max="7316" width="9.85546875" style="286" customWidth="1"/>
    <col min="7317" max="7317" width="11" style="286" customWidth="1"/>
    <col min="7318" max="7318" width="12.28515625" style="286" customWidth="1"/>
    <col min="7319" max="7319" width="12" style="286" customWidth="1"/>
    <col min="7320" max="7320" width="9.85546875" style="286" customWidth="1"/>
    <col min="7321" max="7321" width="11.7109375" style="286" customWidth="1"/>
    <col min="7322" max="7322" width="10.85546875" style="286" customWidth="1"/>
    <col min="7323" max="7323" width="11.7109375" style="286" customWidth="1"/>
    <col min="7324" max="7324" width="9" style="286" customWidth="1"/>
    <col min="7325" max="7325" width="11" style="286" customWidth="1"/>
    <col min="7326" max="7326" width="12.28515625" style="286" customWidth="1"/>
    <col min="7327" max="7327" width="12" style="286" customWidth="1"/>
    <col min="7328" max="7328" width="9.85546875" style="286" customWidth="1"/>
    <col min="7329" max="7329" width="11" style="286" customWidth="1"/>
    <col min="7330" max="7330" width="12.28515625" style="286" customWidth="1"/>
    <col min="7331" max="7331" width="12" style="286" customWidth="1"/>
    <col min="7332" max="7332" width="9.85546875" style="286" customWidth="1"/>
    <col min="7333" max="7333" width="11" style="286" customWidth="1"/>
    <col min="7334" max="7334" width="12.28515625" style="286" customWidth="1"/>
    <col min="7335" max="7335" width="12" style="286" customWidth="1"/>
    <col min="7336" max="7336" width="9.85546875" style="286" customWidth="1"/>
    <col min="7337" max="7340" width="0" style="286" hidden="1" customWidth="1"/>
    <col min="7341" max="7341" width="11" style="286" customWidth="1"/>
    <col min="7342" max="7342" width="12.28515625" style="286" customWidth="1"/>
    <col min="7343" max="7343" width="12" style="286" customWidth="1"/>
    <col min="7344" max="7344" width="9.85546875" style="286" customWidth="1"/>
    <col min="7345" max="7345" width="11" style="286" customWidth="1"/>
    <col min="7346" max="7346" width="12.28515625" style="286" customWidth="1"/>
    <col min="7347" max="7347" width="12" style="286" customWidth="1"/>
    <col min="7348" max="7348" width="9.85546875" style="286" customWidth="1"/>
    <col min="7349" max="7349" width="11" style="286" customWidth="1"/>
    <col min="7350" max="7350" width="12.28515625" style="286" customWidth="1"/>
    <col min="7351" max="7351" width="12" style="286" customWidth="1"/>
    <col min="7352" max="7352" width="9.85546875" style="286" customWidth="1"/>
    <col min="7353" max="7353" width="11" style="286" customWidth="1"/>
    <col min="7354" max="7354" width="12.28515625" style="286" customWidth="1"/>
    <col min="7355" max="7355" width="12" style="286" customWidth="1"/>
    <col min="7356" max="7356" width="9.85546875" style="286" customWidth="1"/>
    <col min="7357" max="7357" width="11" style="286" customWidth="1"/>
    <col min="7358" max="7358" width="12.28515625" style="286" customWidth="1"/>
    <col min="7359" max="7359" width="12" style="286" customWidth="1"/>
    <col min="7360" max="7360" width="9.85546875" style="286" customWidth="1"/>
    <col min="7361" max="7361" width="11" style="286" customWidth="1"/>
    <col min="7362" max="7362" width="12.28515625" style="286" customWidth="1"/>
    <col min="7363" max="7363" width="12" style="286" customWidth="1"/>
    <col min="7364" max="7364" width="9.85546875" style="286" customWidth="1"/>
    <col min="7365" max="7365" width="11" style="286" customWidth="1"/>
    <col min="7366" max="7366" width="12.28515625" style="286" customWidth="1"/>
    <col min="7367" max="7367" width="12" style="286" customWidth="1"/>
    <col min="7368" max="7368" width="9.85546875" style="286" customWidth="1"/>
    <col min="7369" max="7369" width="11" style="286" customWidth="1"/>
    <col min="7370" max="7370" width="12.28515625" style="286" customWidth="1"/>
    <col min="7371" max="7371" width="12" style="286" customWidth="1"/>
    <col min="7372" max="7372" width="9.85546875" style="286" customWidth="1"/>
    <col min="7373" max="7373" width="11" style="286" customWidth="1"/>
    <col min="7374" max="7374" width="12.28515625" style="286" customWidth="1"/>
    <col min="7375" max="7375" width="12" style="286" customWidth="1"/>
    <col min="7376" max="7376" width="9.85546875" style="286" customWidth="1"/>
    <col min="7377" max="7391" width="0" style="286" hidden="1" customWidth="1"/>
    <col min="7392" max="7392" width="9.85546875" style="286" customWidth="1"/>
    <col min="7393" max="7393" width="10.42578125" style="286" customWidth="1"/>
    <col min="7394" max="7394" width="9" style="286" customWidth="1"/>
    <col min="7395" max="7395" width="11.28515625" style="286" customWidth="1"/>
    <col min="7396" max="7396" width="10.140625" style="286" customWidth="1"/>
    <col min="7397" max="7397" width="10.7109375" style="286" customWidth="1"/>
    <col min="7398" max="7398" width="9.28515625" style="286"/>
    <col min="7399" max="7400" width="9.140625" style="286" customWidth="1"/>
    <col min="7401" max="7424" width="9.28515625" style="286"/>
    <col min="7425" max="7425" width="4.28515625" style="286" customWidth="1"/>
    <col min="7426" max="7426" width="5.42578125" style="286" customWidth="1"/>
    <col min="7427" max="7427" width="41.5703125" style="286" customWidth="1"/>
    <col min="7428" max="7428" width="7.42578125" style="286" customWidth="1"/>
    <col min="7429" max="7429" width="13.140625" style="286" customWidth="1"/>
    <col min="7430" max="7430" width="11.7109375" style="286" customWidth="1"/>
    <col min="7431" max="7431" width="14.7109375" style="286" customWidth="1"/>
    <col min="7432" max="7432" width="11.7109375" style="286" customWidth="1"/>
    <col min="7433" max="7433" width="12" style="286" customWidth="1"/>
    <col min="7434" max="7434" width="9.7109375" style="286" customWidth="1"/>
    <col min="7435" max="7436" width="9.42578125" style="286" customWidth="1"/>
    <col min="7437" max="7437" width="10.7109375" style="286" customWidth="1"/>
    <col min="7438" max="7438" width="13.42578125" style="286" customWidth="1"/>
    <col min="7439" max="7439" width="12" style="286" customWidth="1"/>
    <col min="7440" max="7440" width="11" style="286" customWidth="1"/>
    <col min="7441" max="7441" width="10.5703125" style="286" customWidth="1"/>
    <col min="7442" max="7442" width="10.42578125" style="286" customWidth="1"/>
    <col min="7443" max="7443" width="10.7109375" style="286" customWidth="1"/>
    <col min="7444" max="7445" width="11.140625" style="286" customWidth="1"/>
    <col min="7446" max="7446" width="10.5703125" style="286" customWidth="1"/>
    <col min="7447" max="7447" width="10.85546875" style="286" customWidth="1"/>
    <col min="7448" max="7448" width="9.85546875" style="286" customWidth="1"/>
    <col min="7449" max="7449" width="11" style="286" customWidth="1"/>
    <col min="7450" max="7450" width="11.42578125" style="286" customWidth="1"/>
    <col min="7451" max="7451" width="12" style="286" customWidth="1"/>
    <col min="7452" max="7452" width="9.85546875" style="286" customWidth="1"/>
    <col min="7453" max="7453" width="10.5703125" style="286" customWidth="1"/>
    <col min="7454" max="7454" width="11.140625" style="286" customWidth="1"/>
    <col min="7455" max="7455" width="11.42578125" style="286" customWidth="1"/>
    <col min="7456" max="7460" width="9.85546875" style="286" customWidth="1"/>
    <col min="7461" max="7463" width="11.7109375" style="286" customWidth="1"/>
    <col min="7464" max="7464" width="9.85546875" style="286" customWidth="1"/>
    <col min="7465" max="7465" width="11" style="286" customWidth="1"/>
    <col min="7466" max="7466" width="11.42578125" style="286" customWidth="1"/>
    <col min="7467" max="7467" width="11.140625" style="286" customWidth="1"/>
    <col min="7468" max="7468" width="10.42578125" style="286" customWidth="1"/>
    <col min="7469" max="7469" width="11.5703125" style="286" customWidth="1"/>
    <col min="7470" max="7471" width="11.140625" style="286" customWidth="1"/>
    <col min="7472" max="7484" width="9.85546875" style="286" customWidth="1"/>
    <col min="7485" max="7485" width="10.5703125" style="286" customWidth="1"/>
    <col min="7486" max="7486" width="12.42578125" style="286" customWidth="1"/>
    <col min="7487" max="7487" width="10.140625" style="286" customWidth="1"/>
    <col min="7488" max="7488" width="9.140625" style="286" customWidth="1"/>
    <col min="7489" max="7489" width="9" style="286" customWidth="1"/>
    <col min="7490" max="7491" width="9.7109375" style="286" customWidth="1"/>
    <col min="7492" max="7492" width="8.42578125" style="286" customWidth="1"/>
    <col min="7493" max="7493" width="11.7109375" style="286" customWidth="1"/>
    <col min="7494" max="7494" width="10.85546875" style="286" customWidth="1"/>
    <col min="7495" max="7495" width="11.7109375" style="286" customWidth="1"/>
    <col min="7496" max="7496" width="9" style="286" customWidth="1"/>
    <col min="7497" max="7497" width="11" style="286" customWidth="1"/>
    <col min="7498" max="7498" width="10.5703125" style="286" customWidth="1"/>
    <col min="7499" max="7499" width="11.7109375" style="286" customWidth="1"/>
    <col min="7500" max="7501" width="11" style="286" customWidth="1"/>
    <col min="7502" max="7504" width="11.140625" style="286" customWidth="1"/>
    <col min="7505" max="7505" width="8.7109375" style="286" customWidth="1"/>
    <col min="7506" max="7506" width="11.140625" style="286" customWidth="1"/>
    <col min="7507" max="7507" width="9.28515625" style="286"/>
    <col min="7508" max="7508" width="11.140625" style="286" customWidth="1"/>
    <col min="7509" max="7509" width="10.5703125" style="286" customWidth="1"/>
    <col min="7510" max="7510" width="12.28515625" style="286" customWidth="1"/>
    <col min="7511" max="7511" width="12" style="286" customWidth="1"/>
    <col min="7512" max="7512" width="9.85546875" style="286" customWidth="1"/>
    <col min="7513" max="7513" width="11" style="286" customWidth="1"/>
    <col min="7514" max="7514" width="12.28515625" style="286" customWidth="1"/>
    <col min="7515" max="7515" width="12" style="286" customWidth="1"/>
    <col min="7516" max="7516" width="9.85546875" style="286" customWidth="1"/>
    <col min="7517" max="7517" width="11" style="286" customWidth="1"/>
    <col min="7518" max="7518" width="12.28515625" style="286" customWidth="1"/>
    <col min="7519" max="7519" width="12" style="286" customWidth="1"/>
    <col min="7520" max="7520" width="9.85546875" style="286" customWidth="1"/>
    <col min="7521" max="7521" width="11" style="286" customWidth="1"/>
    <col min="7522" max="7522" width="12.28515625" style="286" customWidth="1"/>
    <col min="7523" max="7523" width="12" style="286" customWidth="1"/>
    <col min="7524" max="7524" width="9.85546875" style="286" customWidth="1"/>
    <col min="7525" max="7525" width="11" style="286" customWidth="1"/>
    <col min="7526" max="7526" width="12.28515625" style="286" customWidth="1"/>
    <col min="7527" max="7527" width="12" style="286" customWidth="1"/>
    <col min="7528" max="7528" width="9.85546875" style="286" customWidth="1"/>
    <col min="7529" max="7529" width="11" style="286" customWidth="1"/>
    <col min="7530" max="7530" width="12.28515625" style="286" customWidth="1"/>
    <col min="7531" max="7531" width="12" style="286" customWidth="1"/>
    <col min="7532" max="7532" width="9.85546875" style="286" customWidth="1"/>
    <col min="7533" max="7533" width="11" style="286" customWidth="1"/>
    <col min="7534" max="7534" width="12.28515625" style="286" customWidth="1"/>
    <col min="7535" max="7535" width="12" style="286" customWidth="1"/>
    <col min="7536" max="7536" width="9.85546875" style="286" customWidth="1"/>
    <col min="7537" max="7537" width="11" style="286" customWidth="1"/>
    <col min="7538" max="7538" width="12.28515625" style="286" customWidth="1"/>
    <col min="7539" max="7539" width="12" style="286" customWidth="1"/>
    <col min="7540" max="7540" width="9.85546875" style="286" customWidth="1"/>
    <col min="7541" max="7541" width="11" style="286" customWidth="1"/>
    <col min="7542" max="7542" width="12.28515625" style="286" customWidth="1"/>
    <col min="7543" max="7543" width="12" style="286" customWidth="1"/>
    <col min="7544" max="7544" width="9.85546875" style="286" customWidth="1"/>
    <col min="7545" max="7545" width="11" style="286" customWidth="1"/>
    <col min="7546" max="7546" width="12.28515625" style="286" customWidth="1"/>
    <col min="7547" max="7547" width="12" style="286" customWidth="1"/>
    <col min="7548" max="7548" width="9.85546875" style="286" customWidth="1"/>
    <col min="7549" max="7549" width="11" style="286" customWidth="1"/>
    <col min="7550" max="7550" width="12.28515625" style="286" customWidth="1"/>
    <col min="7551" max="7551" width="12" style="286" customWidth="1"/>
    <col min="7552" max="7552" width="9.85546875" style="286" customWidth="1"/>
    <col min="7553" max="7553" width="11" style="286" customWidth="1"/>
    <col min="7554" max="7554" width="12.28515625" style="286" customWidth="1"/>
    <col min="7555" max="7555" width="12" style="286" customWidth="1"/>
    <col min="7556" max="7556" width="9.85546875" style="286" customWidth="1"/>
    <col min="7557" max="7557" width="11" style="286" customWidth="1"/>
    <col min="7558" max="7558" width="12.28515625" style="286" customWidth="1"/>
    <col min="7559" max="7559" width="12" style="286" customWidth="1"/>
    <col min="7560" max="7560" width="9.85546875" style="286" customWidth="1"/>
    <col min="7561" max="7561" width="11" style="286" customWidth="1"/>
    <col min="7562" max="7562" width="12.28515625" style="286" customWidth="1"/>
    <col min="7563" max="7563" width="12" style="286" customWidth="1"/>
    <col min="7564" max="7564" width="9.85546875" style="286" customWidth="1"/>
    <col min="7565" max="7565" width="11" style="286" customWidth="1"/>
    <col min="7566" max="7566" width="12.28515625" style="286" customWidth="1"/>
    <col min="7567" max="7567" width="12" style="286" customWidth="1"/>
    <col min="7568" max="7568" width="9.85546875" style="286" customWidth="1"/>
    <col min="7569" max="7569" width="11" style="286" customWidth="1"/>
    <col min="7570" max="7570" width="12.28515625" style="286" customWidth="1"/>
    <col min="7571" max="7571" width="12" style="286" customWidth="1"/>
    <col min="7572" max="7572" width="9.85546875" style="286" customWidth="1"/>
    <col min="7573" max="7573" width="11" style="286" customWidth="1"/>
    <col min="7574" max="7574" width="12.28515625" style="286" customWidth="1"/>
    <col min="7575" max="7575" width="12" style="286" customWidth="1"/>
    <col min="7576" max="7576" width="9.85546875" style="286" customWidth="1"/>
    <col min="7577" max="7577" width="11.7109375" style="286" customWidth="1"/>
    <col min="7578" max="7578" width="10.85546875" style="286" customWidth="1"/>
    <col min="7579" max="7579" width="11.7109375" style="286" customWidth="1"/>
    <col min="7580" max="7580" width="9" style="286" customWidth="1"/>
    <col min="7581" max="7581" width="11" style="286" customWidth="1"/>
    <col min="7582" max="7582" width="12.28515625" style="286" customWidth="1"/>
    <col min="7583" max="7583" width="12" style="286" customWidth="1"/>
    <col min="7584" max="7584" width="9.85546875" style="286" customWidth="1"/>
    <col min="7585" max="7585" width="11" style="286" customWidth="1"/>
    <col min="7586" max="7586" width="12.28515625" style="286" customWidth="1"/>
    <col min="7587" max="7587" width="12" style="286" customWidth="1"/>
    <col min="7588" max="7588" width="9.85546875" style="286" customWidth="1"/>
    <col min="7589" max="7589" width="11" style="286" customWidth="1"/>
    <col min="7590" max="7590" width="12.28515625" style="286" customWidth="1"/>
    <col min="7591" max="7591" width="12" style="286" customWidth="1"/>
    <col min="7592" max="7592" width="9.85546875" style="286" customWidth="1"/>
    <col min="7593" max="7596" width="0" style="286" hidden="1" customWidth="1"/>
    <col min="7597" max="7597" width="11" style="286" customWidth="1"/>
    <col min="7598" max="7598" width="12.28515625" style="286" customWidth="1"/>
    <col min="7599" max="7599" width="12" style="286" customWidth="1"/>
    <col min="7600" max="7600" width="9.85546875" style="286" customWidth="1"/>
    <col min="7601" max="7601" width="11" style="286" customWidth="1"/>
    <col min="7602" max="7602" width="12.28515625" style="286" customWidth="1"/>
    <col min="7603" max="7603" width="12" style="286" customWidth="1"/>
    <col min="7604" max="7604" width="9.85546875" style="286" customWidth="1"/>
    <col min="7605" max="7605" width="11" style="286" customWidth="1"/>
    <col min="7606" max="7606" width="12.28515625" style="286" customWidth="1"/>
    <col min="7607" max="7607" width="12" style="286" customWidth="1"/>
    <col min="7608" max="7608" width="9.85546875" style="286" customWidth="1"/>
    <col min="7609" max="7609" width="11" style="286" customWidth="1"/>
    <col min="7610" max="7610" width="12.28515625" style="286" customWidth="1"/>
    <col min="7611" max="7611" width="12" style="286" customWidth="1"/>
    <col min="7612" max="7612" width="9.85546875" style="286" customWidth="1"/>
    <col min="7613" max="7613" width="11" style="286" customWidth="1"/>
    <col min="7614" max="7614" width="12.28515625" style="286" customWidth="1"/>
    <col min="7615" max="7615" width="12" style="286" customWidth="1"/>
    <col min="7616" max="7616" width="9.85546875" style="286" customWidth="1"/>
    <col min="7617" max="7617" width="11" style="286" customWidth="1"/>
    <col min="7618" max="7618" width="12.28515625" style="286" customWidth="1"/>
    <col min="7619" max="7619" width="12" style="286" customWidth="1"/>
    <col min="7620" max="7620" width="9.85546875" style="286" customWidth="1"/>
    <col min="7621" max="7621" width="11" style="286" customWidth="1"/>
    <col min="7622" max="7622" width="12.28515625" style="286" customWidth="1"/>
    <col min="7623" max="7623" width="12" style="286" customWidth="1"/>
    <col min="7624" max="7624" width="9.85546875" style="286" customWidth="1"/>
    <col min="7625" max="7625" width="11" style="286" customWidth="1"/>
    <col min="7626" max="7626" width="12.28515625" style="286" customWidth="1"/>
    <col min="7627" max="7627" width="12" style="286" customWidth="1"/>
    <col min="7628" max="7628" width="9.85546875" style="286" customWidth="1"/>
    <col min="7629" max="7629" width="11" style="286" customWidth="1"/>
    <col min="7630" max="7630" width="12.28515625" style="286" customWidth="1"/>
    <col min="7631" max="7631" width="12" style="286" customWidth="1"/>
    <col min="7632" max="7632" width="9.85546875" style="286" customWidth="1"/>
    <col min="7633" max="7647" width="0" style="286" hidden="1" customWidth="1"/>
    <col min="7648" max="7648" width="9.85546875" style="286" customWidth="1"/>
    <col min="7649" max="7649" width="10.42578125" style="286" customWidth="1"/>
    <col min="7650" max="7650" width="9" style="286" customWidth="1"/>
    <col min="7651" max="7651" width="11.28515625" style="286" customWidth="1"/>
    <col min="7652" max="7652" width="10.140625" style="286" customWidth="1"/>
    <col min="7653" max="7653" width="10.7109375" style="286" customWidth="1"/>
    <col min="7654" max="7654" width="9.28515625" style="286"/>
    <col min="7655" max="7656" width="9.140625" style="286" customWidth="1"/>
    <col min="7657" max="7680" width="9.28515625" style="286"/>
    <col min="7681" max="7681" width="4.28515625" style="286" customWidth="1"/>
    <col min="7682" max="7682" width="5.42578125" style="286" customWidth="1"/>
    <col min="7683" max="7683" width="41.5703125" style="286" customWidth="1"/>
    <col min="7684" max="7684" width="7.42578125" style="286" customWidth="1"/>
    <col min="7685" max="7685" width="13.140625" style="286" customWidth="1"/>
    <col min="7686" max="7686" width="11.7109375" style="286" customWidth="1"/>
    <col min="7687" max="7687" width="14.7109375" style="286" customWidth="1"/>
    <col min="7688" max="7688" width="11.7109375" style="286" customWidth="1"/>
    <col min="7689" max="7689" width="12" style="286" customWidth="1"/>
    <col min="7690" max="7690" width="9.7109375" style="286" customWidth="1"/>
    <col min="7691" max="7692" width="9.42578125" style="286" customWidth="1"/>
    <col min="7693" max="7693" width="10.7109375" style="286" customWidth="1"/>
    <col min="7694" max="7694" width="13.42578125" style="286" customWidth="1"/>
    <col min="7695" max="7695" width="12" style="286" customWidth="1"/>
    <col min="7696" max="7696" width="11" style="286" customWidth="1"/>
    <col min="7697" max="7697" width="10.5703125" style="286" customWidth="1"/>
    <col min="7698" max="7698" width="10.42578125" style="286" customWidth="1"/>
    <col min="7699" max="7699" width="10.7109375" style="286" customWidth="1"/>
    <col min="7700" max="7701" width="11.140625" style="286" customWidth="1"/>
    <col min="7702" max="7702" width="10.5703125" style="286" customWidth="1"/>
    <col min="7703" max="7703" width="10.85546875" style="286" customWidth="1"/>
    <col min="7704" max="7704" width="9.85546875" style="286" customWidth="1"/>
    <col min="7705" max="7705" width="11" style="286" customWidth="1"/>
    <col min="7706" max="7706" width="11.42578125" style="286" customWidth="1"/>
    <col min="7707" max="7707" width="12" style="286" customWidth="1"/>
    <col min="7708" max="7708" width="9.85546875" style="286" customWidth="1"/>
    <col min="7709" max="7709" width="10.5703125" style="286" customWidth="1"/>
    <col min="7710" max="7710" width="11.140625" style="286" customWidth="1"/>
    <col min="7711" max="7711" width="11.42578125" style="286" customWidth="1"/>
    <col min="7712" max="7716" width="9.85546875" style="286" customWidth="1"/>
    <col min="7717" max="7719" width="11.7109375" style="286" customWidth="1"/>
    <col min="7720" max="7720" width="9.85546875" style="286" customWidth="1"/>
    <col min="7721" max="7721" width="11" style="286" customWidth="1"/>
    <col min="7722" max="7722" width="11.42578125" style="286" customWidth="1"/>
    <col min="7723" max="7723" width="11.140625" style="286" customWidth="1"/>
    <col min="7724" max="7724" width="10.42578125" style="286" customWidth="1"/>
    <col min="7725" max="7725" width="11.5703125" style="286" customWidth="1"/>
    <col min="7726" max="7727" width="11.140625" style="286" customWidth="1"/>
    <col min="7728" max="7740" width="9.85546875" style="286" customWidth="1"/>
    <col min="7741" max="7741" width="10.5703125" style="286" customWidth="1"/>
    <col min="7742" max="7742" width="12.42578125" style="286" customWidth="1"/>
    <col min="7743" max="7743" width="10.140625" style="286" customWidth="1"/>
    <col min="7744" max="7744" width="9.140625" style="286" customWidth="1"/>
    <col min="7745" max="7745" width="9" style="286" customWidth="1"/>
    <col min="7746" max="7747" width="9.7109375" style="286" customWidth="1"/>
    <col min="7748" max="7748" width="8.42578125" style="286" customWidth="1"/>
    <col min="7749" max="7749" width="11.7109375" style="286" customWidth="1"/>
    <col min="7750" max="7750" width="10.85546875" style="286" customWidth="1"/>
    <col min="7751" max="7751" width="11.7109375" style="286" customWidth="1"/>
    <col min="7752" max="7752" width="9" style="286" customWidth="1"/>
    <col min="7753" max="7753" width="11" style="286" customWidth="1"/>
    <col min="7754" max="7754" width="10.5703125" style="286" customWidth="1"/>
    <col min="7755" max="7755" width="11.7109375" style="286" customWidth="1"/>
    <col min="7756" max="7757" width="11" style="286" customWidth="1"/>
    <col min="7758" max="7760" width="11.140625" style="286" customWidth="1"/>
    <col min="7761" max="7761" width="8.7109375" style="286" customWidth="1"/>
    <col min="7762" max="7762" width="11.140625" style="286" customWidth="1"/>
    <col min="7763" max="7763" width="9.28515625" style="286"/>
    <col min="7764" max="7764" width="11.140625" style="286" customWidth="1"/>
    <col min="7765" max="7765" width="10.5703125" style="286" customWidth="1"/>
    <col min="7766" max="7766" width="12.28515625" style="286" customWidth="1"/>
    <col min="7767" max="7767" width="12" style="286" customWidth="1"/>
    <col min="7768" max="7768" width="9.85546875" style="286" customWidth="1"/>
    <col min="7769" max="7769" width="11" style="286" customWidth="1"/>
    <col min="7770" max="7770" width="12.28515625" style="286" customWidth="1"/>
    <col min="7771" max="7771" width="12" style="286" customWidth="1"/>
    <col min="7772" max="7772" width="9.85546875" style="286" customWidth="1"/>
    <col min="7773" max="7773" width="11" style="286" customWidth="1"/>
    <col min="7774" max="7774" width="12.28515625" style="286" customWidth="1"/>
    <col min="7775" max="7775" width="12" style="286" customWidth="1"/>
    <col min="7776" max="7776" width="9.85546875" style="286" customWidth="1"/>
    <col min="7777" max="7777" width="11" style="286" customWidth="1"/>
    <col min="7778" max="7778" width="12.28515625" style="286" customWidth="1"/>
    <col min="7779" max="7779" width="12" style="286" customWidth="1"/>
    <col min="7780" max="7780" width="9.85546875" style="286" customWidth="1"/>
    <col min="7781" max="7781" width="11" style="286" customWidth="1"/>
    <col min="7782" max="7782" width="12.28515625" style="286" customWidth="1"/>
    <col min="7783" max="7783" width="12" style="286" customWidth="1"/>
    <col min="7784" max="7784" width="9.85546875" style="286" customWidth="1"/>
    <col min="7785" max="7785" width="11" style="286" customWidth="1"/>
    <col min="7786" max="7786" width="12.28515625" style="286" customWidth="1"/>
    <col min="7787" max="7787" width="12" style="286" customWidth="1"/>
    <col min="7788" max="7788" width="9.85546875" style="286" customWidth="1"/>
    <col min="7789" max="7789" width="11" style="286" customWidth="1"/>
    <col min="7790" max="7790" width="12.28515625" style="286" customWidth="1"/>
    <col min="7791" max="7791" width="12" style="286" customWidth="1"/>
    <col min="7792" max="7792" width="9.85546875" style="286" customWidth="1"/>
    <col min="7793" max="7793" width="11" style="286" customWidth="1"/>
    <col min="7794" max="7794" width="12.28515625" style="286" customWidth="1"/>
    <col min="7795" max="7795" width="12" style="286" customWidth="1"/>
    <col min="7796" max="7796" width="9.85546875" style="286" customWidth="1"/>
    <col min="7797" max="7797" width="11" style="286" customWidth="1"/>
    <col min="7798" max="7798" width="12.28515625" style="286" customWidth="1"/>
    <col min="7799" max="7799" width="12" style="286" customWidth="1"/>
    <col min="7800" max="7800" width="9.85546875" style="286" customWidth="1"/>
    <col min="7801" max="7801" width="11" style="286" customWidth="1"/>
    <col min="7802" max="7802" width="12.28515625" style="286" customWidth="1"/>
    <col min="7803" max="7803" width="12" style="286" customWidth="1"/>
    <col min="7804" max="7804" width="9.85546875" style="286" customWidth="1"/>
    <col min="7805" max="7805" width="11" style="286" customWidth="1"/>
    <col min="7806" max="7806" width="12.28515625" style="286" customWidth="1"/>
    <col min="7807" max="7807" width="12" style="286" customWidth="1"/>
    <col min="7808" max="7808" width="9.85546875" style="286" customWidth="1"/>
    <col min="7809" max="7809" width="11" style="286" customWidth="1"/>
    <col min="7810" max="7810" width="12.28515625" style="286" customWidth="1"/>
    <col min="7811" max="7811" width="12" style="286" customWidth="1"/>
    <col min="7812" max="7812" width="9.85546875" style="286" customWidth="1"/>
    <col min="7813" max="7813" width="11" style="286" customWidth="1"/>
    <col min="7814" max="7814" width="12.28515625" style="286" customWidth="1"/>
    <col min="7815" max="7815" width="12" style="286" customWidth="1"/>
    <col min="7816" max="7816" width="9.85546875" style="286" customWidth="1"/>
    <col min="7817" max="7817" width="11" style="286" customWidth="1"/>
    <col min="7818" max="7818" width="12.28515625" style="286" customWidth="1"/>
    <col min="7819" max="7819" width="12" style="286" customWidth="1"/>
    <col min="7820" max="7820" width="9.85546875" style="286" customWidth="1"/>
    <col min="7821" max="7821" width="11" style="286" customWidth="1"/>
    <col min="7822" max="7822" width="12.28515625" style="286" customWidth="1"/>
    <col min="7823" max="7823" width="12" style="286" customWidth="1"/>
    <col min="7824" max="7824" width="9.85546875" style="286" customWidth="1"/>
    <col min="7825" max="7825" width="11" style="286" customWidth="1"/>
    <col min="7826" max="7826" width="12.28515625" style="286" customWidth="1"/>
    <col min="7827" max="7827" width="12" style="286" customWidth="1"/>
    <col min="7828" max="7828" width="9.85546875" style="286" customWidth="1"/>
    <col min="7829" max="7829" width="11" style="286" customWidth="1"/>
    <col min="7830" max="7830" width="12.28515625" style="286" customWidth="1"/>
    <col min="7831" max="7831" width="12" style="286" customWidth="1"/>
    <col min="7832" max="7832" width="9.85546875" style="286" customWidth="1"/>
    <col min="7833" max="7833" width="11.7109375" style="286" customWidth="1"/>
    <col min="7834" max="7834" width="10.85546875" style="286" customWidth="1"/>
    <col min="7835" max="7835" width="11.7109375" style="286" customWidth="1"/>
    <col min="7836" max="7836" width="9" style="286" customWidth="1"/>
    <col min="7837" max="7837" width="11" style="286" customWidth="1"/>
    <col min="7838" max="7838" width="12.28515625" style="286" customWidth="1"/>
    <col min="7839" max="7839" width="12" style="286" customWidth="1"/>
    <col min="7840" max="7840" width="9.85546875" style="286" customWidth="1"/>
    <col min="7841" max="7841" width="11" style="286" customWidth="1"/>
    <col min="7842" max="7842" width="12.28515625" style="286" customWidth="1"/>
    <col min="7843" max="7843" width="12" style="286" customWidth="1"/>
    <col min="7844" max="7844" width="9.85546875" style="286" customWidth="1"/>
    <col min="7845" max="7845" width="11" style="286" customWidth="1"/>
    <col min="7846" max="7846" width="12.28515625" style="286" customWidth="1"/>
    <col min="7847" max="7847" width="12" style="286" customWidth="1"/>
    <col min="7848" max="7848" width="9.85546875" style="286" customWidth="1"/>
    <col min="7849" max="7852" width="0" style="286" hidden="1" customWidth="1"/>
    <col min="7853" max="7853" width="11" style="286" customWidth="1"/>
    <col min="7854" max="7854" width="12.28515625" style="286" customWidth="1"/>
    <col min="7855" max="7855" width="12" style="286" customWidth="1"/>
    <col min="7856" max="7856" width="9.85546875" style="286" customWidth="1"/>
    <col min="7857" max="7857" width="11" style="286" customWidth="1"/>
    <col min="7858" max="7858" width="12.28515625" style="286" customWidth="1"/>
    <col min="7859" max="7859" width="12" style="286" customWidth="1"/>
    <col min="7860" max="7860" width="9.85546875" style="286" customWidth="1"/>
    <col min="7861" max="7861" width="11" style="286" customWidth="1"/>
    <col min="7862" max="7862" width="12.28515625" style="286" customWidth="1"/>
    <col min="7863" max="7863" width="12" style="286" customWidth="1"/>
    <col min="7864" max="7864" width="9.85546875" style="286" customWidth="1"/>
    <col min="7865" max="7865" width="11" style="286" customWidth="1"/>
    <col min="7866" max="7866" width="12.28515625" style="286" customWidth="1"/>
    <col min="7867" max="7867" width="12" style="286" customWidth="1"/>
    <col min="7868" max="7868" width="9.85546875" style="286" customWidth="1"/>
    <col min="7869" max="7869" width="11" style="286" customWidth="1"/>
    <col min="7870" max="7870" width="12.28515625" style="286" customWidth="1"/>
    <col min="7871" max="7871" width="12" style="286" customWidth="1"/>
    <col min="7872" max="7872" width="9.85546875" style="286" customWidth="1"/>
    <col min="7873" max="7873" width="11" style="286" customWidth="1"/>
    <col min="7874" max="7874" width="12.28515625" style="286" customWidth="1"/>
    <col min="7875" max="7875" width="12" style="286" customWidth="1"/>
    <col min="7876" max="7876" width="9.85546875" style="286" customWidth="1"/>
    <col min="7877" max="7877" width="11" style="286" customWidth="1"/>
    <col min="7878" max="7878" width="12.28515625" style="286" customWidth="1"/>
    <col min="7879" max="7879" width="12" style="286" customWidth="1"/>
    <col min="7880" max="7880" width="9.85546875" style="286" customWidth="1"/>
    <col min="7881" max="7881" width="11" style="286" customWidth="1"/>
    <col min="7882" max="7882" width="12.28515625" style="286" customWidth="1"/>
    <col min="7883" max="7883" width="12" style="286" customWidth="1"/>
    <col min="7884" max="7884" width="9.85546875" style="286" customWidth="1"/>
    <col min="7885" max="7885" width="11" style="286" customWidth="1"/>
    <col min="7886" max="7886" width="12.28515625" style="286" customWidth="1"/>
    <col min="7887" max="7887" width="12" style="286" customWidth="1"/>
    <col min="7888" max="7888" width="9.85546875" style="286" customWidth="1"/>
    <col min="7889" max="7903" width="0" style="286" hidden="1" customWidth="1"/>
    <col min="7904" max="7904" width="9.85546875" style="286" customWidth="1"/>
    <col min="7905" max="7905" width="10.42578125" style="286" customWidth="1"/>
    <col min="7906" max="7906" width="9" style="286" customWidth="1"/>
    <col min="7907" max="7907" width="11.28515625" style="286" customWidth="1"/>
    <col min="7908" max="7908" width="10.140625" style="286" customWidth="1"/>
    <col min="7909" max="7909" width="10.7109375" style="286" customWidth="1"/>
    <col min="7910" max="7910" width="9.28515625" style="286"/>
    <col min="7911" max="7912" width="9.140625" style="286" customWidth="1"/>
    <col min="7913" max="7936" width="9.28515625" style="286"/>
    <col min="7937" max="7937" width="4.28515625" style="286" customWidth="1"/>
    <col min="7938" max="7938" width="5.42578125" style="286" customWidth="1"/>
    <col min="7939" max="7939" width="41.5703125" style="286" customWidth="1"/>
    <col min="7940" max="7940" width="7.42578125" style="286" customWidth="1"/>
    <col min="7941" max="7941" width="13.140625" style="286" customWidth="1"/>
    <col min="7942" max="7942" width="11.7109375" style="286" customWidth="1"/>
    <col min="7943" max="7943" width="14.7109375" style="286" customWidth="1"/>
    <col min="7944" max="7944" width="11.7109375" style="286" customWidth="1"/>
    <col min="7945" max="7945" width="12" style="286" customWidth="1"/>
    <col min="7946" max="7946" width="9.7109375" style="286" customWidth="1"/>
    <col min="7947" max="7948" width="9.42578125" style="286" customWidth="1"/>
    <col min="7949" max="7949" width="10.7109375" style="286" customWidth="1"/>
    <col min="7950" max="7950" width="13.42578125" style="286" customWidth="1"/>
    <col min="7951" max="7951" width="12" style="286" customWidth="1"/>
    <col min="7952" max="7952" width="11" style="286" customWidth="1"/>
    <col min="7953" max="7953" width="10.5703125" style="286" customWidth="1"/>
    <col min="7954" max="7954" width="10.42578125" style="286" customWidth="1"/>
    <col min="7955" max="7955" width="10.7109375" style="286" customWidth="1"/>
    <col min="7956" max="7957" width="11.140625" style="286" customWidth="1"/>
    <col min="7958" max="7958" width="10.5703125" style="286" customWidth="1"/>
    <col min="7959" max="7959" width="10.85546875" style="286" customWidth="1"/>
    <col min="7960" max="7960" width="9.85546875" style="286" customWidth="1"/>
    <col min="7961" max="7961" width="11" style="286" customWidth="1"/>
    <col min="7962" max="7962" width="11.42578125" style="286" customWidth="1"/>
    <col min="7963" max="7963" width="12" style="286" customWidth="1"/>
    <col min="7964" max="7964" width="9.85546875" style="286" customWidth="1"/>
    <col min="7965" max="7965" width="10.5703125" style="286" customWidth="1"/>
    <col min="7966" max="7966" width="11.140625" style="286" customWidth="1"/>
    <col min="7967" max="7967" width="11.42578125" style="286" customWidth="1"/>
    <col min="7968" max="7972" width="9.85546875" style="286" customWidth="1"/>
    <col min="7973" max="7975" width="11.7109375" style="286" customWidth="1"/>
    <col min="7976" max="7976" width="9.85546875" style="286" customWidth="1"/>
    <col min="7977" max="7977" width="11" style="286" customWidth="1"/>
    <col min="7978" max="7978" width="11.42578125" style="286" customWidth="1"/>
    <col min="7979" max="7979" width="11.140625" style="286" customWidth="1"/>
    <col min="7980" max="7980" width="10.42578125" style="286" customWidth="1"/>
    <col min="7981" max="7981" width="11.5703125" style="286" customWidth="1"/>
    <col min="7982" max="7983" width="11.140625" style="286" customWidth="1"/>
    <col min="7984" max="7996" width="9.85546875" style="286" customWidth="1"/>
    <col min="7997" max="7997" width="10.5703125" style="286" customWidth="1"/>
    <col min="7998" max="7998" width="12.42578125" style="286" customWidth="1"/>
    <col min="7999" max="7999" width="10.140625" style="286" customWidth="1"/>
    <col min="8000" max="8000" width="9.140625" style="286" customWidth="1"/>
    <col min="8001" max="8001" width="9" style="286" customWidth="1"/>
    <col min="8002" max="8003" width="9.7109375" style="286" customWidth="1"/>
    <col min="8004" max="8004" width="8.42578125" style="286" customWidth="1"/>
    <col min="8005" max="8005" width="11.7109375" style="286" customWidth="1"/>
    <col min="8006" max="8006" width="10.85546875" style="286" customWidth="1"/>
    <col min="8007" max="8007" width="11.7109375" style="286" customWidth="1"/>
    <col min="8008" max="8008" width="9" style="286" customWidth="1"/>
    <col min="8009" max="8009" width="11" style="286" customWidth="1"/>
    <col min="8010" max="8010" width="10.5703125" style="286" customWidth="1"/>
    <col min="8011" max="8011" width="11.7109375" style="286" customWidth="1"/>
    <col min="8012" max="8013" width="11" style="286" customWidth="1"/>
    <col min="8014" max="8016" width="11.140625" style="286" customWidth="1"/>
    <col min="8017" max="8017" width="8.7109375" style="286" customWidth="1"/>
    <col min="8018" max="8018" width="11.140625" style="286" customWidth="1"/>
    <col min="8019" max="8019" width="9.28515625" style="286"/>
    <col min="8020" max="8020" width="11.140625" style="286" customWidth="1"/>
    <col min="8021" max="8021" width="10.5703125" style="286" customWidth="1"/>
    <col min="8022" max="8022" width="12.28515625" style="286" customWidth="1"/>
    <col min="8023" max="8023" width="12" style="286" customWidth="1"/>
    <col min="8024" max="8024" width="9.85546875" style="286" customWidth="1"/>
    <col min="8025" max="8025" width="11" style="286" customWidth="1"/>
    <col min="8026" max="8026" width="12.28515625" style="286" customWidth="1"/>
    <col min="8027" max="8027" width="12" style="286" customWidth="1"/>
    <col min="8028" max="8028" width="9.85546875" style="286" customWidth="1"/>
    <col min="8029" max="8029" width="11" style="286" customWidth="1"/>
    <col min="8030" max="8030" width="12.28515625" style="286" customWidth="1"/>
    <col min="8031" max="8031" width="12" style="286" customWidth="1"/>
    <col min="8032" max="8032" width="9.85546875" style="286" customWidth="1"/>
    <col min="8033" max="8033" width="11" style="286" customWidth="1"/>
    <col min="8034" max="8034" width="12.28515625" style="286" customWidth="1"/>
    <col min="8035" max="8035" width="12" style="286" customWidth="1"/>
    <col min="8036" max="8036" width="9.85546875" style="286" customWidth="1"/>
    <col min="8037" max="8037" width="11" style="286" customWidth="1"/>
    <col min="8038" max="8038" width="12.28515625" style="286" customWidth="1"/>
    <col min="8039" max="8039" width="12" style="286" customWidth="1"/>
    <col min="8040" max="8040" width="9.85546875" style="286" customWidth="1"/>
    <col min="8041" max="8041" width="11" style="286" customWidth="1"/>
    <col min="8042" max="8042" width="12.28515625" style="286" customWidth="1"/>
    <col min="8043" max="8043" width="12" style="286" customWidth="1"/>
    <col min="8044" max="8044" width="9.85546875" style="286" customWidth="1"/>
    <col min="8045" max="8045" width="11" style="286" customWidth="1"/>
    <col min="8046" max="8046" width="12.28515625" style="286" customWidth="1"/>
    <col min="8047" max="8047" width="12" style="286" customWidth="1"/>
    <col min="8048" max="8048" width="9.85546875" style="286" customWidth="1"/>
    <col min="8049" max="8049" width="11" style="286" customWidth="1"/>
    <col min="8050" max="8050" width="12.28515625" style="286" customWidth="1"/>
    <col min="8051" max="8051" width="12" style="286" customWidth="1"/>
    <col min="8052" max="8052" width="9.85546875" style="286" customWidth="1"/>
    <col min="8053" max="8053" width="11" style="286" customWidth="1"/>
    <col min="8054" max="8054" width="12.28515625" style="286" customWidth="1"/>
    <col min="8055" max="8055" width="12" style="286" customWidth="1"/>
    <col min="8056" max="8056" width="9.85546875" style="286" customWidth="1"/>
    <col min="8057" max="8057" width="11" style="286" customWidth="1"/>
    <col min="8058" max="8058" width="12.28515625" style="286" customWidth="1"/>
    <col min="8059" max="8059" width="12" style="286" customWidth="1"/>
    <col min="8060" max="8060" width="9.85546875" style="286" customWidth="1"/>
    <col min="8061" max="8061" width="11" style="286" customWidth="1"/>
    <col min="8062" max="8062" width="12.28515625" style="286" customWidth="1"/>
    <col min="8063" max="8063" width="12" style="286" customWidth="1"/>
    <col min="8064" max="8064" width="9.85546875" style="286" customWidth="1"/>
    <col min="8065" max="8065" width="11" style="286" customWidth="1"/>
    <col min="8066" max="8066" width="12.28515625" style="286" customWidth="1"/>
    <col min="8067" max="8067" width="12" style="286" customWidth="1"/>
    <col min="8068" max="8068" width="9.85546875" style="286" customWidth="1"/>
    <col min="8069" max="8069" width="11" style="286" customWidth="1"/>
    <col min="8070" max="8070" width="12.28515625" style="286" customWidth="1"/>
    <col min="8071" max="8071" width="12" style="286" customWidth="1"/>
    <col min="8072" max="8072" width="9.85546875" style="286" customWidth="1"/>
    <col min="8073" max="8073" width="11" style="286" customWidth="1"/>
    <col min="8074" max="8074" width="12.28515625" style="286" customWidth="1"/>
    <col min="8075" max="8075" width="12" style="286" customWidth="1"/>
    <col min="8076" max="8076" width="9.85546875" style="286" customWidth="1"/>
    <col min="8077" max="8077" width="11" style="286" customWidth="1"/>
    <col min="8078" max="8078" width="12.28515625" style="286" customWidth="1"/>
    <col min="8079" max="8079" width="12" style="286" customWidth="1"/>
    <col min="8080" max="8080" width="9.85546875" style="286" customWidth="1"/>
    <col min="8081" max="8081" width="11" style="286" customWidth="1"/>
    <col min="8082" max="8082" width="12.28515625" style="286" customWidth="1"/>
    <col min="8083" max="8083" width="12" style="286" customWidth="1"/>
    <col min="8084" max="8084" width="9.85546875" style="286" customWidth="1"/>
    <col min="8085" max="8085" width="11" style="286" customWidth="1"/>
    <col min="8086" max="8086" width="12.28515625" style="286" customWidth="1"/>
    <col min="8087" max="8087" width="12" style="286" customWidth="1"/>
    <col min="8088" max="8088" width="9.85546875" style="286" customWidth="1"/>
    <col min="8089" max="8089" width="11.7109375" style="286" customWidth="1"/>
    <col min="8090" max="8090" width="10.85546875" style="286" customWidth="1"/>
    <col min="8091" max="8091" width="11.7109375" style="286" customWidth="1"/>
    <col min="8092" max="8092" width="9" style="286" customWidth="1"/>
    <col min="8093" max="8093" width="11" style="286" customWidth="1"/>
    <col min="8094" max="8094" width="12.28515625" style="286" customWidth="1"/>
    <col min="8095" max="8095" width="12" style="286" customWidth="1"/>
    <col min="8096" max="8096" width="9.85546875" style="286" customWidth="1"/>
    <col min="8097" max="8097" width="11" style="286" customWidth="1"/>
    <col min="8098" max="8098" width="12.28515625" style="286" customWidth="1"/>
    <col min="8099" max="8099" width="12" style="286" customWidth="1"/>
    <col min="8100" max="8100" width="9.85546875" style="286" customWidth="1"/>
    <col min="8101" max="8101" width="11" style="286" customWidth="1"/>
    <col min="8102" max="8102" width="12.28515625" style="286" customWidth="1"/>
    <col min="8103" max="8103" width="12" style="286" customWidth="1"/>
    <col min="8104" max="8104" width="9.85546875" style="286" customWidth="1"/>
    <col min="8105" max="8108" width="0" style="286" hidden="1" customWidth="1"/>
    <col min="8109" max="8109" width="11" style="286" customWidth="1"/>
    <col min="8110" max="8110" width="12.28515625" style="286" customWidth="1"/>
    <col min="8111" max="8111" width="12" style="286" customWidth="1"/>
    <col min="8112" max="8112" width="9.85546875" style="286" customWidth="1"/>
    <col min="8113" max="8113" width="11" style="286" customWidth="1"/>
    <col min="8114" max="8114" width="12.28515625" style="286" customWidth="1"/>
    <col min="8115" max="8115" width="12" style="286" customWidth="1"/>
    <col min="8116" max="8116" width="9.85546875" style="286" customWidth="1"/>
    <col min="8117" max="8117" width="11" style="286" customWidth="1"/>
    <col min="8118" max="8118" width="12.28515625" style="286" customWidth="1"/>
    <col min="8119" max="8119" width="12" style="286" customWidth="1"/>
    <col min="8120" max="8120" width="9.85546875" style="286" customWidth="1"/>
    <col min="8121" max="8121" width="11" style="286" customWidth="1"/>
    <col min="8122" max="8122" width="12.28515625" style="286" customWidth="1"/>
    <col min="8123" max="8123" width="12" style="286" customWidth="1"/>
    <col min="8124" max="8124" width="9.85546875" style="286" customWidth="1"/>
    <col min="8125" max="8125" width="11" style="286" customWidth="1"/>
    <col min="8126" max="8126" width="12.28515625" style="286" customWidth="1"/>
    <col min="8127" max="8127" width="12" style="286" customWidth="1"/>
    <col min="8128" max="8128" width="9.85546875" style="286" customWidth="1"/>
    <col min="8129" max="8129" width="11" style="286" customWidth="1"/>
    <col min="8130" max="8130" width="12.28515625" style="286" customWidth="1"/>
    <col min="8131" max="8131" width="12" style="286" customWidth="1"/>
    <col min="8132" max="8132" width="9.85546875" style="286" customWidth="1"/>
    <col min="8133" max="8133" width="11" style="286" customWidth="1"/>
    <col min="8134" max="8134" width="12.28515625" style="286" customWidth="1"/>
    <col min="8135" max="8135" width="12" style="286" customWidth="1"/>
    <col min="8136" max="8136" width="9.85546875" style="286" customWidth="1"/>
    <col min="8137" max="8137" width="11" style="286" customWidth="1"/>
    <col min="8138" max="8138" width="12.28515625" style="286" customWidth="1"/>
    <col min="8139" max="8139" width="12" style="286" customWidth="1"/>
    <col min="8140" max="8140" width="9.85546875" style="286" customWidth="1"/>
    <col min="8141" max="8141" width="11" style="286" customWidth="1"/>
    <col min="8142" max="8142" width="12.28515625" style="286" customWidth="1"/>
    <col min="8143" max="8143" width="12" style="286" customWidth="1"/>
    <col min="8144" max="8144" width="9.85546875" style="286" customWidth="1"/>
    <col min="8145" max="8159" width="0" style="286" hidden="1" customWidth="1"/>
    <col min="8160" max="8160" width="9.85546875" style="286" customWidth="1"/>
    <col min="8161" max="8161" width="10.42578125" style="286" customWidth="1"/>
    <col min="8162" max="8162" width="9" style="286" customWidth="1"/>
    <col min="8163" max="8163" width="11.28515625" style="286" customWidth="1"/>
    <col min="8164" max="8164" width="10.140625" style="286" customWidth="1"/>
    <col min="8165" max="8165" width="10.7109375" style="286" customWidth="1"/>
    <col min="8166" max="8166" width="9.28515625" style="286"/>
    <col min="8167" max="8168" width="9.140625" style="286" customWidth="1"/>
    <col min="8169" max="8192" width="9.28515625" style="286"/>
    <col min="8193" max="8193" width="4.28515625" style="286" customWidth="1"/>
    <col min="8194" max="8194" width="5.42578125" style="286" customWidth="1"/>
    <col min="8195" max="8195" width="41.5703125" style="286" customWidth="1"/>
    <col min="8196" max="8196" width="7.42578125" style="286" customWidth="1"/>
    <col min="8197" max="8197" width="13.140625" style="286" customWidth="1"/>
    <col min="8198" max="8198" width="11.7109375" style="286" customWidth="1"/>
    <col min="8199" max="8199" width="14.7109375" style="286" customWidth="1"/>
    <col min="8200" max="8200" width="11.7109375" style="286" customWidth="1"/>
    <col min="8201" max="8201" width="12" style="286" customWidth="1"/>
    <col min="8202" max="8202" width="9.7109375" style="286" customWidth="1"/>
    <col min="8203" max="8204" width="9.42578125" style="286" customWidth="1"/>
    <col min="8205" max="8205" width="10.7109375" style="286" customWidth="1"/>
    <col min="8206" max="8206" width="13.42578125" style="286" customWidth="1"/>
    <col min="8207" max="8207" width="12" style="286" customWidth="1"/>
    <col min="8208" max="8208" width="11" style="286" customWidth="1"/>
    <col min="8209" max="8209" width="10.5703125" style="286" customWidth="1"/>
    <col min="8210" max="8210" width="10.42578125" style="286" customWidth="1"/>
    <col min="8211" max="8211" width="10.7109375" style="286" customWidth="1"/>
    <col min="8212" max="8213" width="11.140625" style="286" customWidth="1"/>
    <col min="8214" max="8214" width="10.5703125" style="286" customWidth="1"/>
    <col min="8215" max="8215" width="10.85546875" style="286" customWidth="1"/>
    <col min="8216" max="8216" width="9.85546875" style="286" customWidth="1"/>
    <col min="8217" max="8217" width="11" style="286" customWidth="1"/>
    <col min="8218" max="8218" width="11.42578125" style="286" customWidth="1"/>
    <col min="8219" max="8219" width="12" style="286" customWidth="1"/>
    <col min="8220" max="8220" width="9.85546875" style="286" customWidth="1"/>
    <col min="8221" max="8221" width="10.5703125" style="286" customWidth="1"/>
    <col min="8222" max="8222" width="11.140625" style="286" customWidth="1"/>
    <col min="8223" max="8223" width="11.42578125" style="286" customWidth="1"/>
    <col min="8224" max="8228" width="9.85546875" style="286" customWidth="1"/>
    <col min="8229" max="8231" width="11.7109375" style="286" customWidth="1"/>
    <col min="8232" max="8232" width="9.85546875" style="286" customWidth="1"/>
    <col min="8233" max="8233" width="11" style="286" customWidth="1"/>
    <col min="8234" max="8234" width="11.42578125" style="286" customWidth="1"/>
    <col min="8235" max="8235" width="11.140625" style="286" customWidth="1"/>
    <col min="8236" max="8236" width="10.42578125" style="286" customWidth="1"/>
    <col min="8237" max="8237" width="11.5703125" style="286" customWidth="1"/>
    <col min="8238" max="8239" width="11.140625" style="286" customWidth="1"/>
    <col min="8240" max="8252" width="9.85546875" style="286" customWidth="1"/>
    <col min="8253" max="8253" width="10.5703125" style="286" customWidth="1"/>
    <col min="8254" max="8254" width="12.42578125" style="286" customWidth="1"/>
    <col min="8255" max="8255" width="10.140625" style="286" customWidth="1"/>
    <col min="8256" max="8256" width="9.140625" style="286" customWidth="1"/>
    <col min="8257" max="8257" width="9" style="286" customWidth="1"/>
    <col min="8258" max="8259" width="9.7109375" style="286" customWidth="1"/>
    <col min="8260" max="8260" width="8.42578125" style="286" customWidth="1"/>
    <col min="8261" max="8261" width="11.7109375" style="286" customWidth="1"/>
    <col min="8262" max="8262" width="10.85546875" style="286" customWidth="1"/>
    <col min="8263" max="8263" width="11.7109375" style="286" customWidth="1"/>
    <col min="8264" max="8264" width="9" style="286" customWidth="1"/>
    <col min="8265" max="8265" width="11" style="286" customWidth="1"/>
    <col min="8266" max="8266" width="10.5703125" style="286" customWidth="1"/>
    <col min="8267" max="8267" width="11.7109375" style="286" customWidth="1"/>
    <col min="8268" max="8269" width="11" style="286" customWidth="1"/>
    <col min="8270" max="8272" width="11.140625" style="286" customWidth="1"/>
    <col min="8273" max="8273" width="8.7109375" style="286" customWidth="1"/>
    <col min="8274" max="8274" width="11.140625" style="286" customWidth="1"/>
    <col min="8275" max="8275" width="9.28515625" style="286"/>
    <col min="8276" max="8276" width="11.140625" style="286" customWidth="1"/>
    <col min="8277" max="8277" width="10.5703125" style="286" customWidth="1"/>
    <col min="8278" max="8278" width="12.28515625" style="286" customWidth="1"/>
    <col min="8279" max="8279" width="12" style="286" customWidth="1"/>
    <col min="8280" max="8280" width="9.85546875" style="286" customWidth="1"/>
    <col min="8281" max="8281" width="11" style="286" customWidth="1"/>
    <col min="8282" max="8282" width="12.28515625" style="286" customWidth="1"/>
    <col min="8283" max="8283" width="12" style="286" customWidth="1"/>
    <col min="8284" max="8284" width="9.85546875" style="286" customWidth="1"/>
    <col min="8285" max="8285" width="11" style="286" customWidth="1"/>
    <col min="8286" max="8286" width="12.28515625" style="286" customWidth="1"/>
    <col min="8287" max="8287" width="12" style="286" customWidth="1"/>
    <col min="8288" max="8288" width="9.85546875" style="286" customWidth="1"/>
    <col min="8289" max="8289" width="11" style="286" customWidth="1"/>
    <col min="8290" max="8290" width="12.28515625" style="286" customWidth="1"/>
    <col min="8291" max="8291" width="12" style="286" customWidth="1"/>
    <col min="8292" max="8292" width="9.85546875" style="286" customWidth="1"/>
    <col min="8293" max="8293" width="11" style="286" customWidth="1"/>
    <col min="8294" max="8294" width="12.28515625" style="286" customWidth="1"/>
    <col min="8295" max="8295" width="12" style="286" customWidth="1"/>
    <col min="8296" max="8296" width="9.85546875" style="286" customWidth="1"/>
    <col min="8297" max="8297" width="11" style="286" customWidth="1"/>
    <col min="8298" max="8298" width="12.28515625" style="286" customWidth="1"/>
    <col min="8299" max="8299" width="12" style="286" customWidth="1"/>
    <col min="8300" max="8300" width="9.85546875" style="286" customWidth="1"/>
    <col min="8301" max="8301" width="11" style="286" customWidth="1"/>
    <col min="8302" max="8302" width="12.28515625" style="286" customWidth="1"/>
    <col min="8303" max="8303" width="12" style="286" customWidth="1"/>
    <col min="8304" max="8304" width="9.85546875" style="286" customWidth="1"/>
    <col min="8305" max="8305" width="11" style="286" customWidth="1"/>
    <col min="8306" max="8306" width="12.28515625" style="286" customWidth="1"/>
    <col min="8307" max="8307" width="12" style="286" customWidth="1"/>
    <col min="8308" max="8308" width="9.85546875" style="286" customWidth="1"/>
    <col min="8309" max="8309" width="11" style="286" customWidth="1"/>
    <col min="8310" max="8310" width="12.28515625" style="286" customWidth="1"/>
    <col min="8311" max="8311" width="12" style="286" customWidth="1"/>
    <col min="8312" max="8312" width="9.85546875" style="286" customWidth="1"/>
    <col min="8313" max="8313" width="11" style="286" customWidth="1"/>
    <col min="8314" max="8314" width="12.28515625" style="286" customWidth="1"/>
    <col min="8315" max="8315" width="12" style="286" customWidth="1"/>
    <col min="8316" max="8316" width="9.85546875" style="286" customWidth="1"/>
    <col min="8317" max="8317" width="11" style="286" customWidth="1"/>
    <col min="8318" max="8318" width="12.28515625" style="286" customWidth="1"/>
    <col min="8319" max="8319" width="12" style="286" customWidth="1"/>
    <col min="8320" max="8320" width="9.85546875" style="286" customWidth="1"/>
    <col min="8321" max="8321" width="11" style="286" customWidth="1"/>
    <col min="8322" max="8322" width="12.28515625" style="286" customWidth="1"/>
    <col min="8323" max="8323" width="12" style="286" customWidth="1"/>
    <col min="8324" max="8324" width="9.85546875" style="286" customWidth="1"/>
    <col min="8325" max="8325" width="11" style="286" customWidth="1"/>
    <col min="8326" max="8326" width="12.28515625" style="286" customWidth="1"/>
    <col min="8327" max="8327" width="12" style="286" customWidth="1"/>
    <col min="8328" max="8328" width="9.85546875" style="286" customWidth="1"/>
    <col min="8329" max="8329" width="11" style="286" customWidth="1"/>
    <col min="8330" max="8330" width="12.28515625" style="286" customWidth="1"/>
    <col min="8331" max="8331" width="12" style="286" customWidth="1"/>
    <col min="8332" max="8332" width="9.85546875" style="286" customWidth="1"/>
    <col min="8333" max="8333" width="11" style="286" customWidth="1"/>
    <col min="8334" max="8334" width="12.28515625" style="286" customWidth="1"/>
    <col min="8335" max="8335" width="12" style="286" customWidth="1"/>
    <col min="8336" max="8336" width="9.85546875" style="286" customWidth="1"/>
    <col min="8337" max="8337" width="11" style="286" customWidth="1"/>
    <col min="8338" max="8338" width="12.28515625" style="286" customWidth="1"/>
    <col min="8339" max="8339" width="12" style="286" customWidth="1"/>
    <col min="8340" max="8340" width="9.85546875" style="286" customWidth="1"/>
    <col min="8341" max="8341" width="11" style="286" customWidth="1"/>
    <col min="8342" max="8342" width="12.28515625" style="286" customWidth="1"/>
    <col min="8343" max="8343" width="12" style="286" customWidth="1"/>
    <col min="8344" max="8344" width="9.85546875" style="286" customWidth="1"/>
    <col min="8345" max="8345" width="11.7109375" style="286" customWidth="1"/>
    <col min="8346" max="8346" width="10.85546875" style="286" customWidth="1"/>
    <col min="8347" max="8347" width="11.7109375" style="286" customWidth="1"/>
    <col min="8348" max="8348" width="9" style="286" customWidth="1"/>
    <col min="8349" max="8349" width="11" style="286" customWidth="1"/>
    <col min="8350" max="8350" width="12.28515625" style="286" customWidth="1"/>
    <col min="8351" max="8351" width="12" style="286" customWidth="1"/>
    <col min="8352" max="8352" width="9.85546875" style="286" customWidth="1"/>
    <col min="8353" max="8353" width="11" style="286" customWidth="1"/>
    <col min="8354" max="8354" width="12.28515625" style="286" customWidth="1"/>
    <col min="8355" max="8355" width="12" style="286" customWidth="1"/>
    <col min="8356" max="8356" width="9.85546875" style="286" customWidth="1"/>
    <col min="8357" max="8357" width="11" style="286" customWidth="1"/>
    <col min="8358" max="8358" width="12.28515625" style="286" customWidth="1"/>
    <col min="8359" max="8359" width="12" style="286" customWidth="1"/>
    <col min="8360" max="8360" width="9.85546875" style="286" customWidth="1"/>
    <col min="8361" max="8364" width="0" style="286" hidden="1" customWidth="1"/>
    <col min="8365" max="8365" width="11" style="286" customWidth="1"/>
    <col min="8366" max="8366" width="12.28515625" style="286" customWidth="1"/>
    <col min="8367" max="8367" width="12" style="286" customWidth="1"/>
    <col min="8368" max="8368" width="9.85546875" style="286" customWidth="1"/>
    <col min="8369" max="8369" width="11" style="286" customWidth="1"/>
    <col min="8370" max="8370" width="12.28515625" style="286" customWidth="1"/>
    <col min="8371" max="8371" width="12" style="286" customWidth="1"/>
    <col min="8372" max="8372" width="9.85546875" style="286" customWidth="1"/>
    <col min="8373" max="8373" width="11" style="286" customWidth="1"/>
    <col min="8374" max="8374" width="12.28515625" style="286" customWidth="1"/>
    <col min="8375" max="8375" width="12" style="286" customWidth="1"/>
    <col min="8376" max="8376" width="9.85546875" style="286" customWidth="1"/>
    <col min="8377" max="8377" width="11" style="286" customWidth="1"/>
    <col min="8378" max="8378" width="12.28515625" style="286" customWidth="1"/>
    <col min="8379" max="8379" width="12" style="286" customWidth="1"/>
    <col min="8380" max="8380" width="9.85546875" style="286" customWidth="1"/>
    <col min="8381" max="8381" width="11" style="286" customWidth="1"/>
    <col min="8382" max="8382" width="12.28515625" style="286" customWidth="1"/>
    <col min="8383" max="8383" width="12" style="286" customWidth="1"/>
    <col min="8384" max="8384" width="9.85546875" style="286" customWidth="1"/>
    <col min="8385" max="8385" width="11" style="286" customWidth="1"/>
    <col min="8386" max="8386" width="12.28515625" style="286" customWidth="1"/>
    <col min="8387" max="8387" width="12" style="286" customWidth="1"/>
    <col min="8388" max="8388" width="9.85546875" style="286" customWidth="1"/>
    <col min="8389" max="8389" width="11" style="286" customWidth="1"/>
    <col min="8390" max="8390" width="12.28515625" style="286" customWidth="1"/>
    <col min="8391" max="8391" width="12" style="286" customWidth="1"/>
    <col min="8392" max="8392" width="9.85546875" style="286" customWidth="1"/>
    <col min="8393" max="8393" width="11" style="286" customWidth="1"/>
    <col min="8394" max="8394" width="12.28515625" style="286" customWidth="1"/>
    <col min="8395" max="8395" width="12" style="286" customWidth="1"/>
    <col min="8396" max="8396" width="9.85546875" style="286" customWidth="1"/>
    <col min="8397" max="8397" width="11" style="286" customWidth="1"/>
    <col min="8398" max="8398" width="12.28515625" style="286" customWidth="1"/>
    <col min="8399" max="8399" width="12" style="286" customWidth="1"/>
    <col min="8400" max="8400" width="9.85546875" style="286" customWidth="1"/>
    <col min="8401" max="8415" width="0" style="286" hidden="1" customWidth="1"/>
    <col min="8416" max="8416" width="9.85546875" style="286" customWidth="1"/>
    <col min="8417" max="8417" width="10.42578125" style="286" customWidth="1"/>
    <col min="8418" max="8418" width="9" style="286" customWidth="1"/>
    <col min="8419" max="8419" width="11.28515625" style="286" customWidth="1"/>
    <col min="8420" max="8420" width="10.140625" style="286" customWidth="1"/>
    <col min="8421" max="8421" width="10.7109375" style="286" customWidth="1"/>
    <col min="8422" max="8422" width="9.28515625" style="286"/>
    <col min="8423" max="8424" width="9.140625" style="286" customWidth="1"/>
    <col min="8425" max="8448" width="9.28515625" style="286"/>
    <col min="8449" max="8449" width="4.28515625" style="286" customWidth="1"/>
    <col min="8450" max="8450" width="5.42578125" style="286" customWidth="1"/>
    <col min="8451" max="8451" width="41.5703125" style="286" customWidth="1"/>
    <col min="8452" max="8452" width="7.42578125" style="286" customWidth="1"/>
    <col min="8453" max="8453" width="13.140625" style="286" customWidth="1"/>
    <col min="8454" max="8454" width="11.7109375" style="286" customWidth="1"/>
    <col min="8455" max="8455" width="14.7109375" style="286" customWidth="1"/>
    <col min="8456" max="8456" width="11.7109375" style="286" customWidth="1"/>
    <col min="8457" max="8457" width="12" style="286" customWidth="1"/>
    <col min="8458" max="8458" width="9.7109375" style="286" customWidth="1"/>
    <col min="8459" max="8460" width="9.42578125" style="286" customWidth="1"/>
    <col min="8461" max="8461" width="10.7109375" style="286" customWidth="1"/>
    <col min="8462" max="8462" width="13.42578125" style="286" customWidth="1"/>
    <col min="8463" max="8463" width="12" style="286" customWidth="1"/>
    <col min="8464" max="8464" width="11" style="286" customWidth="1"/>
    <col min="8465" max="8465" width="10.5703125" style="286" customWidth="1"/>
    <col min="8466" max="8466" width="10.42578125" style="286" customWidth="1"/>
    <col min="8467" max="8467" width="10.7109375" style="286" customWidth="1"/>
    <col min="8468" max="8469" width="11.140625" style="286" customWidth="1"/>
    <col min="8470" max="8470" width="10.5703125" style="286" customWidth="1"/>
    <col min="8471" max="8471" width="10.85546875" style="286" customWidth="1"/>
    <col min="8472" max="8472" width="9.85546875" style="286" customWidth="1"/>
    <col min="8473" max="8473" width="11" style="286" customWidth="1"/>
    <col min="8474" max="8474" width="11.42578125" style="286" customWidth="1"/>
    <col min="8475" max="8475" width="12" style="286" customWidth="1"/>
    <col min="8476" max="8476" width="9.85546875" style="286" customWidth="1"/>
    <col min="8477" max="8477" width="10.5703125" style="286" customWidth="1"/>
    <col min="8478" max="8478" width="11.140625" style="286" customWidth="1"/>
    <col min="8479" max="8479" width="11.42578125" style="286" customWidth="1"/>
    <col min="8480" max="8484" width="9.85546875" style="286" customWidth="1"/>
    <col min="8485" max="8487" width="11.7109375" style="286" customWidth="1"/>
    <col min="8488" max="8488" width="9.85546875" style="286" customWidth="1"/>
    <col min="8489" max="8489" width="11" style="286" customWidth="1"/>
    <col min="8490" max="8490" width="11.42578125" style="286" customWidth="1"/>
    <col min="8491" max="8491" width="11.140625" style="286" customWidth="1"/>
    <col min="8492" max="8492" width="10.42578125" style="286" customWidth="1"/>
    <col min="8493" max="8493" width="11.5703125" style="286" customWidth="1"/>
    <col min="8494" max="8495" width="11.140625" style="286" customWidth="1"/>
    <col min="8496" max="8508" width="9.85546875" style="286" customWidth="1"/>
    <col min="8509" max="8509" width="10.5703125" style="286" customWidth="1"/>
    <col min="8510" max="8510" width="12.42578125" style="286" customWidth="1"/>
    <col min="8511" max="8511" width="10.140625" style="286" customWidth="1"/>
    <col min="8512" max="8512" width="9.140625" style="286" customWidth="1"/>
    <col min="8513" max="8513" width="9" style="286" customWidth="1"/>
    <col min="8514" max="8515" width="9.7109375" style="286" customWidth="1"/>
    <col min="8516" max="8516" width="8.42578125" style="286" customWidth="1"/>
    <col min="8517" max="8517" width="11.7109375" style="286" customWidth="1"/>
    <col min="8518" max="8518" width="10.85546875" style="286" customWidth="1"/>
    <col min="8519" max="8519" width="11.7109375" style="286" customWidth="1"/>
    <col min="8520" max="8520" width="9" style="286" customWidth="1"/>
    <col min="8521" max="8521" width="11" style="286" customWidth="1"/>
    <col min="8522" max="8522" width="10.5703125" style="286" customWidth="1"/>
    <col min="8523" max="8523" width="11.7109375" style="286" customWidth="1"/>
    <col min="8524" max="8525" width="11" style="286" customWidth="1"/>
    <col min="8526" max="8528" width="11.140625" style="286" customWidth="1"/>
    <col min="8529" max="8529" width="8.7109375" style="286" customWidth="1"/>
    <col min="8530" max="8530" width="11.140625" style="286" customWidth="1"/>
    <col min="8531" max="8531" width="9.28515625" style="286"/>
    <col min="8532" max="8532" width="11.140625" style="286" customWidth="1"/>
    <col min="8533" max="8533" width="10.5703125" style="286" customWidth="1"/>
    <col min="8534" max="8534" width="12.28515625" style="286" customWidth="1"/>
    <col min="8535" max="8535" width="12" style="286" customWidth="1"/>
    <col min="8536" max="8536" width="9.85546875" style="286" customWidth="1"/>
    <col min="8537" max="8537" width="11" style="286" customWidth="1"/>
    <col min="8538" max="8538" width="12.28515625" style="286" customWidth="1"/>
    <col min="8539" max="8539" width="12" style="286" customWidth="1"/>
    <col min="8540" max="8540" width="9.85546875" style="286" customWidth="1"/>
    <col min="8541" max="8541" width="11" style="286" customWidth="1"/>
    <col min="8542" max="8542" width="12.28515625" style="286" customWidth="1"/>
    <col min="8543" max="8543" width="12" style="286" customWidth="1"/>
    <col min="8544" max="8544" width="9.85546875" style="286" customWidth="1"/>
    <col min="8545" max="8545" width="11" style="286" customWidth="1"/>
    <col min="8546" max="8546" width="12.28515625" style="286" customWidth="1"/>
    <col min="8547" max="8547" width="12" style="286" customWidth="1"/>
    <col min="8548" max="8548" width="9.85546875" style="286" customWidth="1"/>
    <col min="8549" max="8549" width="11" style="286" customWidth="1"/>
    <col min="8550" max="8550" width="12.28515625" style="286" customWidth="1"/>
    <col min="8551" max="8551" width="12" style="286" customWidth="1"/>
    <col min="8552" max="8552" width="9.85546875" style="286" customWidth="1"/>
    <col min="8553" max="8553" width="11" style="286" customWidth="1"/>
    <col min="8554" max="8554" width="12.28515625" style="286" customWidth="1"/>
    <col min="8555" max="8555" width="12" style="286" customWidth="1"/>
    <col min="8556" max="8556" width="9.85546875" style="286" customWidth="1"/>
    <col min="8557" max="8557" width="11" style="286" customWidth="1"/>
    <col min="8558" max="8558" width="12.28515625" style="286" customWidth="1"/>
    <col min="8559" max="8559" width="12" style="286" customWidth="1"/>
    <col min="8560" max="8560" width="9.85546875" style="286" customWidth="1"/>
    <col min="8561" max="8561" width="11" style="286" customWidth="1"/>
    <col min="8562" max="8562" width="12.28515625" style="286" customWidth="1"/>
    <col min="8563" max="8563" width="12" style="286" customWidth="1"/>
    <col min="8564" max="8564" width="9.85546875" style="286" customWidth="1"/>
    <col min="8565" max="8565" width="11" style="286" customWidth="1"/>
    <col min="8566" max="8566" width="12.28515625" style="286" customWidth="1"/>
    <col min="8567" max="8567" width="12" style="286" customWidth="1"/>
    <col min="8568" max="8568" width="9.85546875" style="286" customWidth="1"/>
    <col min="8569" max="8569" width="11" style="286" customWidth="1"/>
    <col min="8570" max="8570" width="12.28515625" style="286" customWidth="1"/>
    <col min="8571" max="8571" width="12" style="286" customWidth="1"/>
    <col min="8572" max="8572" width="9.85546875" style="286" customWidth="1"/>
    <col min="8573" max="8573" width="11" style="286" customWidth="1"/>
    <col min="8574" max="8574" width="12.28515625" style="286" customWidth="1"/>
    <col min="8575" max="8575" width="12" style="286" customWidth="1"/>
    <col min="8576" max="8576" width="9.85546875" style="286" customWidth="1"/>
    <col min="8577" max="8577" width="11" style="286" customWidth="1"/>
    <col min="8578" max="8578" width="12.28515625" style="286" customWidth="1"/>
    <col min="8579" max="8579" width="12" style="286" customWidth="1"/>
    <col min="8580" max="8580" width="9.85546875" style="286" customWidth="1"/>
    <col min="8581" max="8581" width="11" style="286" customWidth="1"/>
    <col min="8582" max="8582" width="12.28515625" style="286" customWidth="1"/>
    <col min="8583" max="8583" width="12" style="286" customWidth="1"/>
    <col min="8584" max="8584" width="9.85546875" style="286" customWidth="1"/>
    <col min="8585" max="8585" width="11" style="286" customWidth="1"/>
    <col min="8586" max="8586" width="12.28515625" style="286" customWidth="1"/>
    <col min="8587" max="8587" width="12" style="286" customWidth="1"/>
    <col min="8588" max="8588" width="9.85546875" style="286" customWidth="1"/>
    <col min="8589" max="8589" width="11" style="286" customWidth="1"/>
    <col min="8590" max="8590" width="12.28515625" style="286" customWidth="1"/>
    <col min="8591" max="8591" width="12" style="286" customWidth="1"/>
    <col min="8592" max="8592" width="9.85546875" style="286" customWidth="1"/>
    <col min="8593" max="8593" width="11" style="286" customWidth="1"/>
    <col min="8594" max="8594" width="12.28515625" style="286" customWidth="1"/>
    <col min="8595" max="8595" width="12" style="286" customWidth="1"/>
    <col min="8596" max="8596" width="9.85546875" style="286" customWidth="1"/>
    <col min="8597" max="8597" width="11" style="286" customWidth="1"/>
    <col min="8598" max="8598" width="12.28515625" style="286" customWidth="1"/>
    <col min="8599" max="8599" width="12" style="286" customWidth="1"/>
    <col min="8600" max="8600" width="9.85546875" style="286" customWidth="1"/>
    <col min="8601" max="8601" width="11.7109375" style="286" customWidth="1"/>
    <col min="8602" max="8602" width="10.85546875" style="286" customWidth="1"/>
    <col min="8603" max="8603" width="11.7109375" style="286" customWidth="1"/>
    <col min="8604" max="8604" width="9" style="286" customWidth="1"/>
    <col min="8605" max="8605" width="11" style="286" customWidth="1"/>
    <col min="8606" max="8606" width="12.28515625" style="286" customWidth="1"/>
    <col min="8607" max="8607" width="12" style="286" customWidth="1"/>
    <col min="8608" max="8608" width="9.85546875" style="286" customWidth="1"/>
    <col min="8609" max="8609" width="11" style="286" customWidth="1"/>
    <col min="8610" max="8610" width="12.28515625" style="286" customWidth="1"/>
    <col min="8611" max="8611" width="12" style="286" customWidth="1"/>
    <col min="8612" max="8612" width="9.85546875" style="286" customWidth="1"/>
    <col min="8613" max="8613" width="11" style="286" customWidth="1"/>
    <col min="8614" max="8614" width="12.28515625" style="286" customWidth="1"/>
    <col min="8615" max="8615" width="12" style="286" customWidth="1"/>
    <col min="8616" max="8616" width="9.85546875" style="286" customWidth="1"/>
    <col min="8617" max="8620" width="0" style="286" hidden="1" customWidth="1"/>
    <col min="8621" max="8621" width="11" style="286" customWidth="1"/>
    <col min="8622" max="8622" width="12.28515625" style="286" customWidth="1"/>
    <col min="8623" max="8623" width="12" style="286" customWidth="1"/>
    <col min="8624" max="8624" width="9.85546875" style="286" customWidth="1"/>
    <col min="8625" max="8625" width="11" style="286" customWidth="1"/>
    <col min="8626" max="8626" width="12.28515625" style="286" customWidth="1"/>
    <col min="8627" max="8627" width="12" style="286" customWidth="1"/>
    <col min="8628" max="8628" width="9.85546875" style="286" customWidth="1"/>
    <col min="8629" max="8629" width="11" style="286" customWidth="1"/>
    <col min="8630" max="8630" width="12.28515625" style="286" customWidth="1"/>
    <col min="8631" max="8631" width="12" style="286" customWidth="1"/>
    <col min="8632" max="8632" width="9.85546875" style="286" customWidth="1"/>
    <col min="8633" max="8633" width="11" style="286" customWidth="1"/>
    <col min="8634" max="8634" width="12.28515625" style="286" customWidth="1"/>
    <col min="8635" max="8635" width="12" style="286" customWidth="1"/>
    <col min="8636" max="8636" width="9.85546875" style="286" customWidth="1"/>
    <col min="8637" max="8637" width="11" style="286" customWidth="1"/>
    <col min="8638" max="8638" width="12.28515625" style="286" customWidth="1"/>
    <col min="8639" max="8639" width="12" style="286" customWidth="1"/>
    <col min="8640" max="8640" width="9.85546875" style="286" customWidth="1"/>
    <col min="8641" max="8641" width="11" style="286" customWidth="1"/>
    <col min="8642" max="8642" width="12.28515625" style="286" customWidth="1"/>
    <col min="8643" max="8643" width="12" style="286" customWidth="1"/>
    <col min="8644" max="8644" width="9.85546875" style="286" customWidth="1"/>
    <col min="8645" max="8645" width="11" style="286" customWidth="1"/>
    <col min="8646" max="8646" width="12.28515625" style="286" customWidth="1"/>
    <col min="8647" max="8647" width="12" style="286" customWidth="1"/>
    <col min="8648" max="8648" width="9.85546875" style="286" customWidth="1"/>
    <col min="8649" max="8649" width="11" style="286" customWidth="1"/>
    <col min="8650" max="8650" width="12.28515625" style="286" customWidth="1"/>
    <col min="8651" max="8651" width="12" style="286" customWidth="1"/>
    <col min="8652" max="8652" width="9.85546875" style="286" customWidth="1"/>
    <col min="8653" max="8653" width="11" style="286" customWidth="1"/>
    <col min="8654" max="8654" width="12.28515625" style="286" customWidth="1"/>
    <col min="8655" max="8655" width="12" style="286" customWidth="1"/>
    <col min="8656" max="8656" width="9.85546875" style="286" customWidth="1"/>
    <col min="8657" max="8671" width="0" style="286" hidden="1" customWidth="1"/>
    <col min="8672" max="8672" width="9.85546875" style="286" customWidth="1"/>
    <col min="8673" max="8673" width="10.42578125" style="286" customWidth="1"/>
    <col min="8674" max="8674" width="9" style="286" customWidth="1"/>
    <col min="8675" max="8675" width="11.28515625" style="286" customWidth="1"/>
    <col min="8676" max="8676" width="10.140625" style="286" customWidth="1"/>
    <col min="8677" max="8677" width="10.7109375" style="286" customWidth="1"/>
    <col min="8678" max="8678" width="9.28515625" style="286"/>
    <col min="8679" max="8680" width="9.140625" style="286" customWidth="1"/>
    <col min="8681" max="8704" width="9.28515625" style="286"/>
    <col min="8705" max="8705" width="4.28515625" style="286" customWidth="1"/>
    <col min="8706" max="8706" width="5.42578125" style="286" customWidth="1"/>
    <col min="8707" max="8707" width="41.5703125" style="286" customWidth="1"/>
    <col min="8708" max="8708" width="7.42578125" style="286" customWidth="1"/>
    <col min="8709" max="8709" width="13.140625" style="286" customWidth="1"/>
    <col min="8710" max="8710" width="11.7109375" style="286" customWidth="1"/>
    <col min="8711" max="8711" width="14.7109375" style="286" customWidth="1"/>
    <col min="8712" max="8712" width="11.7109375" style="286" customWidth="1"/>
    <col min="8713" max="8713" width="12" style="286" customWidth="1"/>
    <col min="8714" max="8714" width="9.7109375" style="286" customWidth="1"/>
    <col min="8715" max="8716" width="9.42578125" style="286" customWidth="1"/>
    <col min="8717" max="8717" width="10.7109375" style="286" customWidth="1"/>
    <col min="8718" max="8718" width="13.42578125" style="286" customWidth="1"/>
    <col min="8719" max="8719" width="12" style="286" customWidth="1"/>
    <col min="8720" max="8720" width="11" style="286" customWidth="1"/>
    <col min="8721" max="8721" width="10.5703125" style="286" customWidth="1"/>
    <col min="8722" max="8722" width="10.42578125" style="286" customWidth="1"/>
    <col min="8723" max="8723" width="10.7109375" style="286" customWidth="1"/>
    <col min="8724" max="8725" width="11.140625" style="286" customWidth="1"/>
    <col min="8726" max="8726" width="10.5703125" style="286" customWidth="1"/>
    <col min="8727" max="8727" width="10.85546875" style="286" customWidth="1"/>
    <col min="8728" max="8728" width="9.85546875" style="286" customWidth="1"/>
    <col min="8729" max="8729" width="11" style="286" customWidth="1"/>
    <col min="8730" max="8730" width="11.42578125" style="286" customWidth="1"/>
    <col min="8731" max="8731" width="12" style="286" customWidth="1"/>
    <col min="8732" max="8732" width="9.85546875" style="286" customWidth="1"/>
    <col min="8733" max="8733" width="10.5703125" style="286" customWidth="1"/>
    <col min="8734" max="8734" width="11.140625" style="286" customWidth="1"/>
    <col min="8735" max="8735" width="11.42578125" style="286" customWidth="1"/>
    <col min="8736" max="8740" width="9.85546875" style="286" customWidth="1"/>
    <col min="8741" max="8743" width="11.7109375" style="286" customWidth="1"/>
    <col min="8744" max="8744" width="9.85546875" style="286" customWidth="1"/>
    <col min="8745" max="8745" width="11" style="286" customWidth="1"/>
    <col min="8746" max="8746" width="11.42578125" style="286" customWidth="1"/>
    <col min="8747" max="8747" width="11.140625" style="286" customWidth="1"/>
    <col min="8748" max="8748" width="10.42578125" style="286" customWidth="1"/>
    <col min="8749" max="8749" width="11.5703125" style="286" customWidth="1"/>
    <col min="8750" max="8751" width="11.140625" style="286" customWidth="1"/>
    <col min="8752" max="8764" width="9.85546875" style="286" customWidth="1"/>
    <col min="8765" max="8765" width="10.5703125" style="286" customWidth="1"/>
    <col min="8766" max="8766" width="12.42578125" style="286" customWidth="1"/>
    <col min="8767" max="8767" width="10.140625" style="286" customWidth="1"/>
    <col min="8768" max="8768" width="9.140625" style="286" customWidth="1"/>
    <col min="8769" max="8769" width="9" style="286" customWidth="1"/>
    <col min="8770" max="8771" width="9.7109375" style="286" customWidth="1"/>
    <col min="8772" max="8772" width="8.42578125" style="286" customWidth="1"/>
    <col min="8773" max="8773" width="11.7109375" style="286" customWidth="1"/>
    <col min="8774" max="8774" width="10.85546875" style="286" customWidth="1"/>
    <col min="8775" max="8775" width="11.7109375" style="286" customWidth="1"/>
    <col min="8776" max="8776" width="9" style="286" customWidth="1"/>
    <col min="8777" max="8777" width="11" style="286" customWidth="1"/>
    <col min="8778" max="8778" width="10.5703125" style="286" customWidth="1"/>
    <col min="8779" max="8779" width="11.7109375" style="286" customWidth="1"/>
    <col min="8780" max="8781" width="11" style="286" customWidth="1"/>
    <col min="8782" max="8784" width="11.140625" style="286" customWidth="1"/>
    <col min="8785" max="8785" width="8.7109375" style="286" customWidth="1"/>
    <col min="8786" max="8786" width="11.140625" style="286" customWidth="1"/>
    <col min="8787" max="8787" width="9.28515625" style="286"/>
    <col min="8788" max="8788" width="11.140625" style="286" customWidth="1"/>
    <col min="8789" max="8789" width="10.5703125" style="286" customWidth="1"/>
    <col min="8790" max="8790" width="12.28515625" style="286" customWidth="1"/>
    <col min="8791" max="8791" width="12" style="286" customWidth="1"/>
    <col min="8792" max="8792" width="9.85546875" style="286" customWidth="1"/>
    <col min="8793" max="8793" width="11" style="286" customWidth="1"/>
    <col min="8794" max="8794" width="12.28515625" style="286" customWidth="1"/>
    <col min="8795" max="8795" width="12" style="286" customWidth="1"/>
    <col min="8796" max="8796" width="9.85546875" style="286" customWidth="1"/>
    <col min="8797" max="8797" width="11" style="286" customWidth="1"/>
    <col min="8798" max="8798" width="12.28515625" style="286" customWidth="1"/>
    <col min="8799" max="8799" width="12" style="286" customWidth="1"/>
    <col min="8800" max="8800" width="9.85546875" style="286" customWidth="1"/>
    <col min="8801" max="8801" width="11" style="286" customWidth="1"/>
    <col min="8802" max="8802" width="12.28515625" style="286" customWidth="1"/>
    <col min="8803" max="8803" width="12" style="286" customWidth="1"/>
    <col min="8804" max="8804" width="9.85546875" style="286" customWidth="1"/>
    <col min="8805" max="8805" width="11" style="286" customWidth="1"/>
    <col min="8806" max="8806" width="12.28515625" style="286" customWidth="1"/>
    <col min="8807" max="8807" width="12" style="286" customWidth="1"/>
    <col min="8808" max="8808" width="9.85546875" style="286" customWidth="1"/>
    <col min="8809" max="8809" width="11" style="286" customWidth="1"/>
    <col min="8810" max="8810" width="12.28515625" style="286" customWidth="1"/>
    <col min="8811" max="8811" width="12" style="286" customWidth="1"/>
    <col min="8812" max="8812" width="9.85546875" style="286" customWidth="1"/>
    <col min="8813" max="8813" width="11" style="286" customWidth="1"/>
    <col min="8814" max="8814" width="12.28515625" style="286" customWidth="1"/>
    <col min="8815" max="8815" width="12" style="286" customWidth="1"/>
    <col min="8816" max="8816" width="9.85546875" style="286" customWidth="1"/>
    <col min="8817" max="8817" width="11" style="286" customWidth="1"/>
    <col min="8818" max="8818" width="12.28515625" style="286" customWidth="1"/>
    <col min="8819" max="8819" width="12" style="286" customWidth="1"/>
    <col min="8820" max="8820" width="9.85546875" style="286" customWidth="1"/>
    <col min="8821" max="8821" width="11" style="286" customWidth="1"/>
    <col min="8822" max="8822" width="12.28515625" style="286" customWidth="1"/>
    <col min="8823" max="8823" width="12" style="286" customWidth="1"/>
    <col min="8824" max="8824" width="9.85546875" style="286" customWidth="1"/>
    <col min="8825" max="8825" width="11" style="286" customWidth="1"/>
    <col min="8826" max="8826" width="12.28515625" style="286" customWidth="1"/>
    <col min="8827" max="8827" width="12" style="286" customWidth="1"/>
    <col min="8828" max="8828" width="9.85546875" style="286" customWidth="1"/>
    <col min="8829" max="8829" width="11" style="286" customWidth="1"/>
    <col min="8830" max="8830" width="12.28515625" style="286" customWidth="1"/>
    <col min="8831" max="8831" width="12" style="286" customWidth="1"/>
    <col min="8832" max="8832" width="9.85546875" style="286" customWidth="1"/>
    <col min="8833" max="8833" width="11" style="286" customWidth="1"/>
    <col min="8834" max="8834" width="12.28515625" style="286" customWidth="1"/>
    <col min="8835" max="8835" width="12" style="286" customWidth="1"/>
    <col min="8836" max="8836" width="9.85546875" style="286" customWidth="1"/>
    <col min="8837" max="8837" width="11" style="286" customWidth="1"/>
    <col min="8838" max="8838" width="12.28515625" style="286" customWidth="1"/>
    <col min="8839" max="8839" width="12" style="286" customWidth="1"/>
    <col min="8840" max="8840" width="9.85546875" style="286" customWidth="1"/>
    <col min="8841" max="8841" width="11" style="286" customWidth="1"/>
    <col min="8842" max="8842" width="12.28515625" style="286" customWidth="1"/>
    <col min="8843" max="8843" width="12" style="286" customWidth="1"/>
    <col min="8844" max="8844" width="9.85546875" style="286" customWidth="1"/>
    <col min="8845" max="8845" width="11" style="286" customWidth="1"/>
    <col min="8846" max="8846" width="12.28515625" style="286" customWidth="1"/>
    <col min="8847" max="8847" width="12" style="286" customWidth="1"/>
    <col min="8848" max="8848" width="9.85546875" style="286" customWidth="1"/>
    <col min="8849" max="8849" width="11" style="286" customWidth="1"/>
    <col min="8850" max="8850" width="12.28515625" style="286" customWidth="1"/>
    <col min="8851" max="8851" width="12" style="286" customWidth="1"/>
    <col min="8852" max="8852" width="9.85546875" style="286" customWidth="1"/>
    <col min="8853" max="8853" width="11" style="286" customWidth="1"/>
    <col min="8854" max="8854" width="12.28515625" style="286" customWidth="1"/>
    <col min="8855" max="8855" width="12" style="286" customWidth="1"/>
    <col min="8856" max="8856" width="9.85546875" style="286" customWidth="1"/>
    <col min="8857" max="8857" width="11.7109375" style="286" customWidth="1"/>
    <col min="8858" max="8858" width="10.85546875" style="286" customWidth="1"/>
    <col min="8859" max="8859" width="11.7109375" style="286" customWidth="1"/>
    <col min="8860" max="8860" width="9" style="286" customWidth="1"/>
    <col min="8861" max="8861" width="11" style="286" customWidth="1"/>
    <col min="8862" max="8862" width="12.28515625" style="286" customWidth="1"/>
    <col min="8863" max="8863" width="12" style="286" customWidth="1"/>
    <col min="8864" max="8864" width="9.85546875" style="286" customWidth="1"/>
    <col min="8865" max="8865" width="11" style="286" customWidth="1"/>
    <col min="8866" max="8866" width="12.28515625" style="286" customWidth="1"/>
    <col min="8867" max="8867" width="12" style="286" customWidth="1"/>
    <col min="8868" max="8868" width="9.85546875" style="286" customWidth="1"/>
    <col min="8869" max="8869" width="11" style="286" customWidth="1"/>
    <col min="8870" max="8870" width="12.28515625" style="286" customWidth="1"/>
    <col min="8871" max="8871" width="12" style="286" customWidth="1"/>
    <col min="8872" max="8872" width="9.85546875" style="286" customWidth="1"/>
    <col min="8873" max="8876" width="0" style="286" hidden="1" customWidth="1"/>
    <col min="8877" max="8877" width="11" style="286" customWidth="1"/>
    <col min="8878" max="8878" width="12.28515625" style="286" customWidth="1"/>
    <col min="8879" max="8879" width="12" style="286" customWidth="1"/>
    <col min="8880" max="8880" width="9.85546875" style="286" customWidth="1"/>
    <col min="8881" max="8881" width="11" style="286" customWidth="1"/>
    <col min="8882" max="8882" width="12.28515625" style="286" customWidth="1"/>
    <col min="8883" max="8883" width="12" style="286" customWidth="1"/>
    <col min="8884" max="8884" width="9.85546875" style="286" customWidth="1"/>
    <col min="8885" max="8885" width="11" style="286" customWidth="1"/>
    <col min="8886" max="8886" width="12.28515625" style="286" customWidth="1"/>
    <col min="8887" max="8887" width="12" style="286" customWidth="1"/>
    <col min="8888" max="8888" width="9.85546875" style="286" customWidth="1"/>
    <col min="8889" max="8889" width="11" style="286" customWidth="1"/>
    <col min="8890" max="8890" width="12.28515625" style="286" customWidth="1"/>
    <col min="8891" max="8891" width="12" style="286" customWidth="1"/>
    <col min="8892" max="8892" width="9.85546875" style="286" customWidth="1"/>
    <col min="8893" max="8893" width="11" style="286" customWidth="1"/>
    <col min="8894" max="8894" width="12.28515625" style="286" customWidth="1"/>
    <col min="8895" max="8895" width="12" style="286" customWidth="1"/>
    <col min="8896" max="8896" width="9.85546875" style="286" customWidth="1"/>
    <col min="8897" max="8897" width="11" style="286" customWidth="1"/>
    <col min="8898" max="8898" width="12.28515625" style="286" customWidth="1"/>
    <col min="8899" max="8899" width="12" style="286" customWidth="1"/>
    <col min="8900" max="8900" width="9.85546875" style="286" customWidth="1"/>
    <col min="8901" max="8901" width="11" style="286" customWidth="1"/>
    <col min="8902" max="8902" width="12.28515625" style="286" customWidth="1"/>
    <col min="8903" max="8903" width="12" style="286" customWidth="1"/>
    <col min="8904" max="8904" width="9.85546875" style="286" customWidth="1"/>
    <col min="8905" max="8905" width="11" style="286" customWidth="1"/>
    <col min="8906" max="8906" width="12.28515625" style="286" customWidth="1"/>
    <col min="8907" max="8907" width="12" style="286" customWidth="1"/>
    <col min="8908" max="8908" width="9.85546875" style="286" customWidth="1"/>
    <col min="8909" max="8909" width="11" style="286" customWidth="1"/>
    <col min="8910" max="8910" width="12.28515625" style="286" customWidth="1"/>
    <col min="8911" max="8911" width="12" style="286" customWidth="1"/>
    <col min="8912" max="8912" width="9.85546875" style="286" customWidth="1"/>
    <col min="8913" max="8927" width="0" style="286" hidden="1" customWidth="1"/>
    <col min="8928" max="8928" width="9.85546875" style="286" customWidth="1"/>
    <col min="8929" max="8929" width="10.42578125" style="286" customWidth="1"/>
    <col min="8930" max="8930" width="9" style="286" customWidth="1"/>
    <col min="8931" max="8931" width="11.28515625" style="286" customWidth="1"/>
    <col min="8932" max="8932" width="10.140625" style="286" customWidth="1"/>
    <col min="8933" max="8933" width="10.7109375" style="286" customWidth="1"/>
    <col min="8934" max="8934" width="9.28515625" style="286"/>
    <col min="8935" max="8936" width="9.140625" style="286" customWidth="1"/>
    <col min="8937" max="8960" width="9.28515625" style="286"/>
    <col min="8961" max="8961" width="4.28515625" style="286" customWidth="1"/>
    <col min="8962" max="8962" width="5.42578125" style="286" customWidth="1"/>
    <col min="8963" max="8963" width="41.5703125" style="286" customWidth="1"/>
    <col min="8964" max="8964" width="7.42578125" style="286" customWidth="1"/>
    <col min="8965" max="8965" width="13.140625" style="286" customWidth="1"/>
    <col min="8966" max="8966" width="11.7109375" style="286" customWidth="1"/>
    <col min="8967" max="8967" width="14.7109375" style="286" customWidth="1"/>
    <col min="8968" max="8968" width="11.7109375" style="286" customWidth="1"/>
    <col min="8969" max="8969" width="12" style="286" customWidth="1"/>
    <col min="8970" max="8970" width="9.7109375" style="286" customWidth="1"/>
    <col min="8971" max="8972" width="9.42578125" style="286" customWidth="1"/>
    <col min="8973" max="8973" width="10.7109375" style="286" customWidth="1"/>
    <col min="8974" max="8974" width="13.42578125" style="286" customWidth="1"/>
    <col min="8975" max="8975" width="12" style="286" customWidth="1"/>
    <col min="8976" max="8976" width="11" style="286" customWidth="1"/>
    <col min="8977" max="8977" width="10.5703125" style="286" customWidth="1"/>
    <col min="8978" max="8978" width="10.42578125" style="286" customWidth="1"/>
    <col min="8979" max="8979" width="10.7109375" style="286" customWidth="1"/>
    <col min="8980" max="8981" width="11.140625" style="286" customWidth="1"/>
    <col min="8982" max="8982" width="10.5703125" style="286" customWidth="1"/>
    <col min="8983" max="8983" width="10.85546875" style="286" customWidth="1"/>
    <col min="8984" max="8984" width="9.85546875" style="286" customWidth="1"/>
    <col min="8985" max="8985" width="11" style="286" customWidth="1"/>
    <col min="8986" max="8986" width="11.42578125" style="286" customWidth="1"/>
    <col min="8987" max="8987" width="12" style="286" customWidth="1"/>
    <col min="8988" max="8988" width="9.85546875" style="286" customWidth="1"/>
    <col min="8989" max="8989" width="10.5703125" style="286" customWidth="1"/>
    <col min="8990" max="8990" width="11.140625" style="286" customWidth="1"/>
    <col min="8991" max="8991" width="11.42578125" style="286" customWidth="1"/>
    <col min="8992" max="8996" width="9.85546875" style="286" customWidth="1"/>
    <col min="8997" max="8999" width="11.7109375" style="286" customWidth="1"/>
    <col min="9000" max="9000" width="9.85546875" style="286" customWidth="1"/>
    <col min="9001" max="9001" width="11" style="286" customWidth="1"/>
    <col min="9002" max="9002" width="11.42578125" style="286" customWidth="1"/>
    <col min="9003" max="9003" width="11.140625" style="286" customWidth="1"/>
    <col min="9004" max="9004" width="10.42578125" style="286" customWidth="1"/>
    <col min="9005" max="9005" width="11.5703125" style="286" customWidth="1"/>
    <col min="9006" max="9007" width="11.140625" style="286" customWidth="1"/>
    <col min="9008" max="9020" width="9.85546875" style="286" customWidth="1"/>
    <col min="9021" max="9021" width="10.5703125" style="286" customWidth="1"/>
    <col min="9022" max="9022" width="12.42578125" style="286" customWidth="1"/>
    <col min="9023" max="9023" width="10.140625" style="286" customWidth="1"/>
    <col min="9024" max="9024" width="9.140625" style="286" customWidth="1"/>
    <col min="9025" max="9025" width="9" style="286" customWidth="1"/>
    <col min="9026" max="9027" width="9.7109375" style="286" customWidth="1"/>
    <col min="9028" max="9028" width="8.42578125" style="286" customWidth="1"/>
    <col min="9029" max="9029" width="11.7109375" style="286" customWidth="1"/>
    <col min="9030" max="9030" width="10.85546875" style="286" customWidth="1"/>
    <col min="9031" max="9031" width="11.7109375" style="286" customWidth="1"/>
    <col min="9032" max="9032" width="9" style="286" customWidth="1"/>
    <col min="9033" max="9033" width="11" style="286" customWidth="1"/>
    <col min="9034" max="9034" width="10.5703125" style="286" customWidth="1"/>
    <col min="9035" max="9035" width="11.7109375" style="286" customWidth="1"/>
    <col min="9036" max="9037" width="11" style="286" customWidth="1"/>
    <col min="9038" max="9040" width="11.140625" style="286" customWidth="1"/>
    <col min="9041" max="9041" width="8.7109375" style="286" customWidth="1"/>
    <col min="9042" max="9042" width="11.140625" style="286" customWidth="1"/>
    <col min="9043" max="9043" width="9.28515625" style="286"/>
    <col min="9044" max="9044" width="11.140625" style="286" customWidth="1"/>
    <col min="9045" max="9045" width="10.5703125" style="286" customWidth="1"/>
    <col min="9046" max="9046" width="12.28515625" style="286" customWidth="1"/>
    <col min="9047" max="9047" width="12" style="286" customWidth="1"/>
    <col min="9048" max="9048" width="9.85546875" style="286" customWidth="1"/>
    <col min="9049" max="9049" width="11" style="286" customWidth="1"/>
    <col min="9050" max="9050" width="12.28515625" style="286" customWidth="1"/>
    <col min="9051" max="9051" width="12" style="286" customWidth="1"/>
    <col min="9052" max="9052" width="9.85546875" style="286" customWidth="1"/>
    <col min="9053" max="9053" width="11" style="286" customWidth="1"/>
    <col min="9054" max="9054" width="12.28515625" style="286" customWidth="1"/>
    <col min="9055" max="9055" width="12" style="286" customWidth="1"/>
    <col min="9056" max="9056" width="9.85546875" style="286" customWidth="1"/>
    <col min="9057" max="9057" width="11" style="286" customWidth="1"/>
    <col min="9058" max="9058" width="12.28515625" style="286" customWidth="1"/>
    <col min="9059" max="9059" width="12" style="286" customWidth="1"/>
    <col min="9060" max="9060" width="9.85546875" style="286" customWidth="1"/>
    <col min="9061" max="9061" width="11" style="286" customWidth="1"/>
    <col min="9062" max="9062" width="12.28515625" style="286" customWidth="1"/>
    <col min="9063" max="9063" width="12" style="286" customWidth="1"/>
    <col min="9064" max="9064" width="9.85546875" style="286" customWidth="1"/>
    <col min="9065" max="9065" width="11" style="286" customWidth="1"/>
    <col min="9066" max="9066" width="12.28515625" style="286" customWidth="1"/>
    <col min="9067" max="9067" width="12" style="286" customWidth="1"/>
    <col min="9068" max="9068" width="9.85546875" style="286" customWidth="1"/>
    <col min="9069" max="9069" width="11" style="286" customWidth="1"/>
    <col min="9070" max="9070" width="12.28515625" style="286" customWidth="1"/>
    <col min="9071" max="9071" width="12" style="286" customWidth="1"/>
    <col min="9072" max="9072" width="9.85546875" style="286" customWidth="1"/>
    <col min="9073" max="9073" width="11" style="286" customWidth="1"/>
    <col min="9074" max="9074" width="12.28515625" style="286" customWidth="1"/>
    <col min="9075" max="9075" width="12" style="286" customWidth="1"/>
    <col min="9076" max="9076" width="9.85546875" style="286" customWidth="1"/>
    <col min="9077" max="9077" width="11" style="286" customWidth="1"/>
    <col min="9078" max="9078" width="12.28515625" style="286" customWidth="1"/>
    <col min="9079" max="9079" width="12" style="286" customWidth="1"/>
    <col min="9080" max="9080" width="9.85546875" style="286" customWidth="1"/>
    <col min="9081" max="9081" width="11" style="286" customWidth="1"/>
    <col min="9082" max="9082" width="12.28515625" style="286" customWidth="1"/>
    <col min="9083" max="9083" width="12" style="286" customWidth="1"/>
    <col min="9084" max="9084" width="9.85546875" style="286" customWidth="1"/>
    <col min="9085" max="9085" width="11" style="286" customWidth="1"/>
    <col min="9086" max="9086" width="12.28515625" style="286" customWidth="1"/>
    <col min="9087" max="9087" width="12" style="286" customWidth="1"/>
    <col min="9088" max="9088" width="9.85546875" style="286" customWidth="1"/>
    <col min="9089" max="9089" width="11" style="286" customWidth="1"/>
    <col min="9090" max="9090" width="12.28515625" style="286" customWidth="1"/>
    <col min="9091" max="9091" width="12" style="286" customWidth="1"/>
    <col min="9092" max="9092" width="9.85546875" style="286" customWidth="1"/>
    <col min="9093" max="9093" width="11" style="286" customWidth="1"/>
    <col min="9094" max="9094" width="12.28515625" style="286" customWidth="1"/>
    <col min="9095" max="9095" width="12" style="286" customWidth="1"/>
    <col min="9096" max="9096" width="9.85546875" style="286" customWidth="1"/>
    <col min="9097" max="9097" width="11" style="286" customWidth="1"/>
    <col min="9098" max="9098" width="12.28515625" style="286" customWidth="1"/>
    <col min="9099" max="9099" width="12" style="286" customWidth="1"/>
    <col min="9100" max="9100" width="9.85546875" style="286" customWidth="1"/>
    <col min="9101" max="9101" width="11" style="286" customWidth="1"/>
    <col min="9102" max="9102" width="12.28515625" style="286" customWidth="1"/>
    <col min="9103" max="9103" width="12" style="286" customWidth="1"/>
    <col min="9104" max="9104" width="9.85546875" style="286" customWidth="1"/>
    <col min="9105" max="9105" width="11" style="286" customWidth="1"/>
    <col min="9106" max="9106" width="12.28515625" style="286" customWidth="1"/>
    <col min="9107" max="9107" width="12" style="286" customWidth="1"/>
    <col min="9108" max="9108" width="9.85546875" style="286" customWidth="1"/>
    <col min="9109" max="9109" width="11" style="286" customWidth="1"/>
    <col min="9110" max="9110" width="12.28515625" style="286" customWidth="1"/>
    <col min="9111" max="9111" width="12" style="286" customWidth="1"/>
    <col min="9112" max="9112" width="9.85546875" style="286" customWidth="1"/>
    <col min="9113" max="9113" width="11.7109375" style="286" customWidth="1"/>
    <col min="9114" max="9114" width="10.85546875" style="286" customWidth="1"/>
    <col min="9115" max="9115" width="11.7109375" style="286" customWidth="1"/>
    <col min="9116" max="9116" width="9" style="286" customWidth="1"/>
    <col min="9117" max="9117" width="11" style="286" customWidth="1"/>
    <col min="9118" max="9118" width="12.28515625" style="286" customWidth="1"/>
    <col min="9119" max="9119" width="12" style="286" customWidth="1"/>
    <col min="9120" max="9120" width="9.85546875" style="286" customWidth="1"/>
    <col min="9121" max="9121" width="11" style="286" customWidth="1"/>
    <col min="9122" max="9122" width="12.28515625" style="286" customWidth="1"/>
    <col min="9123" max="9123" width="12" style="286" customWidth="1"/>
    <col min="9124" max="9124" width="9.85546875" style="286" customWidth="1"/>
    <col min="9125" max="9125" width="11" style="286" customWidth="1"/>
    <col min="9126" max="9126" width="12.28515625" style="286" customWidth="1"/>
    <col min="9127" max="9127" width="12" style="286" customWidth="1"/>
    <col min="9128" max="9128" width="9.85546875" style="286" customWidth="1"/>
    <col min="9129" max="9132" width="0" style="286" hidden="1" customWidth="1"/>
    <col min="9133" max="9133" width="11" style="286" customWidth="1"/>
    <col min="9134" max="9134" width="12.28515625" style="286" customWidth="1"/>
    <col min="9135" max="9135" width="12" style="286" customWidth="1"/>
    <col min="9136" max="9136" width="9.85546875" style="286" customWidth="1"/>
    <col min="9137" max="9137" width="11" style="286" customWidth="1"/>
    <col min="9138" max="9138" width="12.28515625" style="286" customWidth="1"/>
    <col min="9139" max="9139" width="12" style="286" customWidth="1"/>
    <col min="9140" max="9140" width="9.85546875" style="286" customWidth="1"/>
    <col min="9141" max="9141" width="11" style="286" customWidth="1"/>
    <col min="9142" max="9142" width="12.28515625" style="286" customWidth="1"/>
    <col min="9143" max="9143" width="12" style="286" customWidth="1"/>
    <col min="9144" max="9144" width="9.85546875" style="286" customWidth="1"/>
    <col min="9145" max="9145" width="11" style="286" customWidth="1"/>
    <col min="9146" max="9146" width="12.28515625" style="286" customWidth="1"/>
    <col min="9147" max="9147" width="12" style="286" customWidth="1"/>
    <col min="9148" max="9148" width="9.85546875" style="286" customWidth="1"/>
    <col min="9149" max="9149" width="11" style="286" customWidth="1"/>
    <col min="9150" max="9150" width="12.28515625" style="286" customWidth="1"/>
    <col min="9151" max="9151" width="12" style="286" customWidth="1"/>
    <col min="9152" max="9152" width="9.85546875" style="286" customWidth="1"/>
    <col min="9153" max="9153" width="11" style="286" customWidth="1"/>
    <col min="9154" max="9154" width="12.28515625" style="286" customWidth="1"/>
    <col min="9155" max="9155" width="12" style="286" customWidth="1"/>
    <col min="9156" max="9156" width="9.85546875" style="286" customWidth="1"/>
    <col min="9157" max="9157" width="11" style="286" customWidth="1"/>
    <col min="9158" max="9158" width="12.28515625" style="286" customWidth="1"/>
    <col min="9159" max="9159" width="12" style="286" customWidth="1"/>
    <col min="9160" max="9160" width="9.85546875" style="286" customWidth="1"/>
    <col min="9161" max="9161" width="11" style="286" customWidth="1"/>
    <col min="9162" max="9162" width="12.28515625" style="286" customWidth="1"/>
    <col min="9163" max="9163" width="12" style="286" customWidth="1"/>
    <col min="9164" max="9164" width="9.85546875" style="286" customWidth="1"/>
    <col min="9165" max="9165" width="11" style="286" customWidth="1"/>
    <col min="9166" max="9166" width="12.28515625" style="286" customWidth="1"/>
    <col min="9167" max="9167" width="12" style="286" customWidth="1"/>
    <col min="9168" max="9168" width="9.85546875" style="286" customWidth="1"/>
    <col min="9169" max="9183" width="0" style="286" hidden="1" customWidth="1"/>
    <col min="9184" max="9184" width="9.85546875" style="286" customWidth="1"/>
    <col min="9185" max="9185" width="10.42578125" style="286" customWidth="1"/>
    <col min="9186" max="9186" width="9" style="286" customWidth="1"/>
    <col min="9187" max="9187" width="11.28515625" style="286" customWidth="1"/>
    <col min="9188" max="9188" width="10.140625" style="286" customWidth="1"/>
    <col min="9189" max="9189" width="10.7109375" style="286" customWidth="1"/>
    <col min="9190" max="9190" width="9.28515625" style="286"/>
    <col min="9191" max="9192" width="9.140625" style="286" customWidth="1"/>
    <col min="9193" max="9216" width="9.28515625" style="286"/>
    <col min="9217" max="9217" width="4.28515625" style="286" customWidth="1"/>
    <col min="9218" max="9218" width="5.42578125" style="286" customWidth="1"/>
    <col min="9219" max="9219" width="41.5703125" style="286" customWidth="1"/>
    <col min="9220" max="9220" width="7.42578125" style="286" customWidth="1"/>
    <col min="9221" max="9221" width="13.140625" style="286" customWidth="1"/>
    <col min="9222" max="9222" width="11.7109375" style="286" customWidth="1"/>
    <col min="9223" max="9223" width="14.7109375" style="286" customWidth="1"/>
    <col min="9224" max="9224" width="11.7109375" style="286" customWidth="1"/>
    <col min="9225" max="9225" width="12" style="286" customWidth="1"/>
    <col min="9226" max="9226" width="9.7109375" style="286" customWidth="1"/>
    <col min="9227" max="9228" width="9.42578125" style="286" customWidth="1"/>
    <col min="9229" max="9229" width="10.7109375" style="286" customWidth="1"/>
    <col min="9230" max="9230" width="13.42578125" style="286" customWidth="1"/>
    <col min="9231" max="9231" width="12" style="286" customWidth="1"/>
    <col min="9232" max="9232" width="11" style="286" customWidth="1"/>
    <col min="9233" max="9233" width="10.5703125" style="286" customWidth="1"/>
    <col min="9234" max="9234" width="10.42578125" style="286" customWidth="1"/>
    <col min="9235" max="9235" width="10.7109375" style="286" customWidth="1"/>
    <col min="9236" max="9237" width="11.140625" style="286" customWidth="1"/>
    <col min="9238" max="9238" width="10.5703125" style="286" customWidth="1"/>
    <col min="9239" max="9239" width="10.85546875" style="286" customWidth="1"/>
    <col min="9240" max="9240" width="9.85546875" style="286" customWidth="1"/>
    <col min="9241" max="9241" width="11" style="286" customWidth="1"/>
    <col min="9242" max="9242" width="11.42578125" style="286" customWidth="1"/>
    <col min="9243" max="9243" width="12" style="286" customWidth="1"/>
    <col min="9244" max="9244" width="9.85546875" style="286" customWidth="1"/>
    <col min="9245" max="9245" width="10.5703125" style="286" customWidth="1"/>
    <col min="9246" max="9246" width="11.140625" style="286" customWidth="1"/>
    <col min="9247" max="9247" width="11.42578125" style="286" customWidth="1"/>
    <col min="9248" max="9252" width="9.85546875" style="286" customWidth="1"/>
    <col min="9253" max="9255" width="11.7109375" style="286" customWidth="1"/>
    <col min="9256" max="9256" width="9.85546875" style="286" customWidth="1"/>
    <col min="9257" max="9257" width="11" style="286" customWidth="1"/>
    <col min="9258" max="9258" width="11.42578125" style="286" customWidth="1"/>
    <col min="9259" max="9259" width="11.140625" style="286" customWidth="1"/>
    <col min="9260" max="9260" width="10.42578125" style="286" customWidth="1"/>
    <col min="9261" max="9261" width="11.5703125" style="286" customWidth="1"/>
    <col min="9262" max="9263" width="11.140625" style="286" customWidth="1"/>
    <col min="9264" max="9276" width="9.85546875" style="286" customWidth="1"/>
    <col min="9277" max="9277" width="10.5703125" style="286" customWidth="1"/>
    <col min="9278" max="9278" width="12.42578125" style="286" customWidth="1"/>
    <col min="9279" max="9279" width="10.140625" style="286" customWidth="1"/>
    <col min="9280" max="9280" width="9.140625" style="286" customWidth="1"/>
    <col min="9281" max="9281" width="9" style="286" customWidth="1"/>
    <col min="9282" max="9283" width="9.7109375" style="286" customWidth="1"/>
    <col min="9284" max="9284" width="8.42578125" style="286" customWidth="1"/>
    <col min="9285" max="9285" width="11.7109375" style="286" customWidth="1"/>
    <col min="9286" max="9286" width="10.85546875" style="286" customWidth="1"/>
    <col min="9287" max="9287" width="11.7109375" style="286" customWidth="1"/>
    <col min="9288" max="9288" width="9" style="286" customWidth="1"/>
    <col min="9289" max="9289" width="11" style="286" customWidth="1"/>
    <col min="9290" max="9290" width="10.5703125" style="286" customWidth="1"/>
    <col min="9291" max="9291" width="11.7109375" style="286" customWidth="1"/>
    <col min="9292" max="9293" width="11" style="286" customWidth="1"/>
    <col min="9294" max="9296" width="11.140625" style="286" customWidth="1"/>
    <col min="9297" max="9297" width="8.7109375" style="286" customWidth="1"/>
    <col min="9298" max="9298" width="11.140625" style="286" customWidth="1"/>
    <col min="9299" max="9299" width="9.28515625" style="286"/>
    <col min="9300" max="9300" width="11.140625" style="286" customWidth="1"/>
    <col min="9301" max="9301" width="10.5703125" style="286" customWidth="1"/>
    <col min="9302" max="9302" width="12.28515625" style="286" customWidth="1"/>
    <col min="9303" max="9303" width="12" style="286" customWidth="1"/>
    <col min="9304" max="9304" width="9.85546875" style="286" customWidth="1"/>
    <col min="9305" max="9305" width="11" style="286" customWidth="1"/>
    <col min="9306" max="9306" width="12.28515625" style="286" customWidth="1"/>
    <col min="9307" max="9307" width="12" style="286" customWidth="1"/>
    <col min="9308" max="9308" width="9.85546875" style="286" customWidth="1"/>
    <col min="9309" max="9309" width="11" style="286" customWidth="1"/>
    <col min="9310" max="9310" width="12.28515625" style="286" customWidth="1"/>
    <col min="9311" max="9311" width="12" style="286" customWidth="1"/>
    <col min="9312" max="9312" width="9.85546875" style="286" customWidth="1"/>
    <col min="9313" max="9313" width="11" style="286" customWidth="1"/>
    <col min="9314" max="9314" width="12.28515625" style="286" customWidth="1"/>
    <col min="9315" max="9315" width="12" style="286" customWidth="1"/>
    <col min="9316" max="9316" width="9.85546875" style="286" customWidth="1"/>
    <col min="9317" max="9317" width="11" style="286" customWidth="1"/>
    <col min="9318" max="9318" width="12.28515625" style="286" customWidth="1"/>
    <col min="9319" max="9319" width="12" style="286" customWidth="1"/>
    <col min="9320" max="9320" width="9.85546875" style="286" customWidth="1"/>
    <col min="9321" max="9321" width="11" style="286" customWidth="1"/>
    <col min="9322" max="9322" width="12.28515625" style="286" customWidth="1"/>
    <col min="9323" max="9323" width="12" style="286" customWidth="1"/>
    <col min="9324" max="9324" width="9.85546875" style="286" customWidth="1"/>
    <col min="9325" max="9325" width="11" style="286" customWidth="1"/>
    <col min="9326" max="9326" width="12.28515625" style="286" customWidth="1"/>
    <col min="9327" max="9327" width="12" style="286" customWidth="1"/>
    <col min="9328" max="9328" width="9.85546875" style="286" customWidth="1"/>
    <col min="9329" max="9329" width="11" style="286" customWidth="1"/>
    <col min="9330" max="9330" width="12.28515625" style="286" customWidth="1"/>
    <col min="9331" max="9331" width="12" style="286" customWidth="1"/>
    <col min="9332" max="9332" width="9.85546875" style="286" customWidth="1"/>
    <col min="9333" max="9333" width="11" style="286" customWidth="1"/>
    <col min="9334" max="9334" width="12.28515625" style="286" customWidth="1"/>
    <col min="9335" max="9335" width="12" style="286" customWidth="1"/>
    <col min="9336" max="9336" width="9.85546875" style="286" customWidth="1"/>
    <col min="9337" max="9337" width="11" style="286" customWidth="1"/>
    <col min="9338" max="9338" width="12.28515625" style="286" customWidth="1"/>
    <col min="9339" max="9339" width="12" style="286" customWidth="1"/>
    <col min="9340" max="9340" width="9.85546875" style="286" customWidth="1"/>
    <col min="9341" max="9341" width="11" style="286" customWidth="1"/>
    <col min="9342" max="9342" width="12.28515625" style="286" customWidth="1"/>
    <col min="9343" max="9343" width="12" style="286" customWidth="1"/>
    <col min="9344" max="9344" width="9.85546875" style="286" customWidth="1"/>
    <col min="9345" max="9345" width="11" style="286" customWidth="1"/>
    <col min="9346" max="9346" width="12.28515625" style="286" customWidth="1"/>
    <col min="9347" max="9347" width="12" style="286" customWidth="1"/>
    <col min="9348" max="9348" width="9.85546875" style="286" customWidth="1"/>
    <col min="9349" max="9349" width="11" style="286" customWidth="1"/>
    <col min="9350" max="9350" width="12.28515625" style="286" customWidth="1"/>
    <col min="9351" max="9351" width="12" style="286" customWidth="1"/>
    <col min="9352" max="9352" width="9.85546875" style="286" customWidth="1"/>
    <col min="9353" max="9353" width="11" style="286" customWidth="1"/>
    <col min="9354" max="9354" width="12.28515625" style="286" customWidth="1"/>
    <col min="9355" max="9355" width="12" style="286" customWidth="1"/>
    <col min="9356" max="9356" width="9.85546875" style="286" customWidth="1"/>
    <col min="9357" max="9357" width="11" style="286" customWidth="1"/>
    <col min="9358" max="9358" width="12.28515625" style="286" customWidth="1"/>
    <col min="9359" max="9359" width="12" style="286" customWidth="1"/>
    <col min="9360" max="9360" width="9.85546875" style="286" customWidth="1"/>
    <col min="9361" max="9361" width="11" style="286" customWidth="1"/>
    <col min="9362" max="9362" width="12.28515625" style="286" customWidth="1"/>
    <col min="9363" max="9363" width="12" style="286" customWidth="1"/>
    <col min="9364" max="9364" width="9.85546875" style="286" customWidth="1"/>
    <col min="9365" max="9365" width="11" style="286" customWidth="1"/>
    <col min="9366" max="9366" width="12.28515625" style="286" customWidth="1"/>
    <col min="9367" max="9367" width="12" style="286" customWidth="1"/>
    <col min="9368" max="9368" width="9.85546875" style="286" customWidth="1"/>
    <col min="9369" max="9369" width="11.7109375" style="286" customWidth="1"/>
    <col min="9370" max="9370" width="10.85546875" style="286" customWidth="1"/>
    <col min="9371" max="9371" width="11.7109375" style="286" customWidth="1"/>
    <col min="9372" max="9372" width="9" style="286" customWidth="1"/>
    <col min="9373" max="9373" width="11" style="286" customWidth="1"/>
    <col min="9374" max="9374" width="12.28515625" style="286" customWidth="1"/>
    <col min="9375" max="9375" width="12" style="286" customWidth="1"/>
    <col min="9376" max="9376" width="9.85546875" style="286" customWidth="1"/>
    <col min="9377" max="9377" width="11" style="286" customWidth="1"/>
    <col min="9378" max="9378" width="12.28515625" style="286" customWidth="1"/>
    <col min="9379" max="9379" width="12" style="286" customWidth="1"/>
    <col min="9380" max="9380" width="9.85546875" style="286" customWidth="1"/>
    <col min="9381" max="9381" width="11" style="286" customWidth="1"/>
    <col min="9382" max="9382" width="12.28515625" style="286" customWidth="1"/>
    <col min="9383" max="9383" width="12" style="286" customWidth="1"/>
    <col min="9384" max="9384" width="9.85546875" style="286" customWidth="1"/>
    <col min="9385" max="9388" width="0" style="286" hidden="1" customWidth="1"/>
    <col min="9389" max="9389" width="11" style="286" customWidth="1"/>
    <col min="9390" max="9390" width="12.28515625" style="286" customWidth="1"/>
    <col min="9391" max="9391" width="12" style="286" customWidth="1"/>
    <col min="9392" max="9392" width="9.85546875" style="286" customWidth="1"/>
    <col min="9393" max="9393" width="11" style="286" customWidth="1"/>
    <col min="9394" max="9394" width="12.28515625" style="286" customWidth="1"/>
    <col min="9395" max="9395" width="12" style="286" customWidth="1"/>
    <col min="9396" max="9396" width="9.85546875" style="286" customWidth="1"/>
    <col min="9397" max="9397" width="11" style="286" customWidth="1"/>
    <col min="9398" max="9398" width="12.28515625" style="286" customWidth="1"/>
    <col min="9399" max="9399" width="12" style="286" customWidth="1"/>
    <col min="9400" max="9400" width="9.85546875" style="286" customWidth="1"/>
    <col min="9401" max="9401" width="11" style="286" customWidth="1"/>
    <col min="9402" max="9402" width="12.28515625" style="286" customWidth="1"/>
    <col min="9403" max="9403" width="12" style="286" customWidth="1"/>
    <col min="9404" max="9404" width="9.85546875" style="286" customWidth="1"/>
    <col min="9405" max="9405" width="11" style="286" customWidth="1"/>
    <col min="9406" max="9406" width="12.28515625" style="286" customWidth="1"/>
    <col min="9407" max="9407" width="12" style="286" customWidth="1"/>
    <col min="9408" max="9408" width="9.85546875" style="286" customWidth="1"/>
    <col min="9409" max="9409" width="11" style="286" customWidth="1"/>
    <col min="9410" max="9410" width="12.28515625" style="286" customWidth="1"/>
    <col min="9411" max="9411" width="12" style="286" customWidth="1"/>
    <col min="9412" max="9412" width="9.85546875" style="286" customWidth="1"/>
    <col min="9413" max="9413" width="11" style="286" customWidth="1"/>
    <col min="9414" max="9414" width="12.28515625" style="286" customWidth="1"/>
    <col min="9415" max="9415" width="12" style="286" customWidth="1"/>
    <col min="9416" max="9416" width="9.85546875" style="286" customWidth="1"/>
    <col min="9417" max="9417" width="11" style="286" customWidth="1"/>
    <col min="9418" max="9418" width="12.28515625" style="286" customWidth="1"/>
    <col min="9419" max="9419" width="12" style="286" customWidth="1"/>
    <col min="9420" max="9420" width="9.85546875" style="286" customWidth="1"/>
    <col min="9421" max="9421" width="11" style="286" customWidth="1"/>
    <col min="9422" max="9422" width="12.28515625" style="286" customWidth="1"/>
    <col min="9423" max="9423" width="12" style="286" customWidth="1"/>
    <col min="9424" max="9424" width="9.85546875" style="286" customWidth="1"/>
    <col min="9425" max="9439" width="0" style="286" hidden="1" customWidth="1"/>
    <col min="9440" max="9440" width="9.85546875" style="286" customWidth="1"/>
    <col min="9441" max="9441" width="10.42578125" style="286" customWidth="1"/>
    <col min="9442" max="9442" width="9" style="286" customWidth="1"/>
    <col min="9443" max="9443" width="11.28515625" style="286" customWidth="1"/>
    <col min="9444" max="9444" width="10.140625" style="286" customWidth="1"/>
    <col min="9445" max="9445" width="10.7109375" style="286" customWidth="1"/>
    <col min="9446" max="9446" width="9.28515625" style="286"/>
    <col min="9447" max="9448" width="9.140625" style="286" customWidth="1"/>
    <col min="9449" max="9472" width="9.28515625" style="286"/>
    <col min="9473" max="9473" width="4.28515625" style="286" customWidth="1"/>
    <col min="9474" max="9474" width="5.42578125" style="286" customWidth="1"/>
    <col min="9475" max="9475" width="41.5703125" style="286" customWidth="1"/>
    <col min="9476" max="9476" width="7.42578125" style="286" customWidth="1"/>
    <col min="9477" max="9477" width="13.140625" style="286" customWidth="1"/>
    <col min="9478" max="9478" width="11.7109375" style="286" customWidth="1"/>
    <col min="9479" max="9479" width="14.7109375" style="286" customWidth="1"/>
    <col min="9480" max="9480" width="11.7109375" style="286" customWidth="1"/>
    <col min="9481" max="9481" width="12" style="286" customWidth="1"/>
    <col min="9482" max="9482" width="9.7109375" style="286" customWidth="1"/>
    <col min="9483" max="9484" width="9.42578125" style="286" customWidth="1"/>
    <col min="9485" max="9485" width="10.7109375" style="286" customWidth="1"/>
    <col min="9486" max="9486" width="13.42578125" style="286" customWidth="1"/>
    <col min="9487" max="9487" width="12" style="286" customWidth="1"/>
    <col min="9488" max="9488" width="11" style="286" customWidth="1"/>
    <col min="9489" max="9489" width="10.5703125" style="286" customWidth="1"/>
    <col min="9490" max="9490" width="10.42578125" style="286" customWidth="1"/>
    <col min="9491" max="9491" width="10.7109375" style="286" customWidth="1"/>
    <col min="9492" max="9493" width="11.140625" style="286" customWidth="1"/>
    <col min="9494" max="9494" width="10.5703125" style="286" customWidth="1"/>
    <col min="9495" max="9495" width="10.85546875" style="286" customWidth="1"/>
    <col min="9496" max="9496" width="9.85546875" style="286" customWidth="1"/>
    <col min="9497" max="9497" width="11" style="286" customWidth="1"/>
    <col min="9498" max="9498" width="11.42578125" style="286" customWidth="1"/>
    <col min="9499" max="9499" width="12" style="286" customWidth="1"/>
    <col min="9500" max="9500" width="9.85546875" style="286" customWidth="1"/>
    <col min="9501" max="9501" width="10.5703125" style="286" customWidth="1"/>
    <col min="9502" max="9502" width="11.140625" style="286" customWidth="1"/>
    <col min="9503" max="9503" width="11.42578125" style="286" customWidth="1"/>
    <col min="9504" max="9508" width="9.85546875" style="286" customWidth="1"/>
    <col min="9509" max="9511" width="11.7109375" style="286" customWidth="1"/>
    <col min="9512" max="9512" width="9.85546875" style="286" customWidth="1"/>
    <col min="9513" max="9513" width="11" style="286" customWidth="1"/>
    <col min="9514" max="9514" width="11.42578125" style="286" customWidth="1"/>
    <col min="9515" max="9515" width="11.140625" style="286" customWidth="1"/>
    <col min="9516" max="9516" width="10.42578125" style="286" customWidth="1"/>
    <col min="9517" max="9517" width="11.5703125" style="286" customWidth="1"/>
    <col min="9518" max="9519" width="11.140625" style="286" customWidth="1"/>
    <col min="9520" max="9532" width="9.85546875" style="286" customWidth="1"/>
    <col min="9533" max="9533" width="10.5703125" style="286" customWidth="1"/>
    <col min="9534" max="9534" width="12.42578125" style="286" customWidth="1"/>
    <col min="9535" max="9535" width="10.140625" style="286" customWidth="1"/>
    <col min="9536" max="9536" width="9.140625" style="286" customWidth="1"/>
    <col min="9537" max="9537" width="9" style="286" customWidth="1"/>
    <col min="9538" max="9539" width="9.7109375" style="286" customWidth="1"/>
    <col min="9540" max="9540" width="8.42578125" style="286" customWidth="1"/>
    <col min="9541" max="9541" width="11.7109375" style="286" customWidth="1"/>
    <col min="9542" max="9542" width="10.85546875" style="286" customWidth="1"/>
    <col min="9543" max="9543" width="11.7109375" style="286" customWidth="1"/>
    <col min="9544" max="9544" width="9" style="286" customWidth="1"/>
    <col min="9545" max="9545" width="11" style="286" customWidth="1"/>
    <col min="9546" max="9546" width="10.5703125" style="286" customWidth="1"/>
    <col min="9547" max="9547" width="11.7109375" style="286" customWidth="1"/>
    <col min="9548" max="9549" width="11" style="286" customWidth="1"/>
    <col min="9550" max="9552" width="11.140625" style="286" customWidth="1"/>
    <col min="9553" max="9553" width="8.7109375" style="286" customWidth="1"/>
    <col min="9554" max="9554" width="11.140625" style="286" customWidth="1"/>
    <col min="9555" max="9555" width="9.28515625" style="286"/>
    <col min="9556" max="9556" width="11.140625" style="286" customWidth="1"/>
    <col min="9557" max="9557" width="10.5703125" style="286" customWidth="1"/>
    <col min="9558" max="9558" width="12.28515625" style="286" customWidth="1"/>
    <col min="9559" max="9559" width="12" style="286" customWidth="1"/>
    <col min="9560" max="9560" width="9.85546875" style="286" customWidth="1"/>
    <col min="9561" max="9561" width="11" style="286" customWidth="1"/>
    <col min="9562" max="9562" width="12.28515625" style="286" customWidth="1"/>
    <col min="9563" max="9563" width="12" style="286" customWidth="1"/>
    <col min="9564" max="9564" width="9.85546875" style="286" customWidth="1"/>
    <col min="9565" max="9565" width="11" style="286" customWidth="1"/>
    <col min="9566" max="9566" width="12.28515625" style="286" customWidth="1"/>
    <col min="9567" max="9567" width="12" style="286" customWidth="1"/>
    <col min="9568" max="9568" width="9.85546875" style="286" customWidth="1"/>
    <col min="9569" max="9569" width="11" style="286" customWidth="1"/>
    <col min="9570" max="9570" width="12.28515625" style="286" customWidth="1"/>
    <col min="9571" max="9571" width="12" style="286" customWidth="1"/>
    <col min="9572" max="9572" width="9.85546875" style="286" customWidth="1"/>
    <col min="9573" max="9573" width="11" style="286" customWidth="1"/>
    <col min="9574" max="9574" width="12.28515625" style="286" customWidth="1"/>
    <col min="9575" max="9575" width="12" style="286" customWidth="1"/>
    <col min="9576" max="9576" width="9.85546875" style="286" customWidth="1"/>
    <col min="9577" max="9577" width="11" style="286" customWidth="1"/>
    <col min="9578" max="9578" width="12.28515625" style="286" customWidth="1"/>
    <col min="9579" max="9579" width="12" style="286" customWidth="1"/>
    <col min="9580" max="9580" width="9.85546875" style="286" customWidth="1"/>
    <col min="9581" max="9581" width="11" style="286" customWidth="1"/>
    <col min="9582" max="9582" width="12.28515625" style="286" customWidth="1"/>
    <col min="9583" max="9583" width="12" style="286" customWidth="1"/>
    <col min="9584" max="9584" width="9.85546875" style="286" customWidth="1"/>
    <col min="9585" max="9585" width="11" style="286" customWidth="1"/>
    <col min="9586" max="9586" width="12.28515625" style="286" customWidth="1"/>
    <col min="9587" max="9587" width="12" style="286" customWidth="1"/>
    <col min="9588" max="9588" width="9.85546875" style="286" customWidth="1"/>
    <col min="9589" max="9589" width="11" style="286" customWidth="1"/>
    <col min="9590" max="9590" width="12.28515625" style="286" customWidth="1"/>
    <col min="9591" max="9591" width="12" style="286" customWidth="1"/>
    <col min="9592" max="9592" width="9.85546875" style="286" customWidth="1"/>
    <col min="9593" max="9593" width="11" style="286" customWidth="1"/>
    <col min="9594" max="9594" width="12.28515625" style="286" customWidth="1"/>
    <col min="9595" max="9595" width="12" style="286" customWidth="1"/>
    <col min="9596" max="9596" width="9.85546875" style="286" customWidth="1"/>
    <col min="9597" max="9597" width="11" style="286" customWidth="1"/>
    <col min="9598" max="9598" width="12.28515625" style="286" customWidth="1"/>
    <col min="9599" max="9599" width="12" style="286" customWidth="1"/>
    <col min="9600" max="9600" width="9.85546875" style="286" customWidth="1"/>
    <col min="9601" max="9601" width="11" style="286" customWidth="1"/>
    <col min="9602" max="9602" width="12.28515625" style="286" customWidth="1"/>
    <col min="9603" max="9603" width="12" style="286" customWidth="1"/>
    <col min="9604" max="9604" width="9.85546875" style="286" customWidth="1"/>
    <col min="9605" max="9605" width="11" style="286" customWidth="1"/>
    <col min="9606" max="9606" width="12.28515625" style="286" customWidth="1"/>
    <col min="9607" max="9607" width="12" style="286" customWidth="1"/>
    <col min="9608" max="9608" width="9.85546875" style="286" customWidth="1"/>
    <col min="9609" max="9609" width="11" style="286" customWidth="1"/>
    <col min="9610" max="9610" width="12.28515625" style="286" customWidth="1"/>
    <col min="9611" max="9611" width="12" style="286" customWidth="1"/>
    <col min="9612" max="9612" width="9.85546875" style="286" customWidth="1"/>
    <col min="9613" max="9613" width="11" style="286" customWidth="1"/>
    <col min="9614" max="9614" width="12.28515625" style="286" customWidth="1"/>
    <col min="9615" max="9615" width="12" style="286" customWidth="1"/>
    <col min="9616" max="9616" width="9.85546875" style="286" customWidth="1"/>
    <col min="9617" max="9617" width="11" style="286" customWidth="1"/>
    <col min="9618" max="9618" width="12.28515625" style="286" customWidth="1"/>
    <col min="9619" max="9619" width="12" style="286" customWidth="1"/>
    <col min="9620" max="9620" width="9.85546875" style="286" customWidth="1"/>
    <col min="9621" max="9621" width="11" style="286" customWidth="1"/>
    <col min="9622" max="9622" width="12.28515625" style="286" customWidth="1"/>
    <col min="9623" max="9623" width="12" style="286" customWidth="1"/>
    <col min="9624" max="9624" width="9.85546875" style="286" customWidth="1"/>
    <col min="9625" max="9625" width="11.7109375" style="286" customWidth="1"/>
    <col min="9626" max="9626" width="10.85546875" style="286" customWidth="1"/>
    <col min="9627" max="9627" width="11.7109375" style="286" customWidth="1"/>
    <col min="9628" max="9628" width="9" style="286" customWidth="1"/>
    <col min="9629" max="9629" width="11" style="286" customWidth="1"/>
    <col min="9630" max="9630" width="12.28515625" style="286" customWidth="1"/>
    <col min="9631" max="9631" width="12" style="286" customWidth="1"/>
    <col min="9632" max="9632" width="9.85546875" style="286" customWidth="1"/>
    <col min="9633" max="9633" width="11" style="286" customWidth="1"/>
    <col min="9634" max="9634" width="12.28515625" style="286" customWidth="1"/>
    <col min="9635" max="9635" width="12" style="286" customWidth="1"/>
    <col min="9636" max="9636" width="9.85546875" style="286" customWidth="1"/>
    <col min="9637" max="9637" width="11" style="286" customWidth="1"/>
    <col min="9638" max="9638" width="12.28515625" style="286" customWidth="1"/>
    <col min="9639" max="9639" width="12" style="286" customWidth="1"/>
    <col min="9640" max="9640" width="9.85546875" style="286" customWidth="1"/>
    <col min="9641" max="9644" width="0" style="286" hidden="1" customWidth="1"/>
    <col min="9645" max="9645" width="11" style="286" customWidth="1"/>
    <col min="9646" max="9646" width="12.28515625" style="286" customWidth="1"/>
    <col min="9647" max="9647" width="12" style="286" customWidth="1"/>
    <col min="9648" max="9648" width="9.85546875" style="286" customWidth="1"/>
    <col min="9649" max="9649" width="11" style="286" customWidth="1"/>
    <col min="9650" max="9650" width="12.28515625" style="286" customWidth="1"/>
    <col min="9651" max="9651" width="12" style="286" customWidth="1"/>
    <col min="9652" max="9652" width="9.85546875" style="286" customWidth="1"/>
    <col min="9653" max="9653" width="11" style="286" customWidth="1"/>
    <col min="9654" max="9654" width="12.28515625" style="286" customWidth="1"/>
    <col min="9655" max="9655" width="12" style="286" customWidth="1"/>
    <col min="9656" max="9656" width="9.85546875" style="286" customWidth="1"/>
    <col min="9657" max="9657" width="11" style="286" customWidth="1"/>
    <col min="9658" max="9658" width="12.28515625" style="286" customWidth="1"/>
    <col min="9659" max="9659" width="12" style="286" customWidth="1"/>
    <col min="9660" max="9660" width="9.85546875" style="286" customWidth="1"/>
    <col min="9661" max="9661" width="11" style="286" customWidth="1"/>
    <col min="9662" max="9662" width="12.28515625" style="286" customWidth="1"/>
    <col min="9663" max="9663" width="12" style="286" customWidth="1"/>
    <col min="9664" max="9664" width="9.85546875" style="286" customWidth="1"/>
    <col min="9665" max="9665" width="11" style="286" customWidth="1"/>
    <col min="9666" max="9666" width="12.28515625" style="286" customWidth="1"/>
    <col min="9667" max="9667" width="12" style="286" customWidth="1"/>
    <col min="9668" max="9668" width="9.85546875" style="286" customWidth="1"/>
    <col min="9669" max="9669" width="11" style="286" customWidth="1"/>
    <col min="9670" max="9670" width="12.28515625" style="286" customWidth="1"/>
    <col min="9671" max="9671" width="12" style="286" customWidth="1"/>
    <col min="9672" max="9672" width="9.85546875" style="286" customWidth="1"/>
    <col min="9673" max="9673" width="11" style="286" customWidth="1"/>
    <col min="9674" max="9674" width="12.28515625" style="286" customWidth="1"/>
    <col min="9675" max="9675" width="12" style="286" customWidth="1"/>
    <col min="9676" max="9676" width="9.85546875" style="286" customWidth="1"/>
    <col min="9677" max="9677" width="11" style="286" customWidth="1"/>
    <col min="9678" max="9678" width="12.28515625" style="286" customWidth="1"/>
    <col min="9679" max="9679" width="12" style="286" customWidth="1"/>
    <col min="9680" max="9680" width="9.85546875" style="286" customWidth="1"/>
    <col min="9681" max="9695" width="0" style="286" hidden="1" customWidth="1"/>
    <col min="9696" max="9696" width="9.85546875" style="286" customWidth="1"/>
    <col min="9697" max="9697" width="10.42578125" style="286" customWidth="1"/>
    <col min="9698" max="9698" width="9" style="286" customWidth="1"/>
    <col min="9699" max="9699" width="11.28515625" style="286" customWidth="1"/>
    <col min="9700" max="9700" width="10.140625" style="286" customWidth="1"/>
    <col min="9701" max="9701" width="10.7109375" style="286" customWidth="1"/>
    <col min="9702" max="9702" width="9.28515625" style="286"/>
    <col min="9703" max="9704" width="9.140625" style="286" customWidth="1"/>
    <col min="9705" max="9728" width="9.28515625" style="286"/>
    <col min="9729" max="9729" width="4.28515625" style="286" customWidth="1"/>
    <col min="9730" max="9730" width="5.42578125" style="286" customWidth="1"/>
    <col min="9731" max="9731" width="41.5703125" style="286" customWidth="1"/>
    <col min="9732" max="9732" width="7.42578125" style="286" customWidth="1"/>
    <col min="9733" max="9733" width="13.140625" style="286" customWidth="1"/>
    <col min="9734" max="9734" width="11.7109375" style="286" customWidth="1"/>
    <col min="9735" max="9735" width="14.7109375" style="286" customWidth="1"/>
    <col min="9736" max="9736" width="11.7109375" style="286" customWidth="1"/>
    <col min="9737" max="9737" width="12" style="286" customWidth="1"/>
    <col min="9738" max="9738" width="9.7109375" style="286" customWidth="1"/>
    <col min="9739" max="9740" width="9.42578125" style="286" customWidth="1"/>
    <col min="9741" max="9741" width="10.7109375" style="286" customWidth="1"/>
    <col min="9742" max="9742" width="13.42578125" style="286" customWidth="1"/>
    <col min="9743" max="9743" width="12" style="286" customWidth="1"/>
    <col min="9744" max="9744" width="11" style="286" customWidth="1"/>
    <col min="9745" max="9745" width="10.5703125" style="286" customWidth="1"/>
    <col min="9746" max="9746" width="10.42578125" style="286" customWidth="1"/>
    <col min="9747" max="9747" width="10.7109375" style="286" customWidth="1"/>
    <col min="9748" max="9749" width="11.140625" style="286" customWidth="1"/>
    <col min="9750" max="9750" width="10.5703125" style="286" customWidth="1"/>
    <col min="9751" max="9751" width="10.85546875" style="286" customWidth="1"/>
    <col min="9752" max="9752" width="9.85546875" style="286" customWidth="1"/>
    <col min="9753" max="9753" width="11" style="286" customWidth="1"/>
    <col min="9754" max="9754" width="11.42578125" style="286" customWidth="1"/>
    <col min="9755" max="9755" width="12" style="286" customWidth="1"/>
    <col min="9756" max="9756" width="9.85546875" style="286" customWidth="1"/>
    <col min="9757" max="9757" width="10.5703125" style="286" customWidth="1"/>
    <col min="9758" max="9758" width="11.140625" style="286" customWidth="1"/>
    <col min="9759" max="9759" width="11.42578125" style="286" customWidth="1"/>
    <col min="9760" max="9764" width="9.85546875" style="286" customWidth="1"/>
    <col min="9765" max="9767" width="11.7109375" style="286" customWidth="1"/>
    <col min="9768" max="9768" width="9.85546875" style="286" customWidth="1"/>
    <col min="9769" max="9769" width="11" style="286" customWidth="1"/>
    <col min="9770" max="9770" width="11.42578125" style="286" customWidth="1"/>
    <col min="9771" max="9771" width="11.140625" style="286" customWidth="1"/>
    <col min="9772" max="9772" width="10.42578125" style="286" customWidth="1"/>
    <col min="9773" max="9773" width="11.5703125" style="286" customWidth="1"/>
    <col min="9774" max="9775" width="11.140625" style="286" customWidth="1"/>
    <col min="9776" max="9788" width="9.85546875" style="286" customWidth="1"/>
    <col min="9789" max="9789" width="10.5703125" style="286" customWidth="1"/>
    <col min="9790" max="9790" width="12.42578125" style="286" customWidth="1"/>
    <col min="9791" max="9791" width="10.140625" style="286" customWidth="1"/>
    <col min="9792" max="9792" width="9.140625" style="286" customWidth="1"/>
    <col min="9793" max="9793" width="9" style="286" customWidth="1"/>
    <col min="9794" max="9795" width="9.7109375" style="286" customWidth="1"/>
    <col min="9796" max="9796" width="8.42578125" style="286" customWidth="1"/>
    <col min="9797" max="9797" width="11.7109375" style="286" customWidth="1"/>
    <col min="9798" max="9798" width="10.85546875" style="286" customWidth="1"/>
    <col min="9799" max="9799" width="11.7109375" style="286" customWidth="1"/>
    <col min="9800" max="9800" width="9" style="286" customWidth="1"/>
    <col min="9801" max="9801" width="11" style="286" customWidth="1"/>
    <col min="9802" max="9802" width="10.5703125" style="286" customWidth="1"/>
    <col min="9803" max="9803" width="11.7109375" style="286" customWidth="1"/>
    <col min="9804" max="9805" width="11" style="286" customWidth="1"/>
    <col min="9806" max="9808" width="11.140625" style="286" customWidth="1"/>
    <col min="9809" max="9809" width="8.7109375" style="286" customWidth="1"/>
    <col min="9810" max="9810" width="11.140625" style="286" customWidth="1"/>
    <col min="9811" max="9811" width="9.28515625" style="286"/>
    <col min="9812" max="9812" width="11.140625" style="286" customWidth="1"/>
    <col min="9813" max="9813" width="10.5703125" style="286" customWidth="1"/>
    <col min="9814" max="9814" width="12.28515625" style="286" customWidth="1"/>
    <col min="9815" max="9815" width="12" style="286" customWidth="1"/>
    <col min="9816" max="9816" width="9.85546875" style="286" customWidth="1"/>
    <col min="9817" max="9817" width="11" style="286" customWidth="1"/>
    <col min="9818" max="9818" width="12.28515625" style="286" customWidth="1"/>
    <col min="9819" max="9819" width="12" style="286" customWidth="1"/>
    <col min="9820" max="9820" width="9.85546875" style="286" customWidth="1"/>
    <col min="9821" max="9821" width="11" style="286" customWidth="1"/>
    <col min="9822" max="9822" width="12.28515625" style="286" customWidth="1"/>
    <col min="9823" max="9823" width="12" style="286" customWidth="1"/>
    <col min="9824" max="9824" width="9.85546875" style="286" customWidth="1"/>
    <col min="9825" max="9825" width="11" style="286" customWidth="1"/>
    <col min="9826" max="9826" width="12.28515625" style="286" customWidth="1"/>
    <col min="9827" max="9827" width="12" style="286" customWidth="1"/>
    <col min="9828" max="9828" width="9.85546875" style="286" customWidth="1"/>
    <col min="9829" max="9829" width="11" style="286" customWidth="1"/>
    <col min="9830" max="9830" width="12.28515625" style="286" customWidth="1"/>
    <col min="9831" max="9831" width="12" style="286" customWidth="1"/>
    <col min="9832" max="9832" width="9.85546875" style="286" customWidth="1"/>
    <col min="9833" max="9833" width="11" style="286" customWidth="1"/>
    <col min="9834" max="9834" width="12.28515625" style="286" customWidth="1"/>
    <col min="9835" max="9835" width="12" style="286" customWidth="1"/>
    <col min="9836" max="9836" width="9.85546875" style="286" customWidth="1"/>
    <col min="9837" max="9837" width="11" style="286" customWidth="1"/>
    <col min="9838" max="9838" width="12.28515625" style="286" customWidth="1"/>
    <col min="9839" max="9839" width="12" style="286" customWidth="1"/>
    <col min="9840" max="9840" width="9.85546875" style="286" customWidth="1"/>
    <col min="9841" max="9841" width="11" style="286" customWidth="1"/>
    <col min="9842" max="9842" width="12.28515625" style="286" customWidth="1"/>
    <col min="9843" max="9843" width="12" style="286" customWidth="1"/>
    <col min="9844" max="9844" width="9.85546875" style="286" customWidth="1"/>
    <col min="9845" max="9845" width="11" style="286" customWidth="1"/>
    <col min="9846" max="9846" width="12.28515625" style="286" customWidth="1"/>
    <col min="9847" max="9847" width="12" style="286" customWidth="1"/>
    <col min="9848" max="9848" width="9.85546875" style="286" customWidth="1"/>
    <col min="9849" max="9849" width="11" style="286" customWidth="1"/>
    <col min="9850" max="9850" width="12.28515625" style="286" customWidth="1"/>
    <col min="9851" max="9851" width="12" style="286" customWidth="1"/>
    <col min="9852" max="9852" width="9.85546875" style="286" customWidth="1"/>
    <col min="9853" max="9853" width="11" style="286" customWidth="1"/>
    <col min="9854" max="9854" width="12.28515625" style="286" customWidth="1"/>
    <col min="9855" max="9855" width="12" style="286" customWidth="1"/>
    <col min="9856" max="9856" width="9.85546875" style="286" customWidth="1"/>
    <col min="9857" max="9857" width="11" style="286" customWidth="1"/>
    <col min="9858" max="9858" width="12.28515625" style="286" customWidth="1"/>
    <col min="9859" max="9859" width="12" style="286" customWidth="1"/>
    <col min="9860" max="9860" width="9.85546875" style="286" customWidth="1"/>
    <col min="9861" max="9861" width="11" style="286" customWidth="1"/>
    <col min="9862" max="9862" width="12.28515625" style="286" customWidth="1"/>
    <col min="9863" max="9863" width="12" style="286" customWidth="1"/>
    <col min="9864" max="9864" width="9.85546875" style="286" customWidth="1"/>
    <col min="9865" max="9865" width="11" style="286" customWidth="1"/>
    <col min="9866" max="9866" width="12.28515625" style="286" customWidth="1"/>
    <col min="9867" max="9867" width="12" style="286" customWidth="1"/>
    <col min="9868" max="9868" width="9.85546875" style="286" customWidth="1"/>
    <col min="9869" max="9869" width="11" style="286" customWidth="1"/>
    <col min="9870" max="9870" width="12.28515625" style="286" customWidth="1"/>
    <col min="9871" max="9871" width="12" style="286" customWidth="1"/>
    <col min="9872" max="9872" width="9.85546875" style="286" customWidth="1"/>
    <col min="9873" max="9873" width="11" style="286" customWidth="1"/>
    <col min="9874" max="9874" width="12.28515625" style="286" customWidth="1"/>
    <col min="9875" max="9875" width="12" style="286" customWidth="1"/>
    <col min="9876" max="9876" width="9.85546875" style="286" customWidth="1"/>
    <col min="9877" max="9877" width="11" style="286" customWidth="1"/>
    <col min="9878" max="9878" width="12.28515625" style="286" customWidth="1"/>
    <col min="9879" max="9879" width="12" style="286" customWidth="1"/>
    <col min="9880" max="9880" width="9.85546875" style="286" customWidth="1"/>
    <col min="9881" max="9881" width="11.7109375" style="286" customWidth="1"/>
    <col min="9882" max="9882" width="10.85546875" style="286" customWidth="1"/>
    <col min="9883" max="9883" width="11.7109375" style="286" customWidth="1"/>
    <col min="9884" max="9884" width="9" style="286" customWidth="1"/>
    <col min="9885" max="9885" width="11" style="286" customWidth="1"/>
    <col min="9886" max="9886" width="12.28515625" style="286" customWidth="1"/>
    <col min="9887" max="9887" width="12" style="286" customWidth="1"/>
    <col min="9888" max="9888" width="9.85546875" style="286" customWidth="1"/>
    <col min="9889" max="9889" width="11" style="286" customWidth="1"/>
    <col min="9890" max="9890" width="12.28515625" style="286" customWidth="1"/>
    <col min="9891" max="9891" width="12" style="286" customWidth="1"/>
    <col min="9892" max="9892" width="9.85546875" style="286" customWidth="1"/>
    <col min="9893" max="9893" width="11" style="286" customWidth="1"/>
    <col min="9894" max="9894" width="12.28515625" style="286" customWidth="1"/>
    <col min="9895" max="9895" width="12" style="286" customWidth="1"/>
    <col min="9896" max="9896" width="9.85546875" style="286" customWidth="1"/>
    <col min="9897" max="9900" width="0" style="286" hidden="1" customWidth="1"/>
    <col min="9901" max="9901" width="11" style="286" customWidth="1"/>
    <col min="9902" max="9902" width="12.28515625" style="286" customWidth="1"/>
    <col min="9903" max="9903" width="12" style="286" customWidth="1"/>
    <col min="9904" max="9904" width="9.85546875" style="286" customWidth="1"/>
    <col min="9905" max="9905" width="11" style="286" customWidth="1"/>
    <col min="9906" max="9906" width="12.28515625" style="286" customWidth="1"/>
    <col min="9907" max="9907" width="12" style="286" customWidth="1"/>
    <col min="9908" max="9908" width="9.85546875" style="286" customWidth="1"/>
    <col min="9909" max="9909" width="11" style="286" customWidth="1"/>
    <col min="9910" max="9910" width="12.28515625" style="286" customWidth="1"/>
    <col min="9911" max="9911" width="12" style="286" customWidth="1"/>
    <col min="9912" max="9912" width="9.85546875" style="286" customWidth="1"/>
    <col min="9913" max="9913" width="11" style="286" customWidth="1"/>
    <col min="9914" max="9914" width="12.28515625" style="286" customWidth="1"/>
    <col min="9915" max="9915" width="12" style="286" customWidth="1"/>
    <col min="9916" max="9916" width="9.85546875" style="286" customWidth="1"/>
    <col min="9917" max="9917" width="11" style="286" customWidth="1"/>
    <col min="9918" max="9918" width="12.28515625" style="286" customWidth="1"/>
    <col min="9919" max="9919" width="12" style="286" customWidth="1"/>
    <col min="9920" max="9920" width="9.85546875" style="286" customWidth="1"/>
    <col min="9921" max="9921" width="11" style="286" customWidth="1"/>
    <col min="9922" max="9922" width="12.28515625" style="286" customWidth="1"/>
    <col min="9923" max="9923" width="12" style="286" customWidth="1"/>
    <col min="9924" max="9924" width="9.85546875" style="286" customWidth="1"/>
    <col min="9925" max="9925" width="11" style="286" customWidth="1"/>
    <col min="9926" max="9926" width="12.28515625" style="286" customWidth="1"/>
    <col min="9927" max="9927" width="12" style="286" customWidth="1"/>
    <col min="9928" max="9928" width="9.85546875" style="286" customWidth="1"/>
    <col min="9929" max="9929" width="11" style="286" customWidth="1"/>
    <col min="9930" max="9930" width="12.28515625" style="286" customWidth="1"/>
    <col min="9931" max="9931" width="12" style="286" customWidth="1"/>
    <col min="9932" max="9932" width="9.85546875" style="286" customWidth="1"/>
    <col min="9933" max="9933" width="11" style="286" customWidth="1"/>
    <col min="9934" max="9934" width="12.28515625" style="286" customWidth="1"/>
    <col min="9935" max="9935" width="12" style="286" customWidth="1"/>
    <col min="9936" max="9936" width="9.85546875" style="286" customWidth="1"/>
    <col min="9937" max="9951" width="0" style="286" hidden="1" customWidth="1"/>
    <col min="9952" max="9952" width="9.85546875" style="286" customWidth="1"/>
    <col min="9953" max="9953" width="10.42578125" style="286" customWidth="1"/>
    <col min="9954" max="9954" width="9" style="286" customWidth="1"/>
    <col min="9955" max="9955" width="11.28515625" style="286" customWidth="1"/>
    <col min="9956" max="9956" width="10.140625" style="286" customWidth="1"/>
    <col min="9957" max="9957" width="10.7109375" style="286" customWidth="1"/>
    <col min="9958" max="9958" width="9.28515625" style="286"/>
    <col min="9959" max="9960" width="9.140625" style="286" customWidth="1"/>
    <col min="9961" max="9984" width="9.28515625" style="286"/>
    <col min="9985" max="9985" width="4.28515625" style="286" customWidth="1"/>
    <col min="9986" max="9986" width="5.42578125" style="286" customWidth="1"/>
    <col min="9987" max="9987" width="41.5703125" style="286" customWidth="1"/>
    <col min="9988" max="9988" width="7.42578125" style="286" customWidth="1"/>
    <col min="9989" max="9989" width="13.140625" style="286" customWidth="1"/>
    <col min="9990" max="9990" width="11.7109375" style="286" customWidth="1"/>
    <col min="9991" max="9991" width="14.7109375" style="286" customWidth="1"/>
    <col min="9992" max="9992" width="11.7109375" style="286" customWidth="1"/>
    <col min="9993" max="9993" width="12" style="286" customWidth="1"/>
    <col min="9994" max="9994" width="9.7109375" style="286" customWidth="1"/>
    <col min="9995" max="9996" width="9.42578125" style="286" customWidth="1"/>
    <col min="9997" max="9997" width="10.7109375" style="286" customWidth="1"/>
    <col min="9998" max="9998" width="13.42578125" style="286" customWidth="1"/>
    <col min="9999" max="9999" width="12" style="286" customWidth="1"/>
    <col min="10000" max="10000" width="11" style="286" customWidth="1"/>
    <col min="10001" max="10001" width="10.5703125" style="286" customWidth="1"/>
    <col min="10002" max="10002" width="10.42578125" style="286" customWidth="1"/>
    <col min="10003" max="10003" width="10.7109375" style="286" customWidth="1"/>
    <col min="10004" max="10005" width="11.140625" style="286" customWidth="1"/>
    <col min="10006" max="10006" width="10.5703125" style="286" customWidth="1"/>
    <col min="10007" max="10007" width="10.85546875" style="286" customWidth="1"/>
    <col min="10008" max="10008" width="9.85546875" style="286" customWidth="1"/>
    <col min="10009" max="10009" width="11" style="286" customWidth="1"/>
    <col min="10010" max="10010" width="11.42578125" style="286" customWidth="1"/>
    <col min="10011" max="10011" width="12" style="286" customWidth="1"/>
    <col min="10012" max="10012" width="9.85546875" style="286" customWidth="1"/>
    <col min="10013" max="10013" width="10.5703125" style="286" customWidth="1"/>
    <col min="10014" max="10014" width="11.140625" style="286" customWidth="1"/>
    <col min="10015" max="10015" width="11.42578125" style="286" customWidth="1"/>
    <col min="10016" max="10020" width="9.85546875" style="286" customWidth="1"/>
    <col min="10021" max="10023" width="11.7109375" style="286" customWidth="1"/>
    <col min="10024" max="10024" width="9.85546875" style="286" customWidth="1"/>
    <col min="10025" max="10025" width="11" style="286" customWidth="1"/>
    <col min="10026" max="10026" width="11.42578125" style="286" customWidth="1"/>
    <col min="10027" max="10027" width="11.140625" style="286" customWidth="1"/>
    <col min="10028" max="10028" width="10.42578125" style="286" customWidth="1"/>
    <col min="10029" max="10029" width="11.5703125" style="286" customWidth="1"/>
    <col min="10030" max="10031" width="11.140625" style="286" customWidth="1"/>
    <col min="10032" max="10044" width="9.85546875" style="286" customWidth="1"/>
    <col min="10045" max="10045" width="10.5703125" style="286" customWidth="1"/>
    <col min="10046" max="10046" width="12.42578125" style="286" customWidth="1"/>
    <col min="10047" max="10047" width="10.140625" style="286" customWidth="1"/>
    <col min="10048" max="10048" width="9.140625" style="286" customWidth="1"/>
    <col min="10049" max="10049" width="9" style="286" customWidth="1"/>
    <col min="10050" max="10051" width="9.7109375" style="286" customWidth="1"/>
    <col min="10052" max="10052" width="8.42578125" style="286" customWidth="1"/>
    <col min="10053" max="10053" width="11.7109375" style="286" customWidth="1"/>
    <col min="10054" max="10054" width="10.85546875" style="286" customWidth="1"/>
    <col min="10055" max="10055" width="11.7109375" style="286" customWidth="1"/>
    <col min="10056" max="10056" width="9" style="286" customWidth="1"/>
    <col min="10057" max="10057" width="11" style="286" customWidth="1"/>
    <col min="10058" max="10058" width="10.5703125" style="286" customWidth="1"/>
    <col min="10059" max="10059" width="11.7109375" style="286" customWidth="1"/>
    <col min="10060" max="10061" width="11" style="286" customWidth="1"/>
    <col min="10062" max="10064" width="11.140625" style="286" customWidth="1"/>
    <col min="10065" max="10065" width="8.7109375" style="286" customWidth="1"/>
    <col min="10066" max="10066" width="11.140625" style="286" customWidth="1"/>
    <col min="10067" max="10067" width="9.28515625" style="286"/>
    <col min="10068" max="10068" width="11.140625" style="286" customWidth="1"/>
    <col min="10069" max="10069" width="10.5703125" style="286" customWidth="1"/>
    <col min="10070" max="10070" width="12.28515625" style="286" customWidth="1"/>
    <col min="10071" max="10071" width="12" style="286" customWidth="1"/>
    <col min="10072" max="10072" width="9.85546875" style="286" customWidth="1"/>
    <col min="10073" max="10073" width="11" style="286" customWidth="1"/>
    <col min="10074" max="10074" width="12.28515625" style="286" customWidth="1"/>
    <col min="10075" max="10075" width="12" style="286" customWidth="1"/>
    <col min="10076" max="10076" width="9.85546875" style="286" customWidth="1"/>
    <col min="10077" max="10077" width="11" style="286" customWidth="1"/>
    <col min="10078" max="10078" width="12.28515625" style="286" customWidth="1"/>
    <col min="10079" max="10079" width="12" style="286" customWidth="1"/>
    <col min="10080" max="10080" width="9.85546875" style="286" customWidth="1"/>
    <col min="10081" max="10081" width="11" style="286" customWidth="1"/>
    <col min="10082" max="10082" width="12.28515625" style="286" customWidth="1"/>
    <col min="10083" max="10083" width="12" style="286" customWidth="1"/>
    <col min="10084" max="10084" width="9.85546875" style="286" customWidth="1"/>
    <col min="10085" max="10085" width="11" style="286" customWidth="1"/>
    <col min="10086" max="10086" width="12.28515625" style="286" customWidth="1"/>
    <col min="10087" max="10087" width="12" style="286" customWidth="1"/>
    <col min="10088" max="10088" width="9.85546875" style="286" customWidth="1"/>
    <col min="10089" max="10089" width="11" style="286" customWidth="1"/>
    <col min="10090" max="10090" width="12.28515625" style="286" customWidth="1"/>
    <col min="10091" max="10091" width="12" style="286" customWidth="1"/>
    <col min="10092" max="10092" width="9.85546875" style="286" customWidth="1"/>
    <col min="10093" max="10093" width="11" style="286" customWidth="1"/>
    <col min="10094" max="10094" width="12.28515625" style="286" customWidth="1"/>
    <col min="10095" max="10095" width="12" style="286" customWidth="1"/>
    <col min="10096" max="10096" width="9.85546875" style="286" customWidth="1"/>
    <col min="10097" max="10097" width="11" style="286" customWidth="1"/>
    <col min="10098" max="10098" width="12.28515625" style="286" customWidth="1"/>
    <col min="10099" max="10099" width="12" style="286" customWidth="1"/>
    <col min="10100" max="10100" width="9.85546875" style="286" customWidth="1"/>
    <col min="10101" max="10101" width="11" style="286" customWidth="1"/>
    <col min="10102" max="10102" width="12.28515625" style="286" customWidth="1"/>
    <col min="10103" max="10103" width="12" style="286" customWidth="1"/>
    <col min="10104" max="10104" width="9.85546875" style="286" customWidth="1"/>
    <col min="10105" max="10105" width="11" style="286" customWidth="1"/>
    <col min="10106" max="10106" width="12.28515625" style="286" customWidth="1"/>
    <col min="10107" max="10107" width="12" style="286" customWidth="1"/>
    <col min="10108" max="10108" width="9.85546875" style="286" customWidth="1"/>
    <col min="10109" max="10109" width="11" style="286" customWidth="1"/>
    <col min="10110" max="10110" width="12.28515625" style="286" customWidth="1"/>
    <col min="10111" max="10111" width="12" style="286" customWidth="1"/>
    <col min="10112" max="10112" width="9.85546875" style="286" customWidth="1"/>
    <col min="10113" max="10113" width="11" style="286" customWidth="1"/>
    <col min="10114" max="10114" width="12.28515625" style="286" customWidth="1"/>
    <col min="10115" max="10115" width="12" style="286" customWidth="1"/>
    <col min="10116" max="10116" width="9.85546875" style="286" customWidth="1"/>
    <col min="10117" max="10117" width="11" style="286" customWidth="1"/>
    <col min="10118" max="10118" width="12.28515625" style="286" customWidth="1"/>
    <col min="10119" max="10119" width="12" style="286" customWidth="1"/>
    <col min="10120" max="10120" width="9.85546875" style="286" customWidth="1"/>
    <col min="10121" max="10121" width="11" style="286" customWidth="1"/>
    <col min="10122" max="10122" width="12.28515625" style="286" customWidth="1"/>
    <col min="10123" max="10123" width="12" style="286" customWidth="1"/>
    <col min="10124" max="10124" width="9.85546875" style="286" customWidth="1"/>
    <col min="10125" max="10125" width="11" style="286" customWidth="1"/>
    <col min="10126" max="10126" width="12.28515625" style="286" customWidth="1"/>
    <col min="10127" max="10127" width="12" style="286" customWidth="1"/>
    <col min="10128" max="10128" width="9.85546875" style="286" customWidth="1"/>
    <col min="10129" max="10129" width="11" style="286" customWidth="1"/>
    <col min="10130" max="10130" width="12.28515625" style="286" customWidth="1"/>
    <col min="10131" max="10131" width="12" style="286" customWidth="1"/>
    <col min="10132" max="10132" width="9.85546875" style="286" customWidth="1"/>
    <col min="10133" max="10133" width="11" style="286" customWidth="1"/>
    <col min="10134" max="10134" width="12.28515625" style="286" customWidth="1"/>
    <col min="10135" max="10135" width="12" style="286" customWidth="1"/>
    <col min="10136" max="10136" width="9.85546875" style="286" customWidth="1"/>
    <col min="10137" max="10137" width="11.7109375" style="286" customWidth="1"/>
    <col min="10138" max="10138" width="10.85546875" style="286" customWidth="1"/>
    <col min="10139" max="10139" width="11.7109375" style="286" customWidth="1"/>
    <col min="10140" max="10140" width="9" style="286" customWidth="1"/>
    <col min="10141" max="10141" width="11" style="286" customWidth="1"/>
    <col min="10142" max="10142" width="12.28515625" style="286" customWidth="1"/>
    <col min="10143" max="10143" width="12" style="286" customWidth="1"/>
    <col min="10144" max="10144" width="9.85546875" style="286" customWidth="1"/>
    <col min="10145" max="10145" width="11" style="286" customWidth="1"/>
    <col min="10146" max="10146" width="12.28515625" style="286" customWidth="1"/>
    <col min="10147" max="10147" width="12" style="286" customWidth="1"/>
    <col min="10148" max="10148" width="9.85546875" style="286" customWidth="1"/>
    <col min="10149" max="10149" width="11" style="286" customWidth="1"/>
    <col min="10150" max="10150" width="12.28515625" style="286" customWidth="1"/>
    <col min="10151" max="10151" width="12" style="286" customWidth="1"/>
    <col min="10152" max="10152" width="9.85546875" style="286" customWidth="1"/>
    <col min="10153" max="10156" width="0" style="286" hidden="1" customWidth="1"/>
    <col min="10157" max="10157" width="11" style="286" customWidth="1"/>
    <col min="10158" max="10158" width="12.28515625" style="286" customWidth="1"/>
    <col min="10159" max="10159" width="12" style="286" customWidth="1"/>
    <col min="10160" max="10160" width="9.85546875" style="286" customWidth="1"/>
    <col min="10161" max="10161" width="11" style="286" customWidth="1"/>
    <col min="10162" max="10162" width="12.28515625" style="286" customWidth="1"/>
    <col min="10163" max="10163" width="12" style="286" customWidth="1"/>
    <col min="10164" max="10164" width="9.85546875" style="286" customWidth="1"/>
    <col min="10165" max="10165" width="11" style="286" customWidth="1"/>
    <col min="10166" max="10166" width="12.28515625" style="286" customWidth="1"/>
    <col min="10167" max="10167" width="12" style="286" customWidth="1"/>
    <col min="10168" max="10168" width="9.85546875" style="286" customWidth="1"/>
    <col min="10169" max="10169" width="11" style="286" customWidth="1"/>
    <col min="10170" max="10170" width="12.28515625" style="286" customWidth="1"/>
    <col min="10171" max="10171" width="12" style="286" customWidth="1"/>
    <col min="10172" max="10172" width="9.85546875" style="286" customWidth="1"/>
    <col min="10173" max="10173" width="11" style="286" customWidth="1"/>
    <col min="10174" max="10174" width="12.28515625" style="286" customWidth="1"/>
    <col min="10175" max="10175" width="12" style="286" customWidth="1"/>
    <col min="10176" max="10176" width="9.85546875" style="286" customWidth="1"/>
    <col min="10177" max="10177" width="11" style="286" customWidth="1"/>
    <col min="10178" max="10178" width="12.28515625" style="286" customWidth="1"/>
    <col min="10179" max="10179" width="12" style="286" customWidth="1"/>
    <col min="10180" max="10180" width="9.85546875" style="286" customWidth="1"/>
    <col min="10181" max="10181" width="11" style="286" customWidth="1"/>
    <col min="10182" max="10182" width="12.28515625" style="286" customWidth="1"/>
    <col min="10183" max="10183" width="12" style="286" customWidth="1"/>
    <col min="10184" max="10184" width="9.85546875" style="286" customWidth="1"/>
    <col min="10185" max="10185" width="11" style="286" customWidth="1"/>
    <col min="10186" max="10186" width="12.28515625" style="286" customWidth="1"/>
    <col min="10187" max="10187" width="12" style="286" customWidth="1"/>
    <col min="10188" max="10188" width="9.85546875" style="286" customWidth="1"/>
    <col min="10189" max="10189" width="11" style="286" customWidth="1"/>
    <col min="10190" max="10190" width="12.28515625" style="286" customWidth="1"/>
    <col min="10191" max="10191" width="12" style="286" customWidth="1"/>
    <col min="10192" max="10192" width="9.85546875" style="286" customWidth="1"/>
    <col min="10193" max="10207" width="0" style="286" hidden="1" customWidth="1"/>
    <col min="10208" max="10208" width="9.85546875" style="286" customWidth="1"/>
    <col min="10209" max="10209" width="10.42578125" style="286" customWidth="1"/>
    <col min="10210" max="10210" width="9" style="286" customWidth="1"/>
    <col min="10211" max="10211" width="11.28515625" style="286" customWidth="1"/>
    <col min="10212" max="10212" width="10.140625" style="286" customWidth="1"/>
    <col min="10213" max="10213" width="10.7109375" style="286" customWidth="1"/>
    <col min="10214" max="10214" width="9.28515625" style="286"/>
    <col min="10215" max="10216" width="9.140625" style="286" customWidth="1"/>
    <col min="10217" max="10240" width="9.28515625" style="286"/>
    <col min="10241" max="10241" width="4.28515625" style="286" customWidth="1"/>
    <col min="10242" max="10242" width="5.42578125" style="286" customWidth="1"/>
    <col min="10243" max="10243" width="41.5703125" style="286" customWidth="1"/>
    <col min="10244" max="10244" width="7.42578125" style="286" customWidth="1"/>
    <col min="10245" max="10245" width="13.140625" style="286" customWidth="1"/>
    <col min="10246" max="10246" width="11.7109375" style="286" customWidth="1"/>
    <col min="10247" max="10247" width="14.7109375" style="286" customWidth="1"/>
    <col min="10248" max="10248" width="11.7109375" style="286" customWidth="1"/>
    <col min="10249" max="10249" width="12" style="286" customWidth="1"/>
    <col min="10250" max="10250" width="9.7109375" style="286" customWidth="1"/>
    <col min="10251" max="10252" width="9.42578125" style="286" customWidth="1"/>
    <col min="10253" max="10253" width="10.7109375" style="286" customWidth="1"/>
    <col min="10254" max="10254" width="13.42578125" style="286" customWidth="1"/>
    <col min="10255" max="10255" width="12" style="286" customWidth="1"/>
    <col min="10256" max="10256" width="11" style="286" customWidth="1"/>
    <col min="10257" max="10257" width="10.5703125" style="286" customWidth="1"/>
    <col min="10258" max="10258" width="10.42578125" style="286" customWidth="1"/>
    <col min="10259" max="10259" width="10.7109375" style="286" customWidth="1"/>
    <col min="10260" max="10261" width="11.140625" style="286" customWidth="1"/>
    <col min="10262" max="10262" width="10.5703125" style="286" customWidth="1"/>
    <col min="10263" max="10263" width="10.85546875" style="286" customWidth="1"/>
    <col min="10264" max="10264" width="9.85546875" style="286" customWidth="1"/>
    <col min="10265" max="10265" width="11" style="286" customWidth="1"/>
    <col min="10266" max="10266" width="11.42578125" style="286" customWidth="1"/>
    <col min="10267" max="10267" width="12" style="286" customWidth="1"/>
    <col min="10268" max="10268" width="9.85546875" style="286" customWidth="1"/>
    <col min="10269" max="10269" width="10.5703125" style="286" customWidth="1"/>
    <col min="10270" max="10270" width="11.140625" style="286" customWidth="1"/>
    <col min="10271" max="10271" width="11.42578125" style="286" customWidth="1"/>
    <col min="10272" max="10276" width="9.85546875" style="286" customWidth="1"/>
    <col min="10277" max="10279" width="11.7109375" style="286" customWidth="1"/>
    <col min="10280" max="10280" width="9.85546875" style="286" customWidth="1"/>
    <col min="10281" max="10281" width="11" style="286" customWidth="1"/>
    <col min="10282" max="10282" width="11.42578125" style="286" customWidth="1"/>
    <col min="10283" max="10283" width="11.140625" style="286" customWidth="1"/>
    <col min="10284" max="10284" width="10.42578125" style="286" customWidth="1"/>
    <col min="10285" max="10285" width="11.5703125" style="286" customWidth="1"/>
    <col min="10286" max="10287" width="11.140625" style="286" customWidth="1"/>
    <col min="10288" max="10300" width="9.85546875" style="286" customWidth="1"/>
    <col min="10301" max="10301" width="10.5703125" style="286" customWidth="1"/>
    <col min="10302" max="10302" width="12.42578125" style="286" customWidth="1"/>
    <col min="10303" max="10303" width="10.140625" style="286" customWidth="1"/>
    <col min="10304" max="10304" width="9.140625" style="286" customWidth="1"/>
    <col min="10305" max="10305" width="9" style="286" customWidth="1"/>
    <col min="10306" max="10307" width="9.7109375" style="286" customWidth="1"/>
    <col min="10308" max="10308" width="8.42578125" style="286" customWidth="1"/>
    <col min="10309" max="10309" width="11.7109375" style="286" customWidth="1"/>
    <col min="10310" max="10310" width="10.85546875" style="286" customWidth="1"/>
    <col min="10311" max="10311" width="11.7109375" style="286" customWidth="1"/>
    <col min="10312" max="10312" width="9" style="286" customWidth="1"/>
    <col min="10313" max="10313" width="11" style="286" customWidth="1"/>
    <col min="10314" max="10314" width="10.5703125" style="286" customWidth="1"/>
    <col min="10315" max="10315" width="11.7109375" style="286" customWidth="1"/>
    <col min="10316" max="10317" width="11" style="286" customWidth="1"/>
    <col min="10318" max="10320" width="11.140625" style="286" customWidth="1"/>
    <col min="10321" max="10321" width="8.7109375" style="286" customWidth="1"/>
    <col min="10322" max="10322" width="11.140625" style="286" customWidth="1"/>
    <col min="10323" max="10323" width="9.28515625" style="286"/>
    <col min="10324" max="10324" width="11.140625" style="286" customWidth="1"/>
    <col min="10325" max="10325" width="10.5703125" style="286" customWidth="1"/>
    <col min="10326" max="10326" width="12.28515625" style="286" customWidth="1"/>
    <col min="10327" max="10327" width="12" style="286" customWidth="1"/>
    <col min="10328" max="10328" width="9.85546875" style="286" customWidth="1"/>
    <col min="10329" max="10329" width="11" style="286" customWidth="1"/>
    <col min="10330" max="10330" width="12.28515625" style="286" customWidth="1"/>
    <col min="10331" max="10331" width="12" style="286" customWidth="1"/>
    <col min="10332" max="10332" width="9.85546875" style="286" customWidth="1"/>
    <col min="10333" max="10333" width="11" style="286" customWidth="1"/>
    <col min="10334" max="10334" width="12.28515625" style="286" customWidth="1"/>
    <col min="10335" max="10335" width="12" style="286" customWidth="1"/>
    <col min="10336" max="10336" width="9.85546875" style="286" customWidth="1"/>
    <col min="10337" max="10337" width="11" style="286" customWidth="1"/>
    <col min="10338" max="10338" width="12.28515625" style="286" customWidth="1"/>
    <col min="10339" max="10339" width="12" style="286" customWidth="1"/>
    <col min="10340" max="10340" width="9.85546875" style="286" customWidth="1"/>
    <col min="10341" max="10341" width="11" style="286" customWidth="1"/>
    <col min="10342" max="10342" width="12.28515625" style="286" customWidth="1"/>
    <col min="10343" max="10343" width="12" style="286" customWidth="1"/>
    <col min="10344" max="10344" width="9.85546875" style="286" customWidth="1"/>
    <col min="10345" max="10345" width="11" style="286" customWidth="1"/>
    <col min="10346" max="10346" width="12.28515625" style="286" customWidth="1"/>
    <col min="10347" max="10347" width="12" style="286" customWidth="1"/>
    <col min="10348" max="10348" width="9.85546875" style="286" customWidth="1"/>
    <col min="10349" max="10349" width="11" style="286" customWidth="1"/>
    <col min="10350" max="10350" width="12.28515625" style="286" customWidth="1"/>
    <col min="10351" max="10351" width="12" style="286" customWidth="1"/>
    <col min="10352" max="10352" width="9.85546875" style="286" customWidth="1"/>
    <col min="10353" max="10353" width="11" style="286" customWidth="1"/>
    <col min="10354" max="10354" width="12.28515625" style="286" customWidth="1"/>
    <col min="10355" max="10355" width="12" style="286" customWidth="1"/>
    <col min="10356" max="10356" width="9.85546875" style="286" customWidth="1"/>
    <col min="10357" max="10357" width="11" style="286" customWidth="1"/>
    <col min="10358" max="10358" width="12.28515625" style="286" customWidth="1"/>
    <col min="10359" max="10359" width="12" style="286" customWidth="1"/>
    <col min="10360" max="10360" width="9.85546875" style="286" customWidth="1"/>
    <col min="10361" max="10361" width="11" style="286" customWidth="1"/>
    <col min="10362" max="10362" width="12.28515625" style="286" customWidth="1"/>
    <col min="10363" max="10363" width="12" style="286" customWidth="1"/>
    <col min="10364" max="10364" width="9.85546875" style="286" customWidth="1"/>
    <col min="10365" max="10365" width="11" style="286" customWidth="1"/>
    <col min="10366" max="10366" width="12.28515625" style="286" customWidth="1"/>
    <col min="10367" max="10367" width="12" style="286" customWidth="1"/>
    <col min="10368" max="10368" width="9.85546875" style="286" customWidth="1"/>
    <col min="10369" max="10369" width="11" style="286" customWidth="1"/>
    <col min="10370" max="10370" width="12.28515625" style="286" customWidth="1"/>
    <col min="10371" max="10371" width="12" style="286" customWidth="1"/>
    <col min="10372" max="10372" width="9.85546875" style="286" customWidth="1"/>
    <col min="10373" max="10373" width="11" style="286" customWidth="1"/>
    <col min="10374" max="10374" width="12.28515625" style="286" customWidth="1"/>
    <col min="10375" max="10375" width="12" style="286" customWidth="1"/>
    <col min="10376" max="10376" width="9.85546875" style="286" customWidth="1"/>
    <col min="10377" max="10377" width="11" style="286" customWidth="1"/>
    <col min="10378" max="10378" width="12.28515625" style="286" customWidth="1"/>
    <col min="10379" max="10379" width="12" style="286" customWidth="1"/>
    <col min="10380" max="10380" width="9.85546875" style="286" customWidth="1"/>
    <col min="10381" max="10381" width="11" style="286" customWidth="1"/>
    <col min="10382" max="10382" width="12.28515625" style="286" customWidth="1"/>
    <col min="10383" max="10383" width="12" style="286" customWidth="1"/>
    <col min="10384" max="10384" width="9.85546875" style="286" customWidth="1"/>
    <col min="10385" max="10385" width="11" style="286" customWidth="1"/>
    <col min="10386" max="10386" width="12.28515625" style="286" customWidth="1"/>
    <col min="10387" max="10387" width="12" style="286" customWidth="1"/>
    <col min="10388" max="10388" width="9.85546875" style="286" customWidth="1"/>
    <col min="10389" max="10389" width="11" style="286" customWidth="1"/>
    <col min="10390" max="10390" width="12.28515625" style="286" customWidth="1"/>
    <col min="10391" max="10391" width="12" style="286" customWidth="1"/>
    <col min="10392" max="10392" width="9.85546875" style="286" customWidth="1"/>
    <col min="10393" max="10393" width="11.7109375" style="286" customWidth="1"/>
    <col min="10394" max="10394" width="10.85546875" style="286" customWidth="1"/>
    <col min="10395" max="10395" width="11.7109375" style="286" customWidth="1"/>
    <col min="10396" max="10396" width="9" style="286" customWidth="1"/>
    <col min="10397" max="10397" width="11" style="286" customWidth="1"/>
    <col min="10398" max="10398" width="12.28515625" style="286" customWidth="1"/>
    <col min="10399" max="10399" width="12" style="286" customWidth="1"/>
    <col min="10400" max="10400" width="9.85546875" style="286" customWidth="1"/>
    <col min="10401" max="10401" width="11" style="286" customWidth="1"/>
    <col min="10402" max="10402" width="12.28515625" style="286" customWidth="1"/>
    <col min="10403" max="10403" width="12" style="286" customWidth="1"/>
    <col min="10404" max="10404" width="9.85546875" style="286" customWidth="1"/>
    <col min="10405" max="10405" width="11" style="286" customWidth="1"/>
    <col min="10406" max="10406" width="12.28515625" style="286" customWidth="1"/>
    <col min="10407" max="10407" width="12" style="286" customWidth="1"/>
    <col min="10408" max="10408" width="9.85546875" style="286" customWidth="1"/>
    <col min="10409" max="10412" width="0" style="286" hidden="1" customWidth="1"/>
    <col min="10413" max="10413" width="11" style="286" customWidth="1"/>
    <col min="10414" max="10414" width="12.28515625" style="286" customWidth="1"/>
    <col min="10415" max="10415" width="12" style="286" customWidth="1"/>
    <col min="10416" max="10416" width="9.85546875" style="286" customWidth="1"/>
    <col min="10417" max="10417" width="11" style="286" customWidth="1"/>
    <col min="10418" max="10418" width="12.28515625" style="286" customWidth="1"/>
    <col min="10419" max="10419" width="12" style="286" customWidth="1"/>
    <col min="10420" max="10420" width="9.85546875" style="286" customWidth="1"/>
    <col min="10421" max="10421" width="11" style="286" customWidth="1"/>
    <col min="10422" max="10422" width="12.28515625" style="286" customWidth="1"/>
    <col min="10423" max="10423" width="12" style="286" customWidth="1"/>
    <col min="10424" max="10424" width="9.85546875" style="286" customWidth="1"/>
    <col min="10425" max="10425" width="11" style="286" customWidth="1"/>
    <col min="10426" max="10426" width="12.28515625" style="286" customWidth="1"/>
    <col min="10427" max="10427" width="12" style="286" customWidth="1"/>
    <col min="10428" max="10428" width="9.85546875" style="286" customWidth="1"/>
    <col min="10429" max="10429" width="11" style="286" customWidth="1"/>
    <col min="10430" max="10430" width="12.28515625" style="286" customWidth="1"/>
    <col min="10431" max="10431" width="12" style="286" customWidth="1"/>
    <col min="10432" max="10432" width="9.85546875" style="286" customWidth="1"/>
    <col min="10433" max="10433" width="11" style="286" customWidth="1"/>
    <col min="10434" max="10434" width="12.28515625" style="286" customWidth="1"/>
    <col min="10435" max="10435" width="12" style="286" customWidth="1"/>
    <col min="10436" max="10436" width="9.85546875" style="286" customWidth="1"/>
    <col min="10437" max="10437" width="11" style="286" customWidth="1"/>
    <col min="10438" max="10438" width="12.28515625" style="286" customWidth="1"/>
    <col min="10439" max="10439" width="12" style="286" customWidth="1"/>
    <col min="10440" max="10440" width="9.85546875" style="286" customWidth="1"/>
    <col min="10441" max="10441" width="11" style="286" customWidth="1"/>
    <col min="10442" max="10442" width="12.28515625" style="286" customWidth="1"/>
    <col min="10443" max="10443" width="12" style="286" customWidth="1"/>
    <col min="10444" max="10444" width="9.85546875" style="286" customWidth="1"/>
    <col min="10445" max="10445" width="11" style="286" customWidth="1"/>
    <col min="10446" max="10446" width="12.28515625" style="286" customWidth="1"/>
    <col min="10447" max="10447" width="12" style="286" customWidth="1"/>
    <col min="10448" max="10448" width="9.85546875" style="286" customWidth="1"/>
    <col min="10449" max="10463" width="0" style="286" hidden="1" customWidth="1"/>
    <col min="10464" max="10464" width="9.85546875" style="286" customWidth="1"/>
    <col min="10465" max="10465" width="10.42578125" style="286" customWidth="1"/>
    <col min="10466" max="10466" width="9" style="286" customWidth="1"/>
    <col min="10467" max="10467" width="11.28515625" style="286" customWidth="1"/>
    <col min="10468" max="10468" width="10.140625" style="286" customWidth="1"/>
    <col min="10469" max="10469" width="10.7109375" style="286" customWidth="1"/>
    <col min="10470" max="10470" width="9.28515625" style="286"/>
    <col min="10471" max="10472" width="9.140625" style="286" customWidth="1"/>
    <col min="10473" max="10496" width="9.28515625" style="286"/>
    <col min="10497" max="10497" width="4.28515625" style="286" customWidth="1"/>
    <col min="10498" max="10498" width="5.42578125" style="286" customWidth="1"/>
    <col min="10499" max="10499" width="41.5703125" style="286" customWidth="1"/>
    <col min="10500" max="10500" width="7.42578125" style="286" customWidth="1"/>
    <col min="10501" max="10501" width="13.140625" style="286" customWidth="1"/>
    <col min="10502" max="10502" width="11.7109375" style="286" customWidth="1"/>
    <col min="10503" max="10503" width="14.7109375" style="286" customWidth="1"/>
    <col min="10504" max="10504" width="11.7109375" style="286" customWidth="1"/>
    <col min="10505" max="10505" width="12" style="286" customWidth="1"/>
    <col min="10506" max="10506" width="9.7109375" style="286" customWidth="1"/>
    <col min="10507" max="10508" width="9.42578125" style="286" customWidth="1"/>
    <col min="10509" max="10509" width="10.7109375" style="286" customWidth="1"/>
    <col min="10510" max="10510" width="13.42578125" style="286" customWidth="1"/>
    <col min="10511" max="10511" width="12" style="286" customWidth="1"/>
    <col min="10512" max="10512" width="11" style="286" customWidth="1"/>
    <col min="10513" max="10513" width="10.5703125" style="286" customWidth="1"/>
    <col min="10514" max="10514" width="10.42578125" style="286" customWidth="1"/>
    <col min="10515" max="10515" width="10.7109375" style="286" customWidth="1"/>
    <col min="10516" max="10517" width="11.140625" style="286" customWidth="1"/>
    <col min="10518" max="10518" width="10.5703125" style="286" customWidth="1"/>
    <col min="10519" max="10519" width="10.85546875" style="286" customWidth="1"/>
    <col min="10520" max="10520" width="9.85546875" style="286" customWidth="1"/>
    <col min="10521" max="10521" width="11" style="286" customWidth="1"/>
    <col min="10522" max="10522" width="11.42578125" style="286" customWidth="1"/>
    <col min="10523" max="10523" width="12" style="286" customWidth="1"/>
    <col min="10524" max="10524" width="9.85546875" style="286" customWidth="1"/>
    <col min="10525" max="10525" width="10.5703125" style="286" customWidth="1"/>
    <col min="10526" max="10526" width="11.140625" style="286" customWidth="1"/>
    <col min="10527" max="10527" width="11.42578125" style="286" customWidth="1"/>
    <col min="10528" max="10532" width="9.85546875" style="286" customWidth="1"/>
    <col min="10533" max="10535" width="11.7109375" style="286" customWidth="1"/>
    <col min="10536" max="10536" width="9.85546875" style="286" customWidth="1"/>
    <col min="10537" max="10537" width="11" style="286" customWidth="1"/>
    <col min="10538" max="10538" width="11.42578125" style="286" customWidth="1"/>
    <col min="10539" max="10539" width="11.140625" style="286" customWidth="1"/>
    <col min="10540" max="10540" width="10.42578125" style="286" customWidth="1"/>
    <col min="10541" max="10541" width="11.5703125" style="286" customWidth="1"/>
    <col min="10542" max="10543" width="11.140625" style="286" customWidth="1"/>
    <col min="10544" max="10556" width="9.85546875" style="286" customWidth="1"/>
    <col min="10557" max="10557" width="10.5703125" style="286" customWidth="1"/>
    <col min="10558" max="10558" width="12.42578125" style="286" customWidth="1"/>
    <col min="10559" max="10559" width="10.140625" style="286" customWidth="1"/>
    <col min="10560" max="10560" width="9.140625" style="286" customWidth="1"/>
    <col min="10561" max="10561" width="9" style="286" customWidth="1"/>
    <col min="10562" max="10563" width="9.7109375" style="286" customWidth="1"/>
    <col min="10564" max="10564" width="8.42578125" style="286" customWidth="1"/>
    <col min="10565" max="10565" width="11.7109375" style="286" customWidth="1"/>
    <col min="10566" max="10566" width="10.85546875" style="286" customWidth="1"/>
    <col min="10567" max="10567" width="11.7109375" style="286" customWidth="1"/>
    <col min="10568" max="10568" width="9" style="286" customWidth="1"/>
    <col min="10569" max="10569" width="11" style="286" customWidth="1"/>
    <col min="10570" max="10570" width="10.5703125" style="286" customWidth="1"/>
    <col min="10571" max="10571" width="11.7109375" style="286" customWidth="1"/>
    <col min="10572" max="10573" width="11" style="286" customWidth="1"/>
    <col min="10574" max="10576" width="11.140625" style="286" customWidth="1"/>
    <col min="10577" max="10577" width="8.7109375" style="286" customWidth="1"/>
    <col min="10578" max="10578" width="11.140625" style="286" customWidth="1"/>
    <col min="10579" max="10579" width="9.28515625" style="286"/>
    <col min="10580" max="10580" width="11.140625" style="286" customWidth="1"/>
    <col min="10581" max="10581" width="10.5703125" style="286" customWidth="1"/>
    <col min="10582" max="10582" width="12.28515625" style="286" customWidth="1"/>
    <col min="10583" max="10583" width="12" style="286" customWidth="1"/>
    <col min="10584" max="10584" width="9.85546875" style="286" customWidth="1"/>
    <col min="10585" max="10585" width="11" style="286" customWidth="1"/>
    <col min="10586" max="10586" width="12.28515625" style="286" customWidth="1"/>
    <col min="10587" max="10587" width="12" style="286" customWidth="1"/>
    <col min="10588" max="10588" width="9.85546875" style="286" customWidth="1"/>
    <col min="10589" max="10589" width="11" style="286" customWidth="1"/>
    <col min="10590" max="10590" width="12.28515625" style="286" customWidth="1"/>
    <col min="10591" max="10591" width="12" style="286" customWidth="1"/>
    <col min="10592" max="10592" width="9.85546875" style="286" customWidth="1"/>
    <col min="10593" max="10593" width="11" style="286" customWidth="1"/>
    <col min="10594" max="10594" width="12.28515625" style="286" customWidth="1"/>
    <col min="10595" max="10595" width="12" style="286" customWidth="1"/>
    <col min="10596" max="10596" width="9.85546875" style="286" customWidth="1"/>
    <col min="10597" max="10597" width="11" style="286" customWidth="1"/>
    <col min="10598" max="10598" width="12.28515625" style="286" customWidth="1"/>
    <col min="10599" max="10599" width="12" style="286" customWidth="1"/>
    <col min="10600" max="10600" width="9.85546875" style="286" customWidth="1"/>
    <col min="10601" max="10601" width="11" style="286" customWidth="1"/>
    <col min="10602" max="10602" width="12.28515625" style="286" customWidth="1"/>
    <col min="10603" max="10603" width="12" style="286" customWidth="1"/>
    <col min="10604" max="10604" width="9.85546875" style="286" customWidth="1"/>
    <col min="10605" max="10605" width="11" style="286" customWidth="1"/>
    <col min="10606" max="10606" width="12.28515625" style="286" customWidth="1"/>
    <col min="10607" max="10607" width="12" style="286" customWidth="1"/>
    <col min="10608" max="10608" width="9.85546875" style="286" customWidth="1"/>
    <col min="10609" max="10609" width="11" style="286" customWidth="1"/>
    <col min="10610" max="10610" width="12.28515625" style="286" customWidth="1"/>
    <col min="10611" max="10611" width="12" style="286" customWidth="1"/>
    <col min="10612" max="10612" width="9.85546875" style="286" customWidth="1"/>
    <col min="10613" max="10613" width="11" style="286" customWidth="1"/>
    <col min="10614" max="10614" width="12.28515625" style="286" customWidth="1"/>
    <col min="10615" max="10615" width="12" style="286" customWidth="1"/>
    <col min="10616" max="10616" width="9.85546875" style="286" customWidth="1"/>
    <col min="10617" max="10617" width="11" style="286" customWidth="1"/>
    <col min="10618" max="10618" width="12.28515625" style="286" customWidth="1"/>
    <col min="10619" max="10619" width="12" style="286" customWidth="1"/>
    <col min="10620" max="10620" width="9.85546875" style="286" customWidth="1"/>
    <col min="10621" max="10621" width="11" style="286" customWidth="1"/>
    <col min="10622" max="10622" width="12.28515625" style="286" customWidth="1"/>
    <col min="10623" max="10623" width="12" style="286" customWidth="1"/>
    <col min="10624" max="10624" width="9.85546875" style="286" customWidth="1"/>
    <col min="10625" max="10625" width="11" style="286" customWidth="1"/>
    <col min="10626" max="10626" width="12.28515625" style="286" customWidth="1"/>
    <col min="10627" max="10627" width="12" style="286" customWidth="1"/>
    <col min="10628" max="10628" width="9.85546875" style="286" customWidth="1"/>
    <col min="10629" max="10629" width="11" style="286" customWidth="1"/>
    <col min="10630" max="10630" width="12.28515625" style="286" customWidth="1"/>
    <col min="10631" max="10631" width="12" style="286" customWidth="1"/>
    <col min="10632" max="10632" width="9.85546875" style="286" customWidth="1"/>
    <col min="10633" max="10633" width="11" style="286" customWidth="1"/>
    <col min="10634" max="10634" width="12.28515625" style="286" customWidth="1"/>
    <col min="10635" max="10635" width="12" style="286" customWidth="1"/>
    <col min="10636" max="10636" width="9.85546875" style="286" customWidth="1"/>
    <col min="10637" max="10637" width="11" style="286" customWidth="1"/>
    <col min="10638" max="10638" width="12.28515625" style="286" customWidth="1"/>
    <col min="10639" max="10639" width="12" style="286" customWidth="1"/>
    <col min="10640" max="10640" width="9.85546875" style="286" customWidth="1"/>
    <col min="10641" max="10641" width="11" style="286" customWidth="1"/>
    <col min="10642" max="10642" width="12.28515625" style="286" customWidth="1"/>
    <col min="10643" max="10643" width="12" style="286" customWidth="1"/>
    <col min="10644" max="10644" width="9.85546875" style="286" customWidth="1"/>
    <col min="10645" max="10645" width="11" style="286" customWidth="1"/>
    <col min="10646" max="10646" width="12.28515625" style="286" customWidth="1"/>
    <col min="10647" max="10647" width="12" style="286" customWidth="1"/>
    <col min="10648" max="10648" width="9.85546875" style="286" customWidth="1"/>
    <col min="10649" max="10649" width="11.7109375" style="286" customWidth="1"/>
    <col min="10650" max="10650" width="10.85546875" style="286" customWidth="1"/>
    <col min="10651" max="10651" width="11.7109375" style="286" customWidth="1"/>
    <col min="10652" max="10652" width="9" style="286" customWidth="1"/>
    <col min="10653" max="10653" width="11" style="286" customWidth="1"/>
    <col min="10654" max="10654" width="12.28515625" style="286" customWidth="1"/>
    <col min="10655" max="10655" width="12" style="286" customWidth="1"/>
    <col min="10656" max="10656" width="9.85546875" style="286" customWidth="1"/>
    <col min="10657" max="10657" width="11" style="286" customWidth="1"/>
    <col min="10658" max="10658" width="12.28515625" style="286" customWidth="1"/>
    <col min="10659" max="10659" width="12" style="286" customWidth="1"/>
    <col min="10660" max="10660" width="9.85546875" style="286" customWidth="1"/>
    <col min="10661" max="10661" width="11" style="286" customWidth="1"/>
    <col min="10662" max="10662" width="12.28515625" style="286" customWidth="1"/>
    <col min="10663" max="10663" width="12" style="286" customWidth="1"/>
    <col min="10664" max="10664" width="9.85546875" style="286" customWidth="1"/>
    <col min="10665" max="10668" width="0" style="286" hidden="1" customWidth="1"/>
    <col min="10669" max="10669" width="11" style="286" customWidth="1"/>
    <col min="10670" max="10670" width="12.28515625" style="286" customWidth="1"/>
    <col min="10671" max="10671" width="12" style="286" customWidth="1"/>
    <col min="10672" max="10672" width="9.85546875" style="286" customWidth="1"/>
    <col min="10673" max="10673" width="11" style="286" customWidth="1"/>
    <col min="10674" max="10674" width="12.28515625" style="286" customWidth="1"/>
    <col min="10675" max="10675" width="12" style="286" customWidth="1"/>
    <col min="10676" max="10676" width="9.85546875" style="286" customWidth="1"/>
    <col min="10677" max="10677" width="11" style="286" customWidth="1"/>
    <col min="10678" max="10678" width="12.28515625" style="286" customWidth="1"/>
    <col min="10679" max="10679" width="12" style="286" customWidth="1"/>
    <col min="10680" max="10680" width="9.85546875" style="286" customWidth="1"/>
    <col min="10681" max="10681" width="11" style="286" customWidth="1"/>
    <col min="10682" max="10682" width="12.28515625" style="286" customWidth="1"/>
    <col min="10683" max="10683" width="12" style="286" customWidth="1"/>
    <col min="10684" max="10684" width="9.85546875" style="286" customWidth="1"/>
    <col min="10685" max="10685" width="11" style="286" customWidth="1"/>
    <col min="10686" max="10686" width="12.28515625" style="286" customWidth="1"/>
    <col min="10687" max="10687" width="12" style="286" customWidth="1"/>
    <col min="10688" max="10688" width="9.85546875" style="286" customWidth="1"/>
    <col min="10689" max="10689" width="11" style="286" customWidth="1"/>
    <col min="10690" max="10690" width="12.28515625" style="286" customWidth="1"/>
    <col min="10691" max="10691" width="12" style="286" customWidth="1"/>
    <col min="10692" max="10692" width="9.85546875" style="286" customWidth="1"/>
    <col min="10693" max="10693" width="11" style="286" customWidth="1"/>
    <col min="10694" max="10694" width="12.28515625" style="286" customWidth="1"/>
    <col min="10695" max="10695" width="12" style="286" customWidth="1"/>
    <col min="10696" max="10696" width="9.85546875" style="286" customWidth="1"/>
    <col min="10697" max="10697" width="11" style="286" customWidth="1"/>
    <col min="10698" max="10698" width="12.28515625" style="286" customWidth="1"/>
    <col min="10699" max="10699" width="12" style="286" customWidth="1"/>
    <col min="10700" max="10700" width="9.85546875" style="286" customWidth="1"/>
    <col min="10701" max="10701" width="11" style="286" customWidth="1"/>
    <col min="10702" max="10702" width="12.28515625" style="286" customWidth="1"/>
    <col min="10703" max="10703" width="12" style="286" customWidth="1"/>
    <col min="10704" max="10704" width="9.85546875" style="286" customWidth="1"/>
    <col min="10705" max="10719" width="0" style="286" hidden="1" customWidth="1"/>
    <col min="10720" max="10720" width="9.85546875" style="286" customWidth="1"/>
    <col min="10721" max="10721" width="10.42578125" style="286" customWidth="1"/>
    <col min="10722" max="10722" width="9" style="286" customWidth="1"/>
    <col min="10723" max="10723" width="11.28515625" style="286" customWidth="1"/>
    <col min="10724" max="10724" width="10.140625" style="286" customWidth="1"/>
    <col min="10725" max="10725" width="10.7109375" style="286" customWidth="1"/>
    <col min="10726" max="10726" width="9.28515625" style="286"/>
    <col min="10727" max="10728" width="9.140625" style="286" customWidth="1"/>
    <col min="10729" max="10752" width="9.28515625" style="286"/>
    <col min="10753" max="10753" width="4.28515625" style="286" customWidth="1"/>
    <col min="10754" max="10754" width="5.42578125" style="286" customWidth="1"/>
    <col min="10755" max="10755" width="41.5703125" style="286" customWidth="1"/>
    <col min="10756" max="10756" width="7.42578125" style="286" customWidth="1"/>
    <col min="10757" max="10757" width="13.140625" style="286" customWidth="1"/>
    <col min="10758" max="10758" width="11.7109375" style="286" customWidth="1"/>
    <col min="10759" max="10759" width="14.7109375" style="286" customWidth="1"/>
    <col min="10760" max="10760" width="11.7109375" style="286" customWidth="1"/>
    <col min="10761" max="10761" width="12" style="286" customWidth="1"/>
    <col min="10762" max="10762" width="9.7109375" style="286" customWidth="1"/>
    <col min="10763" max="10764" width="9.42578125" style="286" customWidth="1"/>
    <col min="10765" max="10765" width="10.7109375" style="286" customWidth="1"/>
    <col min="10766" max="10766" width="13.42578125" style="286" customWidth="1"/>
    <col min="10767" max="10767" width="12" style="286" customWidth="1"/>
    <col min="10768" max="10768" width="11" style="286" customWidth="1"/>
    <col min="10769" max="10769" width="10.5703125" style="286" customWidth="1"/>
    <col min="10770" max="10770" width="10.42578125" style="286" customWidth="1"/>
    <col min="10771" max="10771" width="10.7109375" style="286" customWidth="1"/>
    <col min="10772" max="10773" width="11.140625" style="286" customWidth="1"/>
    <col min="10774" max="10774" width="10.5703125" style="286" customWidth="1"/>
    <col min="10775" max="10775" width="10.85546875" style="286" customWidth="1"/>
    <col min="10776" max="10776" width="9.85546875" style="286" customWidth="1"/>
    <col min="10777" max="10777" width="11" style="286" customWidth="1"/>
    <col min="10778" max="10778" width="11.42578125" style="286" customWidth="1"/>
    <col min="10779" max="10779" width="12" style="286" customWidth="1"/>
    <col min="10780" max="10780" width="9.85546875" style="286" customWidth="1"/>
    <col min="10781" max="10781" width="10.5703125" style="286" customWidth="1"/>
    <col min="10782" max="10782" width="11.140625" style="286" customWidth="1"/>
    <col min="10783" max="10783" width="11.42578125" style="286" customWidth="1"/>
    <col min="10784" max="10788" width="9.85546875" style="286" customWidth="1"/>
    <col min="10789" max="10791" width="11.7109375" style="286" customWidth="1"/>
    <col min="10792" max="10792" width="9.85546875" style="286" customWidth="1"/>
    <col min="10793" max="10793" width="11" style="286" customWidth="1"/>
    <col min="10794" max="10794" width="11.42578125" style="286" customWidth="1"/>
    <col min="10795" max="10795" width="11.140625" style="286" customWidth="1"/>
    <col min="10796" max="10796" width="10.42578125" style="286" customWidth="1"/>
    <col min="10797" max="10797" width="11.5703125" style="286" customWidth="1"/>
    <col min="10798" max="10799" width="11.140625" style="286" customWidth="1"/>
    <col min="10800" max="10812" width="9.85546875" style="286" customWidth="1"/>
    <col min="10813" max="10813" width="10.5703125" style="286" customWidth="1"/>
    <col min="10814" max="10814" width="12.42578125" style="286" customWidth="1"/>
    <col min="10815" max="10815" width="10.140625" style="286" customWidth="1"/>
    <col min="10816" max="10816" width="9.140625" style="286" customWidth="1"/>
    <col min="10817" max="10817" width="9" style="286" customWidth="1"/>
    <col min="10818" max="10819" width="9.7109375" style="286" customWidth="1"/>
    <col min="10820" max="10820" width="8.42578125" style="286" customWidth="1"/>
    <col min="10821" max="10821" width="11.7109375" style="286" customWidth="1"/>
    <col min="10822" max="10822" width="10.85546875" style="286" customWidth="1"/>
    <col min="10823" max="10823" width="11.7109375" style="286" customWidth="1"/>
    <col min="10824" max="10824" width="9" style="286" customWidth="1"/>
    <col min="10825" max="10825" width="11" style="286" customWidth="1"/>
    <col min="10826" max="10826" width="10.5703125" style="286" customWidth="1"/>
    <col min="10827" max="10827" width="11.7109375" style="286" customWidth="1"/>
    <col min="10828" max="10829" width="11" style="286" customWidth="1"/>
    <col min="10830" max="10832" width="11.140625" style="286" customWidth="1"/>
    <col min="10833" max="10833" width="8.7109375" style="286" customWidth="1"/>
    <col min="10834" max="10834" width="11.140625" style="286" customWidth="1"/>
    <col min="10835" max="10835" width="9.28515625" style="286"/>
    <col min="10836" max="10836" width="11.140625" style="286" customWidth="1"/>
    <col min="10837" max="10837" width="10.5703125" style="286" customWidth="1"/>
    <col min="10838" max="10838" width="12.28515625" style="286" customWidth="1"/>
    <col min="10839" max="10839" width="12" style="286" customWidth="1"/>
    <col min="10840" max="10840" width="9.85546875" style="286" customWidth="1"/>
    <col min="10841" max="10841" width="11" style="286" customWidth="1"/>
    <col min="10842" max="10842" width="12.28515625" style="286" customWidth="1"/>
    <col min="10843" max="10843" width="12" style="286" customWidth="1"/>
    <col min="10844" max="10844" width="9.85546875" style="286" customWidth="1"/>
    <col min="10845" max="10845" width="11" style="286" customWidth="1"/>
    <col min="10846" max="10846" width="12.28515625" style="286" customWidth="1"/>
    <col min="10847" max="10847" width="12" style="286" customWidth="1"/>
    <col min="10848" max="10848" width="9.85546875" style="286" customWidth="1"/>
    <col min="10849" max="10849" width="11" style="286" customWidth="1"/>
    <col min="10850" max="10850" width="12.28515625" style="286" customWidth="1"/>
    <col min="10851" max="10851" width="12" style="286" customWidth="1"/>
    <col min="10852" max="10852" width="9.85546875" style="286" customWidth="1"/>
    <col min="10853" max="10853" width="11" style="286" customWidth="1"/>
    <col min="10854" max="10854" width="12.28515625" style="286" customWidth="1"/>
    <col min="10855" max="10855" width="12" style="286" customWidth="1"/>
    <col min="10856" max="10856" width="9.85546875" style="286" customWidth="1"/>
    <col min="10857" max="10857" width="11" style="286" customWidth="1"/>
    <col min="10858" max="10858" width="12.28515625" style="286" customWidth="1"/>
    <col min="10859" max="10859" width="12" style="286" customWidth="1"/>
    <col min="10860" max="10860" width="9.85546875" style="286" customWidth="1"/>
    <col min="10861" max="10861" width="11" style="286" customWidth="1"/>
    <col min="10862" max="10862" width="12.28515625" style="286" customWidth="1"/>
    <col min="10863" max="10863" width="12" style="286" customWidth="1"/>
    <col min="10864" max="10864" width="9.85546875" style="286" customWidth="1"/>
    <col min="10865" max="10865" width="11" style="286" customWidth="1"/>
    <col min="10866" max="10866" width="12.28515625" style="286" customWidth="1"/>
    <col min="10867" max="10867" width="12" style="286" customWidth="1"/>
    <col min="10868" max="10868" width="9.85546875" style="286" customWidth="1"/>
    <col min="10869" max="10869" width="11" style="286" customWidth="1"/>
    <col min="10870" max="10870" width="12.28515625" style="286" customWidth="1"/>
    <col min="10871" max="10871" width="12" style="286" customWidth="1"/>
    <col min="10872" max="10872" width="9.85546875" style="286" customWidth="1"/>
    <col min="10873" max="10873" width="11" style="286" customWidth="1"/>
    <col min="10874" max="10874" width="12.28515625" style="286" customWidth="1"/>
    <col min="10875" max="10875" width="12" style="286" customWidth="1"/>
    <col min="10876" max="10876" width="9.85546875" style="286" customWidth="1"/>
    <col min="10877" max="10877" width="11" style="286" customWidth="1"/>
    <col min="10878" max="10878" width="12.28515625" style="286" customWidth="1"/>
    <col min="10879" max="10879" width="12" style="286" customWidth="1"/>
    <col min="10880" max="10880" width="9.85546875" style="286" customWidth="1"/>
    <col min="10881" max="10881" width="11" style="286" customWidth="1"/>
    <col min="10882" max="10882" width="12.28515625" style="286" customWidth="1"/>
    <col min="10883" max="10883" width="12" style="286" customWidth="1"/>
    <col min="10884" max="10884" width="9.85546875" style="286" customWidth="1"/>
    <col min="10885" max="10885" width="11" style="286" customWidth="1"/>
    <col min="10886" max="10886" width="12.28515625" style="286" customWidth="1"/>
    <col min="10887" max="10887" width="12" style="286" customWidth="1"/>
    <col min="10888" max="10888" width="9.85546875" style="286" customWidth="1"/>
    <col min="10889" max="10889" width="11" style="286" customWidth="1"/>
    <col min="10890" max="10890" width="12.28515625" style="286" customWidth="1"/>
    <col min="10891" max="10891" width="12" style="286" customWidth="1"/>
    <col min="10892" max="10892" width="9.85546875" style="286" customWidth="1"/>
    <col min="10893" max="10893" width="11" style="286" customWidth="1"/>
    <col min="10894" max="10894" width="12.28515625" style="286" customWidth="1"/>
    <col min="10895" max="10895" width="12" style="286" customWidth="1"/>
    <col min="10896" max="10896" width="9.85546875" style="286" customWidth="1"/>
    <col min="10897" max="10897" width="11" style="286" customWidth="1"/>
    <col min="10898" max="10898" width="12.28515625" style="286" customWidth="1"/>
    <col min="10899" max="10899" width="12" style="286" customWidth="1"/>
    <col min="10900" max="10900" width="9.85546875" style="286" customWidth="1"/>
    <col min="10901" max="10901" width="11" style="286" customWidth="1"/>
    <col min="10902" max="10902" width="12.28515625" style="286" customWidth="1"/>
    <col min="10903" max="10903" width="12" style="286" customWidth="1"/>
    <col min="10904" max="10904" width="9.85546875" style="286" customWidth="1"/>
    <col min="10905" max="10905" width="11.7109375" style="286" customWidth="1"/>
    <col min="10906" max="10906" width="10.85546875" style="286" customWidth="1"/>
    <col min="10907" max="10907" width="11.7109375" style="286" customWidth="1"/>
    <col min="10908" max="10908" width="9" style="286" customWidth="1"/>
    <col min="10909" max="10909" width="11" style="286" customWidth="1"/>
    <col min="10910" max="10910" width="12.28515625" style="286" customWidth="1"/>
    <col min="10911" max="10911" width="12" style="286" customWidth="1"/>
    <col min="10912" max="10912" width="9.85546875" style="286" customWidth="1"/>
    <col min="10913" max="10913" width="11" style="286" customWidth="1"/>
    <col min="10914" max="10914" width="12.28515625" style="286" customWidth="1"/>
    <col min="10915" max="10915" width="12" style="286" customWidth="1"/>
    <col min="10916" max="10916" width="9.85546875" style="286" customWidth="1"/>
    <col min="10917" max="10917" width="11" style="286" customWidth="1"/>
    <col min="10918" max="10918" width="12.28515625" style="286" customWidth="1"/>
    <col min="10919" max="10919" width="12" style="286" customWidth="1"/>
    <col min="10920" max="10920" width="9.85546875" style="286" customWidth="1"/>
    <col min="10921" max="10924" width="0" style="286" hidden="1" customWidth="1"/>
    <col min="10925" max="10925" width="11" style="286" customWidth="1"/>
    <col min="10926" max="10926" width="12.28515625" style="286" customWidth="1"/>
    <col min="10927" max="10927" width="12" style="286" customWidth="1"/>
    <col min="10928" max="10928" width="9.85546875" style="286" customWidth="1"/>
    <col min="10929" max="10929" width="11" style="286" customWidth="1"/>
    <col min="10930" max="10930" width="12.28515625" style="286" customWidth="1"/>
    <col min="10931" max="10931" width="12" style="286" customWidth="1"/>
    <col min="10932" max="10932" width="9.85546875" style="286" customWidth="1"/>
    <col min="10933" max="10933" width="11" style="286" customWidth="1"/>
    <col min="10934" max="10934" width="12.28515625" style="286" customWidth="1"/>
    <col min="10935" max="10935" width="12" style="286" customWidth="1"/>
    <col min="10936" max="10936" width="9.85546875" style="286" customWidth="1"/>
    <col min="10937" max="10937" width="11" style="286" customWidth="1"/>
    <col min="10938" max="10938" width="12.28515625" style="286" customWidth="1"/>
    <col min="10939" max="10939" width="12" style="286" customWidth="1"/>
    <col min="10940" max="10940" width="9.85546875" style="286" customWidth="1"/>
    <col min="10941" max="10941" width="11" style="286" customWidth="1"/>
    <col min="10942" max="10942" width="12.28515625" style="286" customWidth="1"/>
    <col min="10943" max="10943" width="12" style="286" customWidth="1"/>
    <col min="10944" max="10944" width="9.85546875" style="286" customWidth="1"/>
    <col min="10945" max="10945" width="11" style="286" customWidth="1"/>
    <col min="10946" max="10946" width="12.28515625" style="286" customWidth="1"/>
    <col min="10947" max="10947" width="12" style="286" customWidth="1"/>
    <col min="10948" max="10948" width="9.85546875" style="286" customWidth="1"/>
    <col min="10949" max="10949" width="11" style="286" customWidth="1"/>
    <col min="10950" max="10950" width="12.28515625" style="286" customWidth="1"/>
    <col min="10951" max="10951" width="12" style="286" customWidth="1"/>
    <col min="10952" max="10952" width="9.85546875" style="286" customWidth="1"/>
    <col min="10953" max="10953" width="11" style="286" customWidth="1"/>
    <col min="10954" max="10954" width="12.28515625" style="286" customWidth="1"/>
    <col min="10955" max="10955" width="12" style="286" customWidth="1"/>
    <col min="10956" max="10956" width="9.85546875" style="286" customWidth="1"/>
    <col min="10957" max="10957" width="11" style="286" customWidth="1"/>
    <col min="10958" max="10958" width="12.28515625" style="286" customWidth="1"/>
    <col min="10959" max="10959" width="12" style="286" customWidth="1"/>
    <col min="10960" max="10960" width="9.85546875" style="286" customWidth="1"/>
    <col min="10961" max="10975" width="0" style="286" hidden="1" customWidth="1"/>
    <col min="10976" max="10976" width="9.85546875" style="286" customWidth="1"/>
    <col min="10977" max="10977" width="10.42578125" style="286" customWidth="1"/>
    <col min="10978" max="10978" width="9" style="286" customWidth="1"/>
    <col min="10979" max="10979" width="11.28515625" style="286" customWidth="1"/>
    <col min="10980" max="10980" width="10.140625" style="286" customWidth="1"/>
    <col min="10981" max="10981" width="10.7109375" style="286" customWidth="1"/>
    <col min="10982" max="10982" width="9.28515625" style="286"/>
    <col min="10983" max="10984" width="9.140625" style="286" customWidth="1"/>
    <col min="10985" max="11008" width="9.28515625" style="286"/>
    <col min="11009" max="11009" width="4.28515625" style="286" customWidth="1"/>
    <col min="11010" max="11010" width="5.42578125" style="286" customWidth="1"/>
    <col min="11011" max="11011" width="41.5703125" style="286" customWidth="1"/>
    <col min="11012" max="11012" width="7.42578125" style="286" customWidth="1"/>
    <col min="11013" max="11013" width="13.140625" style="286" customWidth="1"/>
    <col min="11014" max="11014" width="11.7109375" style="286" customWidth="1"/>
    <col min="11015" max="11015" width="14.7109375" style="286" customWidth="1"/>
    <col min="11016" max="11016" width="11.7109375" style="286" customWidth="1"/>
    <col min="11017" max="11017" width="12" style="286" customWidth="1"/>
    <col min="11018" max="11018" width="9.7109375" style="286" customWidth="1"/>
    <col min="11019" max="11020" width="9.42578125" style="286" customWidth="1"/>
    <col min="11021" max="11021" width="10.7109375" style="286" customWidth="1"/>
    <col min="11022" max="11022" width="13.42578125" style="286" customWidth="1"/>
    <col min="11023" max="11023" width="12" style="286" customWidth="1"/>
    <col min="11024" max="11024" width="11" style="286" customWidth="1"/>
    <col min="11025" max="11025" width="10.5703125" style="286" customWidth="1"/>
    <col min="11026" max="11026" width="10.42578125" style="286" customWidth="1"/>
    <col min="11027" max="11027" width="10.7109375" style="286" customWidth="1"/>
    <col min="11028" max="11029" width="11.140625" style="286" customWidth="1"/>
    <col min="11030" max="11030" width="10.5703125" style="286" customWidth="1"/>
    <col min="11031" max="11031" width="10.85546875" style="286" customWidth="1"/>
    <col min="11032" max="11032" width="9.85546875" style="286" customWidth="1"/>
    <col min="11033" max="11033" width="11" style="286" customWidth="1"/>
    <col min="11034" max="11034" width="11.42578125" style="286" customWidth="1"/>
    <col min="11035" max="11035" width="12" style="286" customWidth="1"/>
    <col min="11036" max="11036" width="9.85546875" style="286" customWidth="1"/>
    <col min="11037" max="11037" width="10.5703125" style="286" customWidth="1"/>
    <col min="11038" max="11038" width="11.140625" style="286" customWidth="1"/>
    <col min="11039" max="11039" width="11.42578125" style="286" customWidth="1"/>
    <col min="11040" max="11044" width="9.85546875" style="286" customWidth="1"/>
    <col min="11045" max="11047" width="11.7109375" style="286" customWidth="1"/>
    <col min="11048" max="11048" width="9.85546875" style="286" customWidth="1"/>
    <col min="11049" max="11049" width="11" style="286" customWidth="1"/>
    <col min="11050" max="11050" width="11.42578125" style="286" customWidth="1"/>
    <col min="11051" max="11051" width="11.140625" style="286" customWidth="1"/>
    <col min="11052" max="11052" width="10.42578125" style="286" customWidth="1"/>
    <col min="11053" max="11053" width="11.5703125" style="286" customWidth="1"/>
    <col min="11054" max="11055" width="11.140625" style="286" customWidth="1"/>
    <col min="11056" max="11068" width="9.85546875" style="286" customWidth="1"/>
    <col min="11069" max="11069" width="10.5703125" style="286" customWidth="1"/>
    <col min="11070" max="11070" width="12.42578125" style="286" customWidth="1"/>
    <col min="11071" max="11071" width="10.140625" style="286" customWidth="1"/>
    <col min="11072" max="11072" width="9.140625" style="286" customWidth="1"/>
    <col min="11073" max="11073" width="9" style="286" customWidth="1"/>
    <col min="11074" max="11075" width="9.7109375" style="286" customWidth="1"/>
    <col min="11076" max="11076" width="8.42578125" style="286" customWidth="1"/>
    <col min="11077" max="11077" width="11.7109375" style="286" customWidth="1"/>
    <col min="11078" max="11078" width="10.85546875" style="286" customWidth="1"/>
    <col min="11079" max="11079" width="11.7109375" style="286" customWidth="1"/>
    <col min="11080" max="11080" width="9" style="286" customWidth="1"/>
    <col min="11081" max="11081" width="11" style="286" customWidth="1"/>
    <col min="11082" max="11082" width="10.5703125" style="286" customWidth="1"/>
    <col min="11083" max="11083" width="11.7109375" style="286" customWidth="1"/>
    <col min="11084" max="11085" width="11" style="286" customWidth="1"/>
    <col min="11086" max="11088" width="11.140625" style="286" customWidth="1"/>
    <col min="11089" max="11089" width="8.7109375" style="286" customWidth="1"/>
    <col min="11090" max="11090" width="11.140625" style="286" customWidth="1"/>
    <col min="11091" max="11091" width="9.28515625" style="286"/>
    <col min="11092" max="11092" width="11.140625" style="286" customWidth="1"/>
    <col min="11093" max="11093" width="10.5703125" style="286" customWidth="1"/>
    <col min="11094" max="11094" width="12.28515625" style="286" customWidth="1"/>
    <col min="11095" max="11095" width="12" style="286" customWidth="1"/>
    <col min="11096" max="11096" width="9.85546875" style="286" customWidth="1"/>
    <col min="11097" max="11097" width="11" style="286" customWidth="1"/>
    <col min="11098" max="11098" width="12.28515625" style="286" customWidth="1"/>
    <col min="11099" max="11099" width="12" style="286" customWidth="1"/>
    <col min="11100" max="11100" width="9.85546875" style="286" customWidth="1"/>
    <col min="11101" max="11101" width="11" style="286" customWidth="1"/>
    <col min="11102" max="11102" width="12.28515625" style="286" customWidth="1"/>
    <col min="11103" max="11103" width="12" style="286" customWidth="1"/>
    <col min="11104" max="11104" width="9.85546875" style="286" customWidth="1"/>
    <col min="11105" max="11105" width="11" style="286" customWidth="1"/>
    <col min="11106" max="11106" width="12.28515625" style="286" customWidth="1"/>
    <col min="11107" max="11107" width="12" style="286" customWidth="1"/>
    <col min="11108" max="11108" width="9.85546875" style="286" customWidth="1"/>
    <col min="11109" max="11109" width="11" style="286" customWidth="1"/>
    <col min="11110" max="11110" width="12.28515625" style="286" customWidth="1"/>
    <col min="11111" max="11111" width="12" style="286" customWidth="1"/>
    <col min="11112" max="11112" width="9.85546875" style="286" customWidth="1"/>
    <col min="11113" max="11113" width="11" style="286" customWidth="1"/>
    <col min="11114" max="11114" width="12.28515625" style="286" customWidth="1"/>
    <col min="11115" max="11115" width="12" style="286" customWidth="1"/>
    <col min="11116" max="11116" width="9.85546875" style="286" customWidth="1"/>
    <col min="11117" max="11117" width="11" style="286" customWidth="1"/>
    <col min="11118" max="11118" width="12.28515625" style="286" customWidth="1"/>
    <col min="11119" max="11119" width="12" style="286" customWidth="1"/>
    <col min="11120" max="11120" width="9.85546875" style="286" customWidth="1"/>
    <col min="11121" max="11121" width="11" style="286" customWidth="1"/>
    <col min="11122" max="11122" width="12.28515625" style="286" customWidth="1"/>
    <col min="11123" max="11123" width="12" style="286" customWidth="1"/>
    <col min="11124" max="11124" width="9.85546875" style="286" customWidth="1"/>
    <col min="11125" max="11125" width="11" style="286" customWidth="1"/>
    <col min="11126" max="11126" width="12.28515625" style="286" customWidth="1"/>
    <col min="11127" max="11127" width="12" style="286" customWidth="1"/>
    <col min="11128" max="11128" width="9.85546875" style="286" customWidth="1"/>
    <col min="11129" max="11129" width="11" style="286" customWidth="1"/>
    <col min="11130" max="11130" width="12.28515625" style="286" customWidth="1"/>
    <col min="11131" max="11131" width="12" style="286" customWidth="1"/>
    <col min="11132" max="11132" width="9.85546875" style="286" customWidth="1"/>
    <col min="11133" max="11133" width="11" style="286" customWidth="1"/>
    <col min="11134" max="11134" width="12.28515625" style="286" customWidth="1"/>
    <col min="11135" max="11135" width="12" style="286" customWidth="1"/>
    <col min="11136" max="11136" width="9.85546875" style="286" customWidth="1"/>
    <col min="11137" max="11137" width="11" style="286" customWidth="1"/>
    <col min="11138" max="11138" width="12.28515625" style="286" customWidth="1"/>
    <col min="11139" max="11139" width="12" style="286" customWidth="1"/>
    <col min="11140" max="11140" width="9.85546875" style="286" customWidth="1"/>
    <col min="11141" max="11141" width="11" style="286" customWidth="1"/>
    <col min="11142" max="11142" width="12.28515625" style="286" customWidth="1"/>
    <col min="11143" max="11143" width="12" style="286" customWidth="1"/>
    <col min="11144" max="11144" width="9.85546875" style="286" customWidth="1"/>
    <col min="11145" max="11145" width="11" style="286" customWidth="1"/>
    <col min="11146" max="11146" width="12.28515625" style="286" customWidth="1"/>
    <col min="11147" max="11147" width="12" style="286" customWidth="1"/>
    <col min="11148" max="11148" width="9.85546875" style="286" customWidth="1"/>
    <col min="11149" max="11149" width="11" style="286" customWidth="1"/>
    <col min="11150" max="11150" width="12.28515625" style="286" customWidth="1"/>
    <col min="11151" max="11151" width="12" style="286" customWidth="1"/>
    <col min="11152" max="11152" width="9.85546875" style="286" customWidth="1"/>
    <col min="11153" max="11153" width="11" style="286" customWidth="1"/>
    <col min="11154" max="11154" width="12.28515625" style="286" customWidth="1"/>
    <col min="11155" max="11155" width="12" style="286" customWidth="1"/>
    <col min="11156" max="11156" width="9.85546875" style="286" customWidth="1"/>
    <col min="11157" max="11157" width="11" style="286" customWidth="1"/>
    <col min="11158" max="11158" width="12.28515625" style="286" customWidth="1"/>
    <col min="11159" max="11159" width="12" style="286" customWidth="1"/>
    <col min="11160" max="11160" width="9.85546875" style="286" customWidth="1"/>
    <col min="11161" max="11161" width="11.7109375" style="286" customWidth="1"/>
    <col min="11162" max="11162" width="10.85546875" style="286" customWidth="1"/>
    <col min="11163" max="11163" width="11.7109375" style="286" customWidth="1"/>
    <col min="11164" max="11164" width="9" style="286" customWidth="1"/>
    <col min="11165" max="11165" width="11" style="286" customWidth="1"/>
    <col min="11166" max="11166" width="12.28515625" style="286" customWidth="1"/>
    <col min="11167" max="11167" width="12" style="286" customWidth="1"/>
    <col min="11168" max="11168" width="9.85546875" style="286" customWidth="1"/>
    <col min="11169" max="11169" width="11" style="286" customWidth="1"/>
    <col min="11170" max="11170" width="12.28515625" style="286" customWidth="1"/>
    <col min="11171" max="11171" width="12" style="286" customWidth="1"/>
    <col min="11172" max="11172" width="9.85546875" style="286" customWidth="1"/>
    <col min="11173" max="11173" width="11" style="286" customWidth="1"/>
    <col min="11174" max="11174" width="12.28515625" style="286" customWidth="1"/>
    <col min="11175" max="11175" width="12" style="286" customWidth="1"/>
    <col min="11176" max="11176" width="9.85546875" style="286" customWidth="1"/>
    <col min="11177" max="11180" width="0" style="286" hidden="1" customWidth="1"/>
    <col min="11181" max="11181" width="11" style="286" customWidth="1"/>
    <col min="11182" max="11182" width="12.28515625" style="286" customWidth="1"/>
    <col min="11183" max="11183" width="12" style="286" customWidth="1"/>
    <col min="11184" max="11184" width="9.85546875" style="286" customWidth="1"/>
    <col min="11185" max="11185" width="11" style="286" customWidth="1"/>
    <col min="11186" max="11186" width="12.28515625" style="286" customWidth="1"/>
    <col min="11187" max="11187" width="12" style="286" customWidth="1"/>
    <col min="11188" max="11188" width="9.85546875" style="286" customWidth="1"/>
    <col min="11189" max="11189" width="11" style="286" customWidth="1"/>
    <col min="11190" max="11190" width="12.28515625" style="286" customWidth="1"/>
    <col min="11191" max="11191" width="12" style="286" customWidth="1"/>
    <col min="11192" max="11192" width="9.85546875" style="286" customWidth="1"/>
    <col min="11193" max="11193" width="11" style="286" customWidth="1"/>
    <col min="11194" max="11194" width="12.28515625" style="286" customWidth="1"/>
    <col min="11195" max="11195" width="12" style="286" customWidth="1"/>
    <col min="11196" max="11196" width="9.85546875" style="286" customWidth="1"/>
    <col min="11197" max="11197" width="11" style="286" customWidth="1"/>
    <col min="11198" max="11198" width="12.28515625" style="286" customWidth="1"/>
    <col min="11199" max="11199" width="12" style="286" customWidth="1"/>
    <col min="11200" max="11200" width="9.85546875" style="286" customWidth="1"/>
    <col min="11201" max="11201" width="11" style="286" customWidth="1"/>
    <col min="11202" max="11202" width="12.28515625" style="286" customWidth="1"/>
    <col min="11203" max="11203" width="12" style="286" customWidth="1"/>
    <col min="11204" max="11204" width="9.85546875" style="286" customWidth="1"/>
    <col min="11205" max="11205" width="11" style="286" customWidth="1"/>
    <col min="11206" max="11206" width="12.28515625" style="286" customWidth="1"/>
    <col min="11207" max="11207" width="12" style="286" customWidth="1"/>
    <col min="11208" max="11208" width="9.85546875" style="286" customWidth="1"/>
    <col min="11209" max="11209" width="11" style="286" customWidth="1"/>
    <col min="11210" max="11210" width="12.28515625" style="286" customWidth="1"/>
    <col min="11211" max="11211" width="12" style="286" customWidth="1"/>
    <col min="11212" max="11212" width="9.85546875" style="286" customWidth="1"/>
    <col min="11213" max="11213" width="11" style="286" customWidth="1"/>
    <col min="11214" max="11214" width="12.28515625" style="286" customWidth="1"/>
    <col min="11215" max="11215" width="12" style="286" customWidth="1"/>
    <col min="11216" max="11216" width="9.85546875" style="286" customWidth="1"/>
    <col min="11217" max="11231" width="0" style="286" hidden="1" customWidth="1"/>
    <col min="11232" max="11232" width="9.85546875" style="286" customWidth="1"/>
    <col min="11233" max="11233" width="10.42578125" style="286" customWidth="1"/>
    <col min="11234" max="11234" width="9" style="286" customWidth="1"/>
    <col min="11235" max="11235" width="11.28515625" style="286" customWidth="1"/>
    <col min="11236" max="11236" width="10.140625" style="286" customWidth="1"/>
    <col min="11237" max="11237" width="10.7109375" style="286" customWidth="1"/>
    <col min="11238" max="11238" width="9.28515625" style="286"/>
    <col min="11239" max="11240" width="9.140625" style="286" customWidth="1"/>
    <col min="11241" max="11264" width="9.28515625" style="286"/>
    <col min="11265" max="11265" width="4.28515625" style="286" customWidth="1"/>
    <col min="11266" max="11266" width="5.42578125" style="286" customWidth="1"/>
    <col min="11267" max="11267" width="41.5703125" style="286" customWidth="1"/>
    <col min="11268" max="11268" width="7.42578125" style="286" customWidth="1"/>
    <col min="11269" max="11269" width="13.140625" style="286" customWidth="1"/>
    <col min="11270" max="11270" width="11.7109375" style="286" customWidth="1"/>
    <col min="11271" max="11271" width="14.7109375" style="286" customWidth="1"/>
    <col min="11272" max="11272" width="11.7109375" style="286" customWidth="1"/>
    <col min="11273" max="11273" width="12" style="286" customWidth="1"/>
    <col min="11274" max="11274" width="9.7109375" style="286" customWidth="1"/>
    <col min="11275" max="11276" width="9.42578125" style="286" customWidth="1"/>
    <col min="11277" max="11277" width="10.7109375" style="286" customWidth="1"/>
    <col min="11278" max="11278" width="13.42578125" style="286" customWidth="1"/>
    <col min="11279" max="11279" width="12" style="286" customWidth="1"/>
    <col min="11280" max="11280" width="11" style="286" customWidth="1"/>
    <col min="11281" max="11281" width="10.5703125" style="286" customWidth="1"/>
    <col min="11282" max="11282" width="10.42578125" style="286" customWidth="1"/>
    <col min="11283" max="11283" width="10.7109375" style="286" customWidth="1"/>
    <col min="11284" max="11285" width="11.140625" style="286" customWidth="1"/>
    <col min="11286" max="11286" width="10.5703125" style="286" customWidth="1"/>
    <col min="11287" max="11287" width="10.85546875" style="286" customWidth="1"/>
    <col min="11288" max="11288" width="9.85546875" style="286" customWidth="1"/>
    <col min="11289" max="11289" width="11" style="286" customWidth="1"/>
    <col min="11290" max="11290" width="11.42578125" style="286" customWidth="1"/>
    <col min="11291" max="11291" width="12" style="286" customWidth="1"/>
    <col min="11292" max="11292" width="9.85546875" style="286" customWidth="1"/>
    <col min="11293" max="11293" width="10.5703125" style="286" customWidth="1"/>
    <col min="11294" max="11294" width="11.140625" style="286" customWidth="1"/>
    <col min="11295" max="11295" width="11.42578125" style="286" customWidth="1"/>
    <col min="11296" max="11300" width="9.85546875" style="286" customWidth="1"/>
    <col min="11301" max="11303" width="11.7109375" style="286" customWidth="1"/>
    <col min="11304" max="11304" width="9.85546875" style="286" customWidth="1"/>
    <col min="11305" max="11305" width="11" style="286" customWidth="1"/>
    <col min="11306" max="11306" width="11.42578125" style="286" customWidth="1"/>
    <col min="11307" max="11307" width="11.140625" style="286" customWidth="1"/>
    <col min="11308" max="11308" width="10.42578125" style="286" customWidth="1"/>
    <col min="11309" max="11309" width="11.5703125" style="286" customWidth="1"/>
    <col min="11310" max="11311" width="11.140625" style="286" customWidth="1"/>
    <col min="11312" max="11324" width="9.85546875" style="286" customWidth="1"/>
    <col min="11325" max="11325" width="10.5703125" style="286" customWidth="1"/>
    <col min="11326" max="11326" width="12.42578125" style="286" customWidth="1"/>
    <col min="11327" max="11327" width="10.140625" style="286" customWidth="1"/>
    <col min="11328" max="11328" width="9.140625" style="286" customWidth="1"/>
    <col min="11329" max="11329" width="9" style="286" customWidth="1"/>
    <col min="11330" max="11331" width="9.7109375" style="286" customWidth="1"/>
    <col min="11332" max="11332" width="8.42578125" style="286" customWidth="1"/>
    <col min="11333" max="11333" width="11.7109375" style="286" customWidth="1"/>
    <col min="11334" max="11334" width="10.85546875" style="286" customWidth="1"/>
    <col min="11335" max="11335" width="11.7109375" style="286" customWidth="1"/>
    <col min="11336" max="11336" width="9" style="286" customWidth="1"/>
    <col min="11337" max="11337" width="11" style="286" customWidth="1"/>
    <col min="11338" max="11338" width="10.5703125" style="286" customWidth="1"/>
    <col min="11339" max="11339" width="11.7109375" style="286" customWidth="1"/>
    <col min="11340" max="11341" width="11" style="286" customWidth="1"/>
    <col min="11342" max="11344" width="11.140625" style="286" customWidth="1"/>
    <col min="11345" max="11345" width="8.7109375" style="286" customWidth="1"/>
    <col min="11346" max="11346" width="11.140625" style="286" customWidth="1"/>
    <col min="11347" max="11347" width="9.28515625" style="286"/>
    <col min="11348" max="11348" width="11.140625" style="286" customWidth="1"/>
    <col min="11349" max="11349" width="10.5703125" style="286" customWidth="1"/>
    <col min="11350" max="11350" width="12.28515625" style="286" customWidth="1"/>
    <col min="11351" max="11351" width="12" style="286" customWidth="1"/>
    <col min="11352" max="11352" width="9.85546875" style="286" customWidth="1"/>
    <col min="11353" max="11353" width="11" style="286" customWidth="1"/>
    <col min="11354" max="11354" width="12.28515625" style="286" customWidth="1"/>
    <col min="11355" max="11355" width="12" style="286" customWidth="1"/>
    <col min="11356" max="11356" width="9.85546875" style="286" customWidth="1"/>
    <col min="11357" max="11357" width="11" style="286" customWidth="1"/>
    <col min="11358" max="11358" width="12.28515625" style="286" customWidth="1"/>
    <col min="11359" max="11359" width="12" style="286" customWidth="1"/>
    <col min="11360" max="11360" width="9.85546875" style="286" customWidth="1"/>
    <col min="11361" max="11361" width="11" style="286" customWidth="1"/>
    <col min="11362" max="11362" width="12.28515625" style="286" customWidth="1"/>
    <col min="11363" max="11363" width="12" style="286" customWidth="1"/>
    <col min="11364" max="11364" width="9.85546875" style="286" customWidth="1"/>
    <col min="11365" max="11365" width="11" style="286" customWidth="1"/>
    <col min="11366" max="11366" width="12.28515625" style="286" customWidth="1"/>
    <col min="11367" max="11367" width="12" style="286" customWidth="1"/>
    <col min="11368" max="11368" width="9.85546875" style="286" customWidth="1"/>
    <col min="11369" max="11369" width="11" style="286" customWidth="1"/>
    <col min="11370" max="11370" width="12.28515625" style="286" customWidth="1"/>
    <col min="11371" max="11371" width="12" style="286" customWidth="1"/>
    <col min="11372" max="11372" width="9.85546875" style="286" customWidth="1"/>
    <col min="11373" max="11373" width="11" style="286" customWidth="1"/>
    <col min="11374" max="11374" width="12.28515625" style="286" customWidth="1"/>
    <col min="11375" max="11375" width="12" style="286" customWidth="1"/>
    <col min="11376" max="11376" width="9.85546875" style="286" customWidth="1"/>
    <col min="11377" max="11377" width="11" style="286" customWidth="1"/>
    <col min="11378" max="11378" width="12.28515625" style="286" customWidth="1"/>
    <col min="11379" max="11379" width="12" style="286" customWidth="1"/>
    <col min="11380" max="11380" width="9.85546875" style="286" customWidth="1"/>
    <col min="11381" max="11381" width="11" style="286" customWidth="1"/>
    <col min="11382" max="11382" width="12.28515625" style="286" customWidth="1"/>
    <col min="11383" max="11383" width="12" style="286" customWidth="1"/>
    <col min="11384" max="11384" width="9.85546875" style="286" customWidth="1"/>
    <col min="11385" max="11385" width="11" style="286" customWidth="1"/>
    <col min="11386" max="11386" width="12.28515625" style="286" customWidth="1"/>
    <col min="11387" max="11387" width="12" style="286" customWidth="1"/>
    <col min="11388" max="11388" width="9.85546875" style="286" customWidth="1"/>
    <col min="11389" max="11389" width="11" style="286" customWidth="1"/>
    <col min="11390" max="11390" width="12.28515625" style="286" customWidth="1"/>
    <col min="11391" max="11391" width="12" style="286" customWidth="1"/>
    <col min="11392" max="11392" width="9.85546875" style="286" customWidth="1"/>
    <col min="11393" max="11393" width="11" style="286" customWidth="1"/>
    <col min="11394" max="11394" width="12.28515625" style="286" customWidth="1"/>
    <col min="11395" max="11395" width="12" style="286" customWidth="1"/>
    <col min="11396" max="11396" width="9.85546875" style="286" customWidth="1"/>
    <col min="11397" max="11397" width="11" style="286" customWidth="1"/>
    <col min="11398" max="11398" width="12.28515625" style="286" customWidth="1"/>
    <col min="11399" max="11399" width="12" style="286" customWidth="1"/>
    <col min="11400" max="11400" width="9.85546875" style="286" customWidth="1"/>
    <col min="11401" max="11401" width="11" style="286" customWidth="1"/>
    <col min="11402" max="11402" width="12.28515625" style="286" customWidth="1"/>
    <col min="11403" max="11403" width="12" style="286" customWidth="1"/>
    <col min="11404" max="11404" width="9.85546875" style="286" customWidth="1"/>
    <col min="11405" max="11405" width="11" style="286" customWidth="1"/>
    <col min="11406" max="11406" width="12.28515625" style="286" customWidth="1"/>
    <col min="11407" max="11407" width="12" style="286" customWidth="1"/>
    <col min="11408" max="11408" width="9.85546875" style="286" customWidth="1"/>
    <col min="11409" max="11409" width="11" style="286" customWidth="1"/>
    <col min="11410" max="11410" width="12.28515625" style="286" customWidth="1"/>
    <col min="11411" max="11411" width="12" style="286" customWidth="1"/>
    <col min="11412" max="11412" width="9.85546875" style="286" customWidth="1"/>
    <col min="11413" max="11413" width="11" style="286" customWidth="1"/>
    <col min="11414" max="11414" width="12.28515625" style="286" customWidth="1"/>
    <col min="11415" max="11415" width="12" style="286" customWidth="1"/>
    <col min="11416" max="11416" width="9.85546875" style="286" customWidth="1"/>
    <col min="11417" max="11417" width="11.7109375" style="286" customWidth="1"/>
    <col min="11418" max="11418" width="10.85546875" style="286" customWidth="1"/>
    <col min="11419" max="11419" width="11.7109375" style="286" customWidth="1"/>
    <col min="11420" max="11420" width="9" style="286" customWidth="1"/>
    <col min="11421" max="11421" width="11" style="286" customWidth="1"/>
    <col min="11422" max="11422" width="12.28515625" style="286" customWidth="1"/>
    <col min="11423" max="11423" width="12" style="286" customWidth="1"/>
    <col min="11424" max="11424" width="9.85546875" style="286" customWidth="1"/>
    <col min="11425" max="11425" width="11" style="286" customWidth="1"/>
    <col min="11426" max="11426" width="12.28515625" style="286" customWidth="1"/>
    <col min="11427" max="11427" width="12" style="286" customWidth="1"/>
    <col min="11428" max="11428" width="9.85546875" style="286" customWidth="1"/>
    <col min="11429" max="11429" width="11" style="286" customWidth="1"/>
    <col min="11430" max="11430" width="12.28515625" style="286" customWidth="1"/>
    <col min="11431" max="11431" width="12" style="286" customWidth="1"/>
    <col min="11432" max="11432" width="9.85546875" style="286" customWidth="1"/>
    <col min="11433" max="11436" width="0" style="286" hidden="1" customWidth="1"/>
    <col min="11437" max="11437" width="11" style="286" customWidth="1"/>
    <col min="11438" max="11438" width="12.28515625" style="286" customWidth="1"/>
    <col min="11439" max="11439" width="12" style="286" customWidth="1"/>
    <col min="11440" max="11440" width="9.85546875" style="286" customWidth="1"/>
    <col min="11441" max="11441" width="11" style="286" customWidth="1"/>
    <col min="11442" max="11442" width="12.28515625" style="286" customWidth="1"/>
    <col min="11443" max="11443" width="12" style="286" customWidth="1"/>
    <col min="11444" max="11444" width="9.85546875" style="286" customWidth="1"/>
    <col min="11445" max="11445" width="11" style="286" customWidth="1"/>
    <col min="11446" max="11446" width="12.28515625" style="286" customWidth="1"/>
    <col min="11447" max="11447" width="12" style="286" customWidth="1"/>
    <col min="11448" max="11448" width="9.85546875" style="286" customWidth="1"/>
    <col min="11449" max="11449" width="11" style="286" customWidth="1"/>
    <col min="11450" max="11450" width="12.28515625" style="286" customWidth="1"/>
    <col min="11451" max="11451" width="12" style="286" customWidth="1"/>
    <col min="11452" max="11452" width="9.85546875" style="286" customWidth="1"/>
    <col min="11453" max="11453" width="11" style="286" customWidth="1"/>
    <col min="11454" max="11454" width="12.28515625" style="286" customWidth="1"/>
    <col min="11455" max="11455" width="12" style="286" customWidth="1"/>
    <col min="11456" max="11456" width="9.85546875" style="286" customWidth="1"/>
    <col min="11457" max="11457" width="11" style="286" customWidth="1"/>
    <col min="11458" max="11458" width="12.28515625" style="286" customWidth="1"/>
    <col min="11459" max="11459" width="12" style="286" customWidth="1"/>
    <col min="11460" max="11460" width="9.85546875" style="286" customWidth="1"/>
    <col min="11461" max="11461" width="11" style="286" customWidth="1"/>
    <col min="11462" max="11462" width="12.28515625" style="286" customWidth="1"/>
    <col min="11463" max="11463" width="12" style="286" customWidth="1"/>
    <col min="11464" max="11464" width="9.85546875" style="286" customWidth="1"/>
    <col min="11465" max="11465" width="11" style="286" customWidth="1"/>
    <col min="11466" max="11466" width="12.28515625" style="286" customWidth="1"/>
    <col min="11467" max="11467" width="12" style="286" customWidth="1"/>
    <col min="11468" max="11468" width="9.85546875" style="286" customWidth="1"/>
    <col min="11469" max="11469" width="11" style="286" customWidth="1"/>
    <col min="11470" max="11470" width="12.28515625" style="286" customWidth="1"/>
    <col min="11471" max="11471" width="12" style="286" customWidth="1"/>
    <col min="11472" max="11472" width="9.85546875" style="286" customWidth="1"/>
    <col min="11473" max="11487" width="0" style="286" hidden="1" customWidth="1"/>
    <col min="11488" max="11488" width="9.85546875" style="286" customWidth="1"/>
    <col min="11489" max="11489" width="10.42578125" style="286" customWidth="1"/>
    <col min="11490" max="11490" width="9" style="286" customWidth="1"/>
    <col min="11491" max="11491" width="11.28515625" style="286" customWidth="1"/>
    <col min="11492" max="11492" width="10.140625" style="286" customWidth="1"/>
    <col min="11493" max="11493" width="10.7109375" style="286" customWidth="1"/>
    <col min="11494" max="11494" width="9.28515625" style="286"/>
    <col min="11495" max="11496" width="9.140625" style="286" customWidth="1"/>
    <col min="11497" max="11520" width="9.28515625" style="286"/>
    <col min="11521" max="11521" width="4.28515625" style="286" customWidth="1"/>
    <col min="11522" max="11522" width="5.42578125" style="286" customWidth="1"/>
    <col min="11523" max="11523" width="41.5703125" style="286" customWidth="1"/>
    <col min="11524" max="11524" width="7.42578125" style="286" customWidth="1"/>
    <col min="11525" max="11525" width="13.140625" style="286" customWidth="1"/>
    <col min="11526" max="11526" width="11.7109375" style="286" customWidth="1"/>
    <col min="11527" max="11527" width="14.7109375" style="286" customWidth="1"/>
    <col min="11528" max="11528" width="11.7109375" style="286" customWidth="1"/>
    <col min="11529" max="11529" width="12" style="286" customWidth="1"/>
    <col min="11530" max="11530" width="9.7109375" style="286" customWidth="1"/>
    <col min="11531" max="11532" width="9.42578125" style="286" customWidth="1"/>
    <col min="11533" max="11533" width="10.7109375" style="286" customWidth="1"/>
    <col min="11534" max="11534" width="13.42578125" style="286" customWidth="1"/>
    <col min="11535" max="11535" width="12" style="286" customWidth="1"/>
    <col min="11536" max="11536" width="11" style="286" customWidth="1"/>
    <col min="11537" max="11537" width="10.5703125" style="286" customWidth="1"/>
    <col min="11538" max="11538" width="10.42578125" style="286" customWidth="1"/>
    <col min="11539" max="11539" width="10.7109375" style="286" customWidth="1"/>
    <col min="11540" max="11541" width="11.140625" style="286" customWidth="1"/>
    <col min="11542" max="11542" width="10.5703125" style="286" customWidth="1"/>
    <col min="11543" max="11543" width="10.85546875" style="286" customWidth="1"/>
    <col min="11544" max="11544" width="9.85546875" style="286" customWidth="1"/>
    <col min="11545" max="11545" width="11" style="286" customWidth="1"/>
    <col min="11546" max="11546" width="11.42578125" style="286" customWidth="1"/>
    <col min="11547" max="11547" width="12" style="286" customWidth="1"/>
    <col min="11548" max="11548" width="9.85546875" style="286" customWidth="1"/>
    <col min="11549" max="11549" width="10.5703125" style="286" customWidth="1"/>
    <col min="11550" max="11550" width="11.140625" style="286" customWidth="1"/>
    <col min="11551" max="11551" width="11.42578125" style="286" customWidth="1"/>
    <col min="11552" max="11556" width="9.85546875" style="286" customWidth="1"/>
    <col min="11557" max="11559" width="11.7109375" style="286" customWidth="1"/>
    <col min="11560" max="11560" width="9.85546875" style="286" customWidth="1"/>
    <col min="11561" max="11561" width="11" style="286" customWidth="1"/>
    <col min="11562" max="11562" width="11.42578125" style="286" customWidth="1"/>
    <col min="11563" max="11563" width="11.140625" style="286" customWidth="1"/>
    <col min="11564" max="11564" width="10.42578125" style="286" customWidth="1"/>
    <col min="11565" max="11565" width="11.5703125" style="286" customWidth="1"/>
    <col min="11566" max="11567" width="11.140625" style="286" customWidth="1"/>
    <col min="11568" max="11580" width="9.85546875" style="286" customWidth="1"/>
    <col min="11581" max="11581" width="10.5703125" style="286" customWidth="1"/>
    <col min="11582" max="11582" width="12.42578125" style="286" customWidth="1"/>
    <col min="11583" max="11583" width="10.140625" style="286" customWidth="1"/>
    <col min="11584" max="11584" width="9.140625" style="286" customWidth="1"/>
    <col min="11585" max="11585" width="9" style="286" customWidth="1"/>
    <col min="11586" max="11587" width="9.7109375" style="286" customWidth="1"/>
    <col min="11588" max="11588" width="8.42578125" style="286" customWidth="1"/>
    <col min="11589" max="11589" width="11.7109375" style="286" customWidth="1"/>
    <col min="11590" max="11590" width="10.85546875" style="286" customWidth="1"/>
    <col min="11591" max="11591" width="11.7109375" style="286" customWidth="1"/>
    <col min="11592" max="11592" width="9" style="286" customWidth="1"/>
    <col min="11593" max="11593" width="11" style="286" customWidth="1"/>
    <col min="11594" max="11594" width="10.5703125" style="286" customWidth="1"/>
    <col min="11595" max="11595" width="11.7109375" style="286" customWidth="1"/>
    <col min="11596" max="11597" width="11" style="286" customWidth="1"/>
    <col min="11598" max="11600" width="11.140625" style="286" customWidth="1"/>
    <col min="11601" max="11601" width="8.7109375" style="286" customWidth="1"/>
    <col min="11602" max="11602" width="11.140625" style="286" customWidth="1"/>
    <col min="11603" max="11603" width="9.28515625" style="286"/>
    <col min="11604" max="11604" width="11.140625" style="286" customWidth="1"/>
    <col min="11605" max="11605" width="10.5703125" style="286" customWidth="1"/>
    <col min="11606" max="11606" width="12.28515625" style="286" customWidth="1"/>
    <col min="11607" max="11607" width="12" style="286" customWidth="1"/>
    <col min="11608" max="11608" width="9.85546875" style="286" customWidth="1"/>
    <col min="11609" max="11609" width="11" style="286" customWidth="1"/>
    <col min="11610" max="11610" width="12.28515625" style="286" customWidth="1"/>
    <col min="11611" max="11611" width="12" style="286" customWidth="1"/>
    <col min="11612" max="11612" width="9.85546875" style="286" customWidth="1"/>
    <col min="11613" max="11613" width="11" style="286" customWidth="1"/>
    <col min="11614" max="11614" width="12.28515625" style="286" customWidth="1"/>
    <col min="11615" max="11615" width="12" style="286" customWidth="1"/>
    <col min="11616" max="11616" width="9.85546875" style="286" customWidth="1"/>
    <col min="11617" max="11617" width="11" style="286" customWidth="1"/>
    <col min="11618" max="11618" width="12.28515625" style="286" customWidth="1"/>
    <col min="11619" max="11619" width="12" style="286" customWidth="1"/>
    <col min="11620" max="11620" width="9.85546875" style="286" customWidth="1"/>
    <col min="11621" max="11621" width="11" style="286" customWidth="1"/>
    <col min="11622" max="11622" width="12.28515625" style="286" customWidth="1"/>
    <col min="11623" max="11623" width="12" style="286" customWidth="1"/>
    <col min="11624" max="11624" width="9.85546875" style="286" customWidth="1"/>
    <col min="11625" max="11625" width="11" style="286" customWidth="1"/>
    <col min="11626" max="11626" width="12.28515625" style="286" customWidth="1"/>
    <col min="11627" max="11627" width="12" style="286" customWidth="1"/>
    <col min="11628" max="11628" width="9.85546875" style="286" customWidth="1"/>
    <col min="11629" max="11629" width="11" style="286" customWidth="1"/>
    <col min="11630" max="11630" width="12.28515625" style="286" customWidth="1"/>
    <col min="11631" max="11631" width="12" style="286" customWidth="1"/>
    <col min="11632" max="11632" width="9.85546875" style="286" customWidth="1"/>
    <col min="11633" max="11633" width="11" style="286" customWidth="1"/>
    <col min="11634" max="11634" width="12.28515625" style="286" customWidth="1"/>
    <col min="11635" max="11635" width="12" style="286" customWidth="1"/>
    <col min="11636" max="11636" width="9.85546875" style="286" customWidth="1"/>
    <col min="11637" max="11637" width="11" style="286" customWidth="1"/>
    <col min="11638" max="11638" width="12.28515625" style="286" customWidth="1"/>
    <col min="11639" max="11639" width="12" style="286" customWidth="1"/>
    <col min="11640" max="11640" width="9.85546875" style="286" customWidth="1"/>
    <col min="11641" max="11641" width="11" style="286" customWidth="1"/>
    <col min="11642" max="11642" width="12.28515625" style="286" customWidth="1"/>
    <col min="11643" max="11643" width="12" style="286" customWidth="1"/>
    <col min="11644" max="11644" width="9.85546875" style="286" customWidth="1"/>
    <col min="11645" max="11645" width="11" style="286" customWidth="1"/>
    <col min="11646" max="11646" width="12.28515625" style="286" customWidth="1"/>
    <col min="11647" max="11647" width="12" style="286" customWidth="1"/>
    <col min="11648" max="11648" width="9.85546875" style="286" customWidth="1"/>
    <col min="11649" max="11649" width="11" style="286" customWidth="1"/>
    <col min="11650" max="11650" width="12.28515625" style="286" customWidth="1"/>
    <col min="11651" max="11651" width="12" style="286" customWidth="1"/>
    <col min="11652" max="11652" width="9.85546875" style="286" customWidth="1"/>
    <col min="11653" max="11653" width="11" style="286" customWidth="1"/>
    <col min="11654" max="11654" width="12.28515625" style="286" customWidth="1"/>
    <col min="11655" max="11655" width="12" style="286" customWidth="1"/>
    <col min="11656" max="11656" width="9.85546875" style="286" customWidth="1"/>
    <col min="11657" max="11657" width="11" style="286" customWidth="1"/>
    <col min="11658" max="11658" width="12.28515625" style="286" customWidth="1"/>
    <col min="11659" max="11659" width="12" style="286" customWidth="1"/>
    <col min="11660" max="11660" width="9.85546875" style="286" customWidth="1"/>
    <col min="11661" max="11661" width="11" style="286" customWidth="1"/>
    <col min="11662" max="11662" width="12.28515625" style="286" customWidth="1"/>
    <col min="11663" max="11663" width="12" style="286" customWidth="1"/>
    <col min="11664" max="11664" width="9.85546875" style="286" customWidth="1"/>
    <col min="11665" max="11665" width="11" style="286" customWidth="1"/>
    <col min="11666" max="11666" width="12.28515625" style="286" customWidth="1"/>
    <col min="11667" max="11667" width="12" style="286" customWidth="1"/>
    <col min="11668" max="11668" width="9.85546875" style="286" customWidth="1"/>
    <col min="11669" max="11669" width="11" style="286" customWidth="1"/>
    <col min="11670" max="11670" width="12.28515625" style="286" customWidth="1"/>
    <col min="11671" max="11671" width="12" style="286" customWidth="1"/>
    <col min="11672" max="11672" width="9.85546875" style="286" customWidth="1"/>
    <col min="11673" max="11673" width="11.7109375" style="286" customWidth="1"/>
    <col min="11674" max="11674" width="10.85546875" style="286" customWidth="1"/>
    <col min="11675" max="11675" width="11.7109375" style="286" customWidth="1"/>
    <col min="11676" max="11676" width="9" style="286" customWidth="1"/>
    <col min="11677" max="11677" width="11" style="286" customWidth="1"/>
    <col min="11678" max="11678" width="12.28515625" style="286" customWidth="1"/>
    <col min="11679" max="11679" width="12" style="286" customWidth="1"/>
    <col min="11680" max="11680" width="9.85546875" style="286" customWidth="1"/>
    <col min="11681" max="11681" width="11" style="286" customWidth="1"/>
    <col min="11682" max="11682" width="12.28515625" style="286" customWidth="1"/>
    <col min="11683" max="11683" width="12" style="286" customWidth="1"/>
    <col min="11684" max="11684" width="9.85546875" style="286" customWidth="1"/>
    <col min="11685" max="11685" width="11" style="286" customWidth="1"/>
    <col min="11686" max="11686" width="12.28515625" style="286" customWidth="1"/>
    <col min="11687" max="11687" width="12" style="286" customWidth="1"/>
    <col min="11688" max="11688" width="9.85546875" style="286" customWidth="1"/>
    <col min="11689" max="11692" width="0" style="286" hidden="1" customWidth="1"/>
    <col min="11693" max="11693" width="11" style="286" customWidth="1"/>
    <col min="11694" max="11694" width="12.28515625" style="286" customWidth="1"/>
    <col min="11695" max="11695" width="12" style="286" customWidth="1"/>
    <col min="11696" max="11696" width="9.85546875" style="286" customWidth="1"/>
    <col min="11697" max="11697" width="11" style="286" customWidth="1"/>
    <col min="11698" max="11698" width="12.28515625" style="286" customWidth="1"/>
    <col min="11699" max="11699" width="12" style="286" customWidth="1"/>
    <col min="11700" max="11700" width="9.85546875" style="286" customWidth="1"/>
    <col min="11701" max="11701" width="11" style="286" customWidth="1"/>
    <col min="11702" max="11702" width="12.28515625" style="286" customWidth="1"/>
    <col min="11703" max="11703" width="12" style="286" customWidth="1"/>
    <col min="11704" max="11704" width="9.85546875" style="286" customWidth="1"/>
    <col min="11705" max="11705" width="11" style="286" customWidth="1"/>
    <col min="11706" max="11706" width="12.28515625" style="286" customWidth="1"/>
    <col min="11707" max="11707" width="12" style="286" customWidth="1"/>
    <col min="11708" max="11708" width="9.85546875" style="286" customWidth="1"/>
    <col min="11709" max="11709" width="11" style="286" customWidth="1"/>
    <col min="11710" max="11710" width="12.28515625" style="286" customWidth="1"/>
    <col min="11711" max="11711" width="12" style="286" customWidth="1"/>
    <col min="11712" max="11712" width="9.85546875" style="286" customWidth="1"/>
    <col min="11713" max="11713" width="11" style="286" customWidth="1"/>
    <col min="11714" max="11714" width="12.28515625" style="286" customWidth="1"/>
    <col min="11715" max="11715" width="12" style="286" customWidth="1"/>
    <col min="11716" max="11716" width="9.85546875" style="286" customWidth="1"/>
    <col min="11717" max="11717" width="11" style="286" customWidth="1"/>
    <col min="11718" max="11718" width="12.28515625" style="286" customWidth="1"/>
    <col min="11719" max="11719" width="12" style="286" customWidth="1"/>
    <col min="11720" max="11720" width="9.85546875" style="286" customWidth="1"/>
    <col min="11721" max="11721" width="11" style="286" customWidth="1"/>
    <col min="11722" max="11722" width="12.28515625" style="286" customWidth="1"/>
    <col min="11723" max="11723" width="12" style="286" customWidth="1"/>
    <col min="11724" max="11724" width="9.85546875" style="286" customWidth="1"/>
    <col min="11725" max="11725" width="11" style="286" customWidth="1"/>
    <col min="11726" max="11726" width="12.28515625" style="286" customWidth="1"/>
    <col min="11727" max="11727" width="12" style="286" customWidth="1"/>
    <col min="11728" max="11728" width="9.85546875" style="286" customWidth="1"/>
    <col min="11729" max="11743" width="0" style="286" hidden="1" customWidth="1"/>
    <col min="11744" max="11744" width="9.85546875" style="286" customWidth="1"/>
    <col min="11745" max="11745" width="10.42578125" style="286" customWidth="1"/>
    <col min="11746" max="11746" width="9" style="286" customWidth="1"/>
    <col min="11747" max="11747" width="11.28515625" style="286" customWidth="1"/>
    <col min="11748" max="11748" width="10.140625" style="286" customWidth="1"/>
    <col min="11749" max="11749" width="10.7109375" style="286" customWidth="1"/>
    <col min="11750" max="11750" width="9.28515625" style="286"/>
    <col min="11751" max="11752" width="9.140625" style="286" customWidth="1"/>
    <col min="11753" max="11776" width="9.28515625" style="286"/>
    <col min="11777" max="11777" width="4.28515625" style="286" customWidth="1"/>
    <col min="11778" max="11778" width="5.42578125" style="286" customWidth="1"/>
    <col min="11779" max="11779" width="41.5703125" style="286" customWidth="1"/>
    <col min="11780" max="11780" width="7.42578125" style="286" customWidth="1"/>
    <col min="11781" max="11781" width="13.140625" style="286" customWidth="1"/>
    <col min="11782" max="11782" width="11.7109375" style="286" customWidth="1"/>
    <col min="11783" max="11783" width="14.7109375" style="286" customWidth="1"/>
    <col min="11784" max="11784" width="11.7109375" style="286" customWidth="1"/>
    <col min="11785" max="11785" width="12" style="286" customWidth="1"/>
    <col min="11786" max="11786" width="9.7109375" style="286" customWidth="1"/>
    <col min="11787" max="11788" width="9.42578125" style="286" customWidth="1"/>
    <col min="11789" max="11789" width="10.7109375" style="286" customWidth="1"/>
    <col min="11790" max="11790" width="13.42578125" style="286" customWidth="1"/>
    <col min="11791" max="11791" width="12" style="286" customWidth="1"/>
    <col min="11792" max="11792" width="11" style="286" customWidth="1"/>
    <col min="11793" max="11793" width="10.5703125" style="286" customWidth="1"/>
    <col min="11794" max="11794" width="10.42578125" style="286" customWidth="1"/>
    <col min="11795" max="11795" width="10.7109375" style="286" customWidth="1"/>
    <col min="11796" max="11797" width="11.140625" style="286" customWidth="1"/>
    <col min="11798" max="11798" width="10.5703125" style="286" customWidth="1"/>
    <col min="11799" max="11799" width="10.85546875" style="286" customWidth="1"/>
    <col min="11800" max="11800" width="9.85546875" style="286" customWidth="1"/>
    <col min="11801" max="11801" width="11" style="286" customWidth="1"/>
    <col min="11802" max="11802" width="11.42578125" style="286" customWidth="1"/>
    <col min="11803" max="11803" width="12" style="286" customWidth="1"/>
    <col min="11804" max="11804" width="9.85546875" style="286" customWidth="1"/>
    <col min="11805" max="11805" width="10.5703125" style="286" customWidth="1"/>
    <col min="11806" max="11806" width="11.140625" style="286" customWidth="1"/>
    <col min="11807" max="11807" width="11.42578125" style="286" customWidth="1"/>
    <col min="11808" max="11812" width="9.85546875" style="286" customWidth="1"/>
    <col min="11813" max="11815" width="11.7109375" style="286" customWidth="1"/>
    <col min="11816" max="11816" width="9.85546875" style="286" customWidth="1"/>
    <col min="11817" max="11817" width="11" style="286" customWidth="1"/>
    <col min="11818" max="11818" width="11.42578125" style="286" customWidth="1"/>
    <col min="11819" max="11819" width="11.140625" style="286" customWidth="1"/>
    <col min="11820" max="11820" width="10.42578125" style="286" customWidth="1"/>
    <col min="11821" max="11821" width="11.5703125" style="286" customWidth="1"/>
    <col min="11822" max="11823" width="11.140625" style="286" customWidth="1"/>
    <col min="11824" max="11836" width="9.85546875" style="286" customWidth="1"/>
    <col min="11837" max="11837" width="10.5703125" style="286" customWidth="1"/>
    <col min="11838" max="11838" width="12.42578125" style="286" customWidth="1"/>
    <col min="11839" max="11839" width="10.140625" style="286" customWidth="1"/>
    <col min="11840" max="11840" width="9.140625" style="286" customWidth="1"/>
    <col min="11841" max="11841" width="9" style="286" customWidth="1"/>
    <col min="11842" max="11843" width="9.7109375" style="286" customWidth="1"/>
    <col min="11844" max="11844" width="8.42578125" style="286" customWidth="1"/>
    <col min="11845" max="11845" width="11.7109375" style="286" customWidth="1"/>
    <col min="11846" max="11846" width="10.85546875" style="286" customWidth="1"/>
    <col min="11847" max="11847" width="11.7109375" style="286" customWidth="1"/>
    <col min="11848" max="11848" width="9" style="286" customWidth="1"/>
    <col min="11849" max="11849" width="11" style="286" customWidth="1"/>
    <col min="11850" max="11850" width="10.5703125" style="286" customWidth="1"/>
    <col min="11851" max="11851" width="11.7109375" style="286" customWidth="1"/>
    <col min="11852" max="11853" width="11" style="286" customWidth="1"/>
    <col min="11854" max="11856" width="11.140625" style="286" customWidth="1"/>
    <col min="11857" max="11857" width="8.7109375" style="286" customWidth="1"/>
    <col min="11858" max="11858" width="11.140625" style="286" customWidth="1"/>
    <col min="11859" max="11859" width="9.28515625" style="286"/>
    <col min="11860" max="11860" width="11.140625" style="286" customWidth="1"/>
    <col min="11861" max="11861" width="10.5703125" style="286" customWidth="1"/>
    <col min="11862" max="11862" width="12.28515625" style="286" customWidth="1"/>
    <col min="11863" max="11863" width="12" style="286" customWidth="1"/>
    <col min="11864" max="11864" width="9.85546875" style="286" customWidth="1"/>
    <col min="11865" max="11865" width="11" style="286" customWidth="1"/>
    <col min="11866" max="11866" width="12.28515625" style="286" customWidth="1"/>
    <col min="11867" max="11867" width="12" style="286" customWidth="1"/>
    <col min="11868" max="11868" width="9.85546875" style="286" customWidth="1"/>
    <col min="11869" max="11869" width="11" style="286" customWidth="1"/>
    <col min="11870" max="11870" width="12.28515625" style="286" customWidth="1"/>
    <col min="11871" max="11871" width="12" style="286" customWidth="1"/>
    <col min="11872" max="11872" width="9.85546875" style="286" customWidth="1"/>
    <col min="11873" max="11873" width="11" style="286" customWidth="1"/>
    <col min="11874" max="11874" width="12.28515625" style="286" customWidth="1"/>
    <col min="11875" max="11875" width="12" style="286" customWidth="1"/>
    <col min="11876" max="11876" width="9.85546875" style="286" customWidth="1"/>
    <col min="11877" max="11877" width="11" style="286" customWidth="1"/>
    <col min="11878" max="11878" width="12.28515625" style="286" customWidth="1"/>
    <col min="11879" max="11879" width="12" style="286" customWidth="1"/>
    <col min="11880" max="11880" width="9.85546875" style="286" customWidth="1"/>
    <col min="11881" max="11881" width="11" style="286" customWidth="1"/>
    <col min="11882" max="11882" width="12.28515625" style="286" customWidth="1"/>
    <col min="11883" max="11883" width="12" style="286" customWidth="1"/>
    <col min="11884" max="11884" width="9.85546875" style="286" customWidth="1"/>
    <col min="11885" max="11885" width="11" style="286" customWidth="1"/>
    <col min="11886" max="11886" width="12.28515625" style="286" customWidth="1"/>
    <col min="11887" max="11887" width="12" style="286" customWidth="1"/>
    <col min="11888" max="11888" width="9.85546875" style="286" customWidth="1"/>
    <col min="11889" max="11889" width="11" style="286" customWidth="1"/>
    <col min="11890" max="11890" width="12.28515625" style="286" customWidth="1"/>
    <col min="11891" max="11891" width="12" style="286" customWidth="1"/>
    <col min="11892" max="11892" width="9.85546875" style="286" customWidth="1"/>
    <col min="11893" max="11893" width="11" style="286" customWidth="1"/>
    <col min="11894" max="11894" width="12.28515625" style="286" customWidth="1"/>
    <col min="11895" max="11895" width="12" style="286" customWidth="1"/>
    <col min="11896" max="11896" width="9.85546875" style="286" customWidth="1"/>
    <col min="11897" max="11897" width="11" style="286" customWidth="1"/>
    <col min="11898" max="11898" width="12.28515625" style="286" customWidth="1"/>
    <col min="11899" max="11899" width="12" style="286" customWidth="1"/>
    <col min="11900" max="11900" width="9.85546875" style="286" customWidth="1"/>
    <col min="11901" max="11901" width="11" style="286" customWidth="1"/>
    <col min="11902" max="11902" width="12.28515625" style="286" customWidth="1"/>
    <col min="11903" max="11903" width="12" style="286" customWidth="1"/>
    <col min="11904" max="11904" width="9.85546875" style="286" customWidth="1"/>
    <col min="11905" max="11905" width="11" style="286" customWidth="1"/>
    <col min="11906" max="11906" width="12.28515625" style="286" customWidth="1"/>
    <col min="11907" max="11907" width="12" style="286" customWidth="1"/>
    <col min="11908" max="11908" width="9.85546875" style="286" customWidth="1"/>
    <col min="11909" max="11909" width="11" style="286" customWidth="1"/>
    <col min="11910" max="11910" width="12.28515625" style="286" customWidth="1"/>
    <col min="11911" max="11911" width="12" style="286" customWidth="1"/>
    <col min="11912" max="11912" width="9.85546875" style="286" customWidth="1"/>
    <col min="11913" max="11913" width="11" style="286" customWidth="1"/>
    <col min="11914" max="11914" width="12.28515625" style="286" customWidth="1"/>
    <col min="11915" max="11915" width="12" style="286" customWidth="1"/>
    <col min="11916" max="11916" width="9.85546875" style="286" customWidth="1"/>
    <col min="11917" max="11917" width="11" style="286" customWidth="1"/>
    <col min="11918" max="11918" width="12.28515625" style="286" customWidth="1"/>
    <col min="11919" max="11919" width="12" style="286" customWidth="1"/>
    <col min="11920" max="11920" width="9.85546875" style="286" customWidth="1"/>
    <col min="11921" max="11921" width="11" style="286" customWidth="1"/>
    <col min="11922" max="11922" width="12.28515625" style="286" customWidth="1"/>
    <col min="11923" max="11923" width="12" style="286" customWidth="1"/>
    <col min="11924" max="11924" width="9.85546875" style="286" customWidth="1"/>
    <col min="11925" max="11925" width="11" style="286" customWidth="1"/>
    <col min="11926" max="11926" width="12.28515625" style="286" customWidth="1"/>
    <col min="11927" max="11927" width="12" style="286" customWidth="1"/>
    <col min="11928" max="11928" width="9.85546875" style="286" customWidth="1"/>
    <col min="11929" max="11929" width="11.7109375" style="286" customWidth="1"/>
    <col min="11930" max="11930" width="10.85546875" style="286" customWidth="1"/>
    <col min="11931" max="11931" width="11.7109375" style="286" customWidth="1"/>
    <col min="11932" max="11932" width="9" style="286" customWidth="1"/>
    <col min="11933" max="11933" width="11" style="286" customWidth="1"/>
    <col min="11934" max="11934" width="12.28515625" style="286" customWidth="1"/>
    <col min="11935" max="11935" width="12" style="286" customWidth="1"/>
    <col min="11936" max="11936" width="9.85546875" style="286" customWidth="1"/>
    <col min="11937" max="11937" width="11" style="286" customWidth="1"/>
    <col min="11938" max="11938" width="12.28515625" style="286" customWidth="1"/>
    <col min="11939" max="11939" width="12" style="286" customWidth="1"/>
    <col min="11940" max="11940" width="9.85546875" style="286" customWidth="1"/>
    <col min="11941" max="11941" width="11" style="286" customWidth="1"/>
    <col min="11942" max="11942" width="12.28515625" style="286" customWidth="1"/>
    <col min="11943" max="11943" width="12" style="286" customWidth="1"/>
    <col min="11944" max="11944" width="9.85546875" style="286" customWidth="1"/>
    <col min="11945" max="11948" width="0" style="286" hidden="1" customWidth="1"/>
    <col min="11949" max="11949" width="11" style="286" customWidth="1"/>
    <col min="11950" max="11950" width="12.28515625" style="286" customWidth="1"/>
    <col min="11951" max="11951" width="12" style="286" customWidth="1"/>
    <col min="11952" max="11952" width="9.85546875" style="286" customWidth="1"/>
    <col min="11953" max="11953" width="11" style="286" customWidth="1"/>
    <col min="11954" max="11954" width="12.28515625" style="286" customWidth="1"/>
    <col min="11955" max="11955" width="12" style="286" customWidth="1"/>
    <col min="11956" max="11956" width="9.85546875" style="286" customWidth="1"/>
    <col min="11957" max="11957" width="11" style="286" customWidth="1"/>
    <col min="11958" max="11958" width="12.28515625" style="286" customWidth="1"/>
    <col min="11959" max="11959" width="12" style="286" customWidth="1"/>
    <col min="11960" max="11960" width="9.85546875" style="286" customWidth="1"/>
    <col min="11961" max="11961" width="11" style="286" customWidth="1"/>
    <col min="11962" max="11962" width="12.28515625" style="286" customWidth="1"/>
    <col min="11963" max="11963" width="12" style="286" customWidth="1"/>
    <col min="11964" max="11964" width="9.85546875" style="286" customWidth="1"/>
    <col min="11965" max="11965" width="11" style="286" customWidth="1"/>
    <col min="11966" max="11966" width="12.28515625" style="286" customWidth="1"/>
    <col min="11967" max="11967" width="12" style="286" customWidth="1"/>
    <col min="11968" max="11968" width="9.85546875" style="286" customWidth="1"/>
    <col min="11969" max="11969" width="11" style="286" customWidth="1"/>
    <col min="11970" max="11970" width="12.28515625" style="286" customWidth="1"/>
    <col min="11971" max="11971" width="12" style="286" customWidth="1"/>
    <col min="11972" max="11972" width="9.85546875" style="286" customWidth="1"/>
    <col min="11973" max="11973" width="11" style="286" customWidth="1"/>
    <col min="11974" max="11974" width="12.28515625" style="286" customWidth="1"/>
    <col min="11975" max="11975" width="12" style="286" customWidth="1"/>
    <col min="11976" max="11976" width="9.85546875" style="286" customWidth="1"/>
    <col min="11977" max="11977" width="11" style="286" customWidth="1"/>
    <col min="11978" max="11978" width="12.28515625" style="286" customWidth="1"/>
    <col min="11979" max="11979" width="12" style="286" customWidth="1"/>
    <col min="11980" max="11980" width="9.85546875" style="286" customWidth="1"/>
    <col min="11981" max="11981" width="11" style="286" customWidth="1"/>
    <col min="11982" max="11982" width="12.28515625" style="286" customWidth="1"/>
    <col min="11983" max="11983" width="12" style="286" customWidth="1"/>
    <col min="11984" max="11984" width="9.85546875" style="286" customWidth="1"/>
    <col min="11985" max="11999" width="0" style="286" hidden="1" customWidth="1"/>
    <col min="12000" max="12000" width="9.85546875" style="286" customWidth="1"/>
    <col min="12001" max="12001" width="10.42578125" style="286" customWidth="1"/>
    <col min="12002" max="12002" width="9" style="286" customWidth="1"/>
    <col min="12003" max="12003" width="11.28515625" style="286" customWidth="1"/>
    <col min="12004" max="12004" width="10.140625" style="286" customWidth="1"/>
    <col min="12005" max="12005" width="10.7109375" style="286" customWidth="1"/>
    <col min="12006" max="12006" width="9.28515625" style="286"/>
    <col min="12007" max="12008" width="9.140625" style="286" customWidth="1"/>
    <col min="12009" max="12032" width="9.28515625" style="286"/>
    <col min="12033" max="12033" width="4.28515625" style="286" customWidth="1"/>
    <col min="12034" max="12034" width="5.42578125" style="286" customWidth="1"/>
    <col min="12035" max="12035" width="41.5703125" style="286" customWidth="1"/>
    <col min="12036" max="12036" width="7.42578125" style="286" customWidth="1"/>
    <col min="12037" max="12037" width="13.140625" style="286" customWidth="1"/>
    <col min="12038" max="12038" width="11.7109375" style="286" customWidth="1"/>
    <col min="12039" max="12039" width="14.7109375" style="286" customWidth="1"/>
    <col min="12040" max="12040" width="11.7109375" style="286" customWidth="1"/>
    <col min="12041" max="12041" width="12" style="286" customWidth="1"/>
    <col min="12042" max="12042" width="9.7109375" style="286" customWidth="1"/>
    <col min="12043" max="12044" width="9.42578125" style="286" customWidth="1"/>
    <col min="12045" max="12045" width="10.7109375" style="286" customWidth="1"/>
    <col min="12046" max="12046" width="13.42578125" style="286" customWidth="1"/>
    <col min="12047" max="12047" width="12" style="286" customWidth="1"/>
    <col min="12048" max="12048" width="11" style="286" customWidth="1"/>
    <col min="12049" max="12049" width="10.5703125" style="286" customWidth="1"/>
    <col min="12050" max="12050" width="10.42578125" style="286" customWidth="1"/>
    <col min="12051" max="12051" width="10.7109375" style="286" customWidth="1"/>
    <col min="12052" max="12053" width="11.140625" style="286" customWidth="1"/>
    <col min="12054" max="12054" width="10.5703125" style="286" customWidth="1"/>
    <col min="12055" max="12055" width="10.85546875" style="286" customWidth="1"/>
    <col min="12056" max="12056" width="9.85546875" style="286" customWidth="1"/>
    <col min="12057" max="12057" width="11" style="286" customWidth="1"/>
    <col min="12058" max="12058" width="11.42578125" style="286" customWidth="1"/>
    <col min="12059" max="12059" width="12" style="286" customWidth="1"/>
    <col min="12060" max="12060" width="9.85546875" style="286" customWidth="1"/>
    <col min="12061" max="12061" width="10.5703125" style="286" customWidth="1"/>
    <col min="12062" max="12062" width="11.140625" style="286" customWidth="1"/>
    <col min="12063" max="12063" width="11.42578125" style="286" customWidth="1"/>
    <col min="12064" max="12068" width="9.85546875" style="286" customWidth="1"/>
    <col min="12069" max="12071" width="11.7109375" style="286" customWidth="1"/>
    <col min="12072" max="12072" width="9.85546875" style="286" customWidth="1"/>
    <col min="12073" max="12073" width="11" style="286" customWidth="1"/>
    <col min="12074" max="12074" width="11.42578125" style="286" customWidth="1"/>
    <col min="12075" max="12075" width="11.140625" style="286" customWidth="1"/>
    <col min="12076" max="12076" width="10.42578125" style="286" customWidth="1"/>
    <col min="12077" max="12077" width="11.5703125" style="286" customWidth="1"/>
    <col min="12078" max="12079" width="11.140625" style="286" customWidth="1"/>
    <col min="12080" max="12092" width="9.85546875" style="286" customWidth="1"/>
    <col min="12093" max="12093" width="10.5703125" style="286" customWidth="1"/>
    <col min="12094" max="12094" width="12.42578125" style="286" customWidth="1"/>
    <col min="12095" max="12095" width="10.140625" style="286" customWidth="1"/>
    <col min="12096" max="12096" width="9.140625" style="286" customWidth="1"/>
    <col min="12097" max="12097" width="9" style="286" customWidth="1"/>
    <col min="12098" max="12099" width="9.7109375" style="286" customWidth="1"/>
    <col min="12100" max="12100" width="8.42578125" style="286" customWidth="1"/>
    <col min="12101" max="12101" width="11.7109375" style="286" customWidth="1"/>
    <col min="12102" max="12102" width="10.85546875" style="286" customWidth="1"/>
    <col min="12103" max="12103" width="11.7109375" style="286" customWidth="1"/>
    <col min="12104" max="12104" width="9" style="286" customWidth="1"/>
    <col min="12105" max="12105" width="11" style="286" customWidth="1"/>
    <col min="12106" max="12106" width="10.5703125" style="286" customWidth="1"/>
    <col min="12107" max="12107" width="11.7109375" style="286" customWidth="1"/>
    <col min="12108" max="12109" width="11" style="286" customWidth="1"/>
    <col min="12110" max="12112" width="11.140625" style="286" customWidth="1"/>
    <col min="12113" max="12113" width="8.7109375" style="286" customWidth="1"/>
    <col min="12114" max="12114" width="11.140625" style="286" customWidth="1"/>
    <col min="12115" max="12115" width="9.28515625" style="286"/>
    <col min="12116" max="12116" width="11.140625" style="286" customWidth="1"/>
    <col min="12117" max="12117" width="10.5703125" style="286" customWidth="1"/>
    <col min="12118" max="12118" width="12.28515625" style="286" customWidth="1"/>
    <col min="12119" max="12119" width="12" style="286" customWidth="1"/>
    <col min="12120" max="12120" width="9.85546875" style="286" customWidth="1"/>
    <col min="12121" max="12121" width="11" style="286" customWidth="1"/>
    <col min="12122" max="12122" width="12.28515625" style="286" customWidth="1"/>
    <col min="12123" max="12123" width="12" style="286" customWidth="1"/>
    <col min="12124" max="12124" width="9.85546875" style="286" customWidth="1"/>
    <col min="12125" max="12125" width="11" style="286" customWidth="1"/>
    <col min="12126" max="12126" width="12.28515625" style="286" customWidth="1"/>
    <col min="12127" max="12127" width="12" style="286" customWidth="1"/>
    <col min="12128" max="12128" width="9.85546875" style="286" customWidth="1"/>
    <col min="12129" max="12129" width="11" style="286" customWidth="1"/>
    <col min="12130" max="12130" width="12.28515625" style="286" customWidth="1"/>
    <col min="12131" max="12131" width="12" style="286" customWidth="1"/>
    <col min="12132" max="12132" width="9.85546875" style="286" customWidth="1"/>
    <col min="12133" max="12133" width="11" style="286" customWidth="1"/>
    <col min="12134" max="12134" width="12.28515625" style="286" customWidth="1"/>
    <col min="12135" max="12135" width="12" style="286" customWidth="1"/>
    <col min="12136" max="12136" width="9.85546875" style="286" customWidth="1"/>
    <col min="12137" max="12137" width="11" style="286" customWidth="1"/>
    <col min="12138" max="12138" width="12.28515625" style="286" customWidth="1"/>
    <col min="12139" max="12139" width="12" style="286" customWidth="1"/>
    <col min="12140" max="12140" width="9.85546875" style="286" customWidth="1"/>
    <col min="12141" max="12141" width="11" style="286" customWidth="1"/>
    <col min="12142" max="12142" width="12.28515625" style="286" customWidth="1"/>
    <col min="12143" max="12143" width="12" style="286" customWidth="1"/>
    <col min="12144" max="12144" width="9.85546875" style="286" customWidth="1"/>
    <col min="12145" max="12145" width="11" style="286" customWidth="1"/>
    <col min="12146" max="12146" width="12.28515625" style="286" customWidth="1"/>
    <col min="12147" max="12147" width="12" style="286" customWidth="1"/>
    <col min="12148" max="12148" width="9.85546875" style="286" customWidth="1"/>
    <col min="12149" max="12149" width="11" style="286" customWidth="1"/>
    <col min="12150" max="12150" width="12.28515625" style="286" customWidth="1"/>
    <col min="12151" max="12151" width="12" style="286" customWidth="1"/>
    <col min="12152" max="12152" width="9.85546875" style="286" customWidth="1"/>
    <col min="12153" max="12153" width="11" style="286" customWidth="1"/>
    <col min="12154" max="12154" width="12.28515625" style="286" customWidth="1"/>
    <col min="12155" max="12155" width="12" style="286" customWidth="1"/>
    <col min="12156" max="12156" width="9.85546875" style="286" customWidth="1"/>
    <col min="12157" max="12157" width="11" style="286" customWidth="1"/>
    <col min="12158" max="12158" width="12.28515625" style="286" customWidth="1"/>
    <col min="12159" max="12159" width="12" style="286" customWidth="1"/>
    <col min="12160" max="12160" width="9.85546875" style="286" customWidth="1"/>
    <col min="12161" max="12161" width="11" style="286" customWidth="1"/>
    <col min="12162" max="12162" width="12.28515625" style="286" customWidth="1"/>
    <col min="12163" max="12163" width="12" style="286" customWidth="1"/>
    <col min="12164" max="12164" width="9.85546875" style="286" customWidth="1"/>
    <col min="12165" max="12165" width="11" style="286" customWidth="1"/>
    <col min="12166" max="12166" width="12.28515625" style="286" customWidth="1"/>
    <col min="12167" max="12167" width="12" style="286" customWidth="1"/>
    <col min="12168" max="12168" width="9.85546875" style="286" customWidth="1"/>
    <col min="12169" max="12169" width="11" style="286" customWidth="1"/>
    <col min="12170" max="12170" width="12.28515625" style="286" customWidth="1"/>
    <col min="12171" max="12171" width="12" style="286" customWidth="1"/>
    <col min="12172" max="12172" width="9.85546875" style="286" customWidth="1"/>
    <col min="12173" max="12173" width="11" style="286" customWidth="1"/>
    <col min="12174" max="12174" width="12.28515625" style="286" customWidth="1"/>
    <col min="12175" max="12175" width="12" style="286" customWidth="1"/>
    <col min="12176" max="12176" width="9.85546875" style="286" customWidth="1"/>
    <col min="12177" max="12177" width="11" style="286" customWidth="1"/>
    <col min="12178" max="12178" width="12.28515625" style="286" customWidth="1"/>
    <col min="12179" max="12179" width="12" style="286" customWidth="1"/>
    <col min="12180" max="12180" width="9.85546875" style="286" customWidth="1"/>
    <col min="12181" max="12181" width="11" style="286" customWidth="1"/>
    <col min="12182" max="12182" width="12.28515625" style="286" customWidth="1"/>
    <col min="12183" max="12183" width="12" style="286" customWidth="1"/>
    <col min="12184" max="12184" width="9.85546875" style="286" customWidth="1"/>
    <col min="12185" max="12185" width="11.7109375" style="286" customWidth="1"/>
    <col min="12186" max="12186" width="10.85546875" style="286" customWidth="1"/>
    <col min="12187" max="12187" width="11.7109375" style="286" customWidth="1"/>
    <col min="12188" max="12188" width="9" style="286" customWidth="1"/>
    <col min="12189" max="12189" width="11" style="286" customWidth="1"/>
    <col min="12190" max="12190" width="12.28515625" style="286" customWidth="1"/>
    <col min="12191" max="12191" width="12" style="286" customWidth="1"/>
    <col min="12192" max="12192" width="9.85546875" style="286" customWidth="1"/>
    <col min="12193" max="12193" width="11" style="286" customWidth="1"/>
    <col min="12194" max="12194" width="12.28515625" style="286" customWidth="1"/>
    <col min="12195" max="12195" width="12" style="286" customWidth="1"/>
    <col min="12196" max="12196" width="9.85546875" style="286" customWidth="1"/>
    <col min="12197" max="12197" width="11" style="286" customWidth="1"/>
    <col min="12198" max="12198" width="12.28515625" style="286" customWidth="1"/>
    <col min="12199" max="12199" width="12" style="286" customWidth="1"/>
    <col min="12200" max="12200" width="9.85546875" style="286" customWidth="1"/>
    <col min="12201" max="12204" width="0" style="286" hidden="1" customWidth="1"/>
    <col min="12205" max="12205" width="11" style="286" customWidth="1"/>
    <col min="12206" max="12206" width="12.28515625" style="286" customWidth="1"/>
    <col min="12207" max="12207" width="12" style="286" customWidth="1"/>
    <col min="12208" max="12208" width="9.85546875" style="286" customWidth="1"/>
    <col min="12209" max="12209" width="11" style="286" customWidth="1"/>
    <col min="12210" max="12210" width="12.28515625" style="286" customWidth="1"/>
    <col min="12211" max="12211" width="12" style="286" customWidth="1"/>
    <col min="12212" max="12212" width="9.85546875" style="286" customWidth="1"/>
    <col min="12213" max="12213" width="11" style="286" customWidth="1"/>
    <col min="12214" max="12214" width="12.28515625" style="286" customWidth="1"/>
    <col min="12215" max="12215" width="12" style="286" customWidth="1"/>
    <col min="12216" max="12216" width="9.85546875" style="286" customWidth="1"/>
    <col min="12217" max="12217" width="11" style="286" customWidth="1"/>
    <col min="12218" max="12218" width="12.28515625" style="286" customWidth="1"/>
    <col min="12219" max="12219" width="12" style="286" customWidth="1"/>
    <col min="12220" max="12220" width="9.85546875" style="286" customWidth="1"/>
    <col min="12221" max="12221" width="11" style="286" customWidth="1"/>
    <col min="12222" max="12222" width="12.28515625" style="286" customWidth="1"/>
    <col min="12223" max="12223" width="12" style="286" customWidth="1"/>
    <col min="12224" max="12224" width="9.85546875" style="286" customWidth="1"/>
    <col min="12225" max="12225" width="11" style="286" customWidth="1"/>
    <col min="12226" max="12226" width="12.28515625" style="286" customWidth="1"/>
    <col min="12227" max="12227" width="12" style="286" customWidth="1"/>
    <col min="12228" max="12228" width="9.85546875" style="286" customWidth="1"/>
    <col min="12229" max="12229" width="11" style="286" customWidth="1"/>
    <col min="12230" max="12230" width="12.28515625" style="286" customWidth="1"/>
    <col min="12231" max="12231" width="12" style="286" customWidth="1"/>
    <col min="12232" max="12232" width="9.85546875" style="286" customWidth="1"/>
    <col min="12233" max="12233" width="11" style="286" customWidth="1"/>
    <col min="12234" max="12234" width="12.28515625" style="286" customWidth="1"/>
    <col min="12235" max="12235" width="12" style="286" customWidth="1"/>
    <col min="12236" max="12236" width="9.85546875" style="286" customWidth="1"/>
    <col min="12237" max="12237" width="11" style="286" customWidth="1"/>
    <col min="12238" max="12238" width="12.28515625" style="286" customWidth="1"/>
    <col min="12239" max="12239" width="12" style="286" customWidth="1"/>
    <col min="12240" max="12240" width="9.85546875" style="286" customWidth="1"/>
    <col min="12241" max="12255" width="0" style="286" hidden="1" customWidth="1"/>
    <col min="12256" max="12256" width="9.85546875" style="286" customWidth="1"/>
    <col min="12257" max="12257" width="10.42578125" style="286" customWidth="1"/>
    <col min="12258" max="12258" width="9" style="286" customWidth="1"/>
    <col min="12259" max="12259" width="11.28515625" style="286" customWidth="1"/>
    <col min="12260" max="12260" width="10.140625" style="286" customWidth="1"/>
    <col min="12261" max="12261" width="10.7109375" style="286" customWidth="1"/>
    <col min="12262" max="12262" width="9.28515625" style="286"/>
    <col min="12263" max="12264" width="9.140625" style="286" customWidth="1"/>
    <col min="12265" max="12288" width="9.28515625" style="286"/>
    <col min="12289" max="12289" width="4.28515625" style="286" customWidth="1"/>
    <col min="12290" max="12290" width="5.42578125" style="286" customWidth="1"/>
    <col min="12291" max="12291" width="41.5703125" style="286" customWidth="1"/>
    <col min="12292" max="12292" width="7.42578125" style="286" customWidth="1"/>
    <col min="12293" max="12293" width="13.140625" style="286" customWidth="1"/>
    <col min="12294" max="12294" width="11.7109375" style="286" customWidth="1"/>
    <col min="12295" max="12295" width="14.7109375" style="286" customWidth="1"/>
    <col min="12296" max="12296" width="11.7109375" style="286" customWidth="1"/>
    <col min="12297" max="12297" width="12" style="286" customWidth="1"/>
    <col min="12298" max="12298" width="9.7109375" style="286" customWidth="1"/>
    <col min="12299" max="12300" width="9.42578125" style="286" customWidth="1"/>
    <col min="12301" max="12301" width="10.7109375" style="286" customWidth="1"/>
    <col min="12302" max="12302" width="13.42578125" style="286" customWidth="1"/>
    <col min="12303" max="12303" width="12" style="286" customWidth="1"/>
    <col min="12304" max="12304" width="11" style="286" customWidth="1"/>
    <col min="12305" max="12305" width="10.5703125" style="286" customWidth="1"/>
    <col min="12306" max="12306" width="10.42578125" style="286" customWidth="1"/>
    <col min="12307" max="12307" width="10.7109375" style="286" customWidth="1"/>
    <col min="12308" max="12309" width="11.140625" style="286" customWidth="1"/>
    <col min="12310" max="12310" width="10.5703125" style="286" customWidth="1"/>
    <col min="12311" max="12311" width="10.85546875" style="286" customWidth="1"/>
    <col min="12312" max="12312" width="9.85546875" style="286" customWidth="1"/>
    <col min="12313" max="12313" width="11" style="286" customWidth="1"/>
    <col min="12314" max="12314" width="11.42578125" style="286" customWidth="1"/>
    <col min="12315" max="12315" width="12" style="286" customWidth="1"/>
    <col min="12316" max="12316" width="9.85546875" style="286" customWidth="1"/>
    <col min="12317" max="12317" width="10.5703125" style="286" customWidth="1"/>
    <col min="12318" max="12318" width="11.140625" style="286" customWidth="1"/>
    <col min="12319" max="12319" width="11.42578125" style="286" customWidth="1"/>
    <col min="12320" max="12324" width="9.85546875" style="286" customWidth="1"/>
    <col min="12325" max="12327" width="11.7109375" style="286" customWidth="1"/>
    <col min="12328" max="12328" width="9.85546875" style="286" customWidth="1"/>
    <col min="12329" max="12329" width="11" style="286" customWidth="1"/>
    <col min="12330" max="12330" width="11.42578125" style="286" customWidth="1"/>
    <col min="12331" max="12331" width="11.140625" style="286" customWidth="1"/>
    <col min="12332" max="12332" width="10.42578125" style="286" customWidth="1"/>
    <col min="12333" max="12333" width="11.5703125" style="286" customWidth="1"/>
    <col min="12334" max="12335" width="11.140625" style="286" customWidth="1"/>
    <col min="12336" max="12348" width="9.85546875" style="286" customWidth="1"/>
    <col min="12349" max="12349" width="10.5703125" style="286" customWidth="1"/>
    <col min="12350" max="12350" width="12.42578125" style="286" customWidth="1"/>
    <col min="12351" max="12351" width="10.140625" style="286" customWidth="1"/>
    <col min="12352" max="12352" width="9.140625" style="286" customWidth="1"/>
    <col min="12353" max="12353" width="9" style="286" customWidth="1"/>
    <col min="12354" max="12355" width="9.7109375" style="286" customWidth="1"/>
    <col min="12356" max="12356" width="8.42578125" style="286" customWidth="1"/>
    <col min="12357" max="12357" width="11.7109375" style="286" customWidth="1"/>
    <col min="12358" max="12358" width="10.85546875" style="286" customWidth="1"/>
    <col min="12359" max="12359" width="11.7109375" style="286" customWidth="1"/>
    <col min="12360" max="12360" width="9" style="286" customWidth="1"/>
    <col min="12361" max="12361" width="11" style="286" customWidth="1"/>
    <col min="12362" max="12362" width="10.5703125" style="286" customWidth="1"/>
    <col min="12363" max="12363" width="11.7109375" style="286" customWidth="1"/>
    <col min="12364" max="12365" width="11" style="286" customWidth="1"/>
    <col min="12366" max="12368" width="11.140625" style="286" customWidth="1"/>
    <col min="12369" max="12369" width="8.7109375" style="286" customWidth="1"/>
    <col min="12370" max="12370" width="11.140625" style="286" customWidth="1"/>
    <col min="12371" max="12371" width="9.28515625" style="286"/>
    <col min="12372" max="12372" width="11.140625" style="286" customWidth="1"/>
    <col min="12373" max="12373" width="10.5703125" style="286" customWidth="1"/>
    <col min="12374" max="12374" width="12.28515625" style="286" customWidth="1"/>
    <col min="12375" max="12375" width="12" style="286" customWidth="1"/>
    <col min="12376" max="12376" width="9.85546875" style="286" customWidth="1"/>
    <col min="12377" max="12377" width="11" style="286" customWidth="1"/>
    <col min="12378" max="12378" width="12.28515625" style="286" customWidth="1"/>
    <col min="12379" max="12379" width="12" style="286" customWidth="1"/>
    <col min="12380" max="12380" width="9.85546875" style="286" customWidth="1"/>
    <col min="12381" max="12381" width="11" style="286" customWidth="1"/>
    <col min="12382" max="12382" width="12.28515625" style="286" customWidth="1"/>
    <col min="12383" max="12383" width="12" style="286" customWidth="1"/>
    <col min="12384" max="12384" width="9.85546875" style="286" customWidth="1"/>
    <col min="12385" max="12385" width="11" style="286" customWidth="1"/>
    <col min="12386" max="12386" width="12.28515625" style="286" customWidth="1"/>
    <col min="12387" max="12387" width="12" style="286" customWidth="1"/>
    <col min="12388" max="12388" width="9.85546875" style="286" customWidth="1"/>
    <col min="12389" max="12389" width="11" style="286" customWidth="1"/>
    <col min="12390" max="12390" width="12.28515625" style="286" customWidth="1"/>
    <col min="12391" max="12391" width="12" style="286" customWidth="1"/>
    <col min="12392" max="12392" width="9.85546875" style="286" customWidth="1"/>
    <col min="12393" max="12393" width="11" style="286" customWidth="1"/>
    <col min="12394" max="12394" width="12.28515625" style="286" customWidth="1"/>
    <col min="12395" max="12395" width="12" style="286" customWidth="1"/>
    <col min="12396" max="12396" width="9.85546875" style="286" customWidth="1"/>
    <col min="12397" max="12397" width="11" style="286" customWidth="1"/>
    <col min="12398" max="12398" width="12.28515625" style="286" customWidth="1"/>
    <col min="12399" max="12399" width="12" style="286" customWidth="1"/>
    <col min="12400" max="12400" width="9.85546875" style="286" customWidth="1"/>
    <col min="12401" max="12401" width="11" style="286" customWidth="1"/>
    <col min="12402" max="12402" width="12.28515625" style="286" customWidth="1"/>
    <col min="12403" max="12403" width="12" style="286" customWidth="1"/>
    <col min="12404" max="12404" width="9.85546875" style="286" customWidth="1"/>
    <col min="12405" max="12405" width="11" style="286" customWidth="1"/>
    <col min="12406" max="12406" width="12.28515625" style="286" customWidth="1"/>
    <col min="12407" max="12407" width="12" style="286" customWidth="1"/>
    <col min="12408" max="12408" width="9.85546875" style="286" customWidth="1"/>
    <col min="12409" max="12409" width="11" style="286" customWidth="1"/>
    <col min="12410" max="12410" width="12.28515625" style="286" customWidth="1"/>
    <col min="12411" max="12411" width="12" style="286" customWidth="1"/>
    <col min="12412" max="12412" width="9.85546875" style="286" customWidth="1"/>
    <col min="12413" max="12413" width="11" style="286" customWidth="1"/>
    <col min="12414" max="12414" width="12.28515625" style="286" customWidth="1"/>
    <col min="12415" max="12415" width="12" style="286" customWidth="1"/>
    <col min="12416" max="12416" width="9.85546875" style="286" customWidth="1"/>
    <col min="12417" max="12417" width="11" style="286" customWidth="1"/>
    <col min="12418" max="12418" width="12.28515625" style="286" customWidth="1"/>
    <col min="12419" max="12419" width="12" style="286" customWidth="1"/>
    <col min="12420" max="12420" width="9.85546875" style="286" customWidth="1"/>
    <col min="12421" max="12421" width="11" style="286" customWidth="1"/>
    <col min="12422" max="12422" width="12.28515625" style="286" customWidth="1"/>
    <col min="12423" max="12423" width="12" style="286" customWidth="1"/>
    <col min="12424" max="12424" width="9.85546875" style="286" customWidth="1"/>
    <col min="12425" max="12425" width="11" style="286" customWidth="1"/>
    <col min="12426" max="12426" width="12.28515625" style="286" customWidth="1"/>
    <col min="12427" max="12427" width="12" style="286" customWidth="1"/>
    <col min="12428" max="12428" width="9.85546875" style="286" customWidth="1"/>
    <col min="12429" max="12429" width="11" style="286" customWidth="1"/>
    <col min="12430" max="12430" width="12.28515625" style="286" customWidth="1"/>
    <col min="12431" max="12431" width="12" style="286" customWidth="1"/>
    <col min="12432" max="12432" width="9.85546875" style="286" customWidth="1"/>
    <col min="12433" max="12433" width="11" style="286" customWidth="1"/>
    <col min="12434" max="12434" width="12.28515625" style="286" customWidth="1"/>
    <col min="12435" max="12435" width="12" style="286" customWidth="1"/>
    <col min="12436" max="12436" width="9.85546875" style="286" customWidth="1"/>
    <col min="12437" max="12437" width="11" style="286" customWidth="1"/>
    <col min="12438" max="12438" width="12.28515625" style="286" customWidth="1"/>
    <col min="12439" max="12439" width="12" style="286" customWidth="1"/>
    <col min="12440" max="12440" width="9.85546875" style="286" customWidth="1"/>
    <col min="12441" max="12441" width="11.7109375" style="286" customWidth="1"/>
    <col min="12442" max="12442" width="10.85546875" style="286" customWidth="1"/>
    <col min="12443" max="12443" width="11.7109375" style="286" customWidth="1"/>
    <col min="12444" max="12444" width="9" style="286" customWidth="1"/>
    <col min="12445" max="12445" width="11" style="286" customWidth="1"/>
    <col min="12446" max="12446" width="12.28515625" style="286" customWidth="1"/>
    <col min="12447" max="12447" width="12" style="286" customWidth="1"/>
    <col min="12448" max="12448" width="9.85546875" style="286" customWidth="1"/>
    <col min="12449" max="12449" width="11" style="286" customWidth="1"/>
    <col min="12450" max="12450" width="12.28515625" style="286" customWidth="1"/>
    <col min="12451" max="12451" width="12" style="286" customWidth="1"/>
    <col min="12452" max="12452" width="9.85546875" style="286" customWidth="1"/>
    <col min="12453" max="12453" width="11" style="286" customWidth="1"/>
    <col min="12454" max="12454" width="12.28515625" style="286" customWidth="1"/>
    <col min="12455" max="12455" width="12" style="286" customWidth="1"/>
    <col min="12456" max="12456" width="9.85546875" style="286" customWidth="1"/>
    <col min="12457" max="12460" width="0" style="286" hidden="1" customWidth="1"/>
    <col min="12461" max="12461" width="11" style="286" customWidth="1"/>
    <col min="12462" max="12462" width="12.28515625" style="286" customWidth="1"/>
    <col min="12463" max="12463" width="12" style="286" customWidth="1"/>
    <col min="12464" max="12464" width="9.85546875" style="286" customWidth="1"/>
    <col min="12465" max="12465" width="11" style="286" customWidth="1"/>
    <col min="12466" max="12466" width="12.28515625" style="286" customWidth="1"/>
    <col min="12467" max="12467" width="12" style="286" customWidth="1"/>
    <col min="12468" max="12468" width="9.85546875" style="286" customWidth="1"/>
    <col min="12469" max="12469" width="11" style="286" customWidth="1"/>
    <col min="12470" max="12470" width="12.28515625" style="286" customWidth="1"/>
    <col min="12471" max="12471" width="12" style="286" customWidth="1"/>
    <col min="12472" max="12472" width="9.85546875" style="286" customWidth="1"/>
    <col min="12473" max="12473" width="11" style="286" customWidth="1"/>
    <col min="12474" max="12474" width="12.28515625" style="286" customWidth="1"/>
    <col min="12475" max="12475" width="12" style="286" customWidth="1"/>
    <col min="12476" max="12476" width="9.85546875" style="286" customWidth="1"/>
    <col min="12477" max="12477" width="11" style="286" customWidth="1"/>
    <col min="12478" max="12478" width="12.28515625" style="286" customWidth="1"/>
    <col min="12479" max="12479" width="12" style="286" customWidth="1"/>
    <col min="12480" max="12480" width="9.85546875" style="286" customWidth="1"/>
    <col min="12481" max="12481" width="11" style="286" customWidth="1"/>
    <col min="12482" max="12482" width="12.28515625" style="286" customWidth="1"/>
    <col min="12483" max="12483" width="12" style="286" customWidth="1"/>
    <col min="12484" max="12484" width="9.85546875" style="286" customWidth="1"/>
    <col min="12485" max="12485" width="11" style="286" customWidth="1"/>
    <col min="12486" max="12486" width="12.28515625" style="286" customWidth="1"/>
    <col min="12487" max="12487" width="12" style="286" customWidth="1"/>
    <col min="12488" max="12488" width="9.85546875" style="286" customWidth="1"/>
    <col min="12489" max="12489" width="11" style="286" customWidth="1"/>
    <col min="12490" max="12490" width="12.28515625" style="286" customWidth="1"/>
    <col min="12491" max="12491" width="12" style="286" customWidth="1"/>
    <col min="12492" max="12492" width="9.85546875" style="286" customWidth="1"/>
    <col min="12493" max="12493" width="11" style="286" customWidth="1"/>
    <col min="12494" max="12494" width="12.28515625" style="286" customWidth="1"/>
    <col min="12495" max="12495" width="12" style="286" customWidth="1"/>
    <col min="12496" max="12496" width="9.85546875" style="286" customWidth="1"/>
    <col min="12497" max="12511" width="0" style="286" hidden="1" customWidth="1"/>
    <col min="12512" max="12512" width="9.85546875" style="286" customWidth="1"/>
    <col min="12513" max="12513" width="10.42578125" style="286" customWidth="1"/>
    <col min="12514" max="12514" width="9" style="286" customWidth="1"/>
    <col min="12515" max="12515" width="11.28515625" style="286" customWidth="1"/>
    <col min="12516" max="12516" width="10.140625" style="286" customWidth="1"/>
    <col min="12517" max="12517" width="10.7109375" style="286" customWidth="1"/>
    <col min="12518" max="12518" width="9.28515625" style="286"/>
    <col min="12519" max="12520" width="9.140625" style="286" customWidth="1"/>
    <col min="12521" max="12544" width="9.28515625" style="286"/>
    <col min="12545" max="12545" width="4.28515625" style="286" customWidth="1"/>
    <col min="12546" max="12546" width="5.42578125" style="286" customWidth="1"/>
    <col min="12547" max="12547" width="41.5703125" style="286" customWidth="1"/>
    <col min="12548" max="12548" width="7.42578125" style="286" customWidth="1"/>
    <col min="12549" max="12549" width="13.140625" style="286" customWidth="1"/>
    <col min="12550" max="12550" width="11.7109375" style="286" customWidth="1"/>
    <col min="12551" max="12551" width="14.7109375" style="286" customWidth="1"/>
    <col min="12552" max="12552" width="11.7109375" style="286" customWidth="1"/>
    <col min="12553" max="12553" width="12" style="286" customWidth="1"/>
    <col min="12554" max="12554" width="9.7109375" style="286" customWidth="1"/>
    <col min="12555" max="12556" width="9.42578125" style="286" customWidth="1"/>
    <col min="12557" max="12557" width="10.7109375" style="286" customWidth="1"/>
    <col min="12558" max="12558" width="13.42578125" style="286" customWidth="1"/>
    <col min="12559" max="12559" width="12" style="286" customWidth="1"/>
    <col min="12560" max="12560" width="11" style="286" customWidth="1"/>
    <col min="12561" max="12561" width="10.5703125" style="286" customWidth="1"/>
    <col min="12562" max="12562" width="10.42578125" style="286" customWidth="1"/>
    <col min="12563" max="12563" width="10.7109375" style="286" customWidth="1"/>
    <col min="12564" max="12565" width="11.140625" style="286" customWidth="1"/>
    <col min="12566" max="12566" width="10.5703125" style="286" customWidth="1"/>
    <col min="12567" max="12567" width="10.85546875" style="286" customWidth="1"/>
    <col min="12568" max="12568" width="9.85546875" style="286" customWidth="1"/>
    <col min="12569" max="12569" width="11" style="286" customWidth="1"/>
    <col min="12570" max="12570" width="11.42578125" style="286" customWidth="1"/>
    <col min="12571" max="12571" width="12" style="286" customWidth="1"/>
    <col min="12572" max="12572" width="9.85546875" style="286" customWidth="1"/>
    <col min="12573" max="12573" width="10.5703125" style="286" customWidth="1"/>
    <col min="12574" max="12574" width="11.140625" style="286" customWidth="1"/>
    <col min="12575" max="12575" width="11.42578125" style="286" customWidth="1"/>
    <col min="12576" max="12580" width="9.85546875" style="286" customWidth="1"/>
    <col min="12581" max="12583" width="11.7109375" style="286" customWidth="1"/>
    <col min="12584" max="12584" width="9.85546875" style="286" customWidth="1"/>
    <col min="12585" max="12585" width="11" style="286" customWidth="1"/>
    <col min="12586" max="12586" width="11.42578125" style="286" customWidth="1"/>
    <col min="12587" max="12587" width="11.140625" style="286" customWidth="1"/>
    <col min="12588" max="12588" width="10.42578125" style="286" customWidth="1"/>
    <col min="12589" max="12589" width="11.5703125" style="286" customWidth="1"/>
    <col min="12590" max="12591" width="11.140625" style="286" customWidth="1"/>
    <col min="12592" max="12604" width="9.85546875" style="286" customWidth="1"/>
    <col min="12605" max="12605" width="10.5703125" style="286" customWidth="1"/>
    <col min="12606" max="12606" width="12.42578125" style="286" customWidth="1"/>
    <col min="12607" max="12607" width="10.140625" style="286" customWidth="1"/>
    <col min="12608" max="12608" width="9.140625" style="286" customWidth="1"/>
    <col min="12609" max="12609" width="9" style="286" customWidth="1"/>
    <col min="12610" max="12611" width="9.7109375" style="286" customWidth="1"/>
    <col min="12612" max="12612" width="8.42578125" style="286" customWidth="1"/>
    <col min="12613" max="12613" width="11.7109375" style="286" customWidth="1"/>
    <col min="12614" max="12614" width="10.85546875" style="286" customWidth="1"/>
    <col min="12615" max="12615" width="11.7109375" style="286" customWidth="1"/>
    <col min="12616" max="12616" width="9" style="286" customWidth="1"/>
    <col min="12617" max="12617" width="11" style="286" customWidth="1"/>
    <col min="12618" max="12618" width="10.5703125" style="286" customWidth="1"/>
    <col min="12619" max="12619" width="11.7109375" style="286" customWidth="1"/>
    <col min="12620" max="12621" width="11" style="286" customWidth="1"/>
    <col min="12622" max="12624" width="11.140625" style="286" customWidth="1"/>
    <col min="12625" max="12625" width="8.7109375" style="286" customWidth="1"/>
    <col min="12626" max="12626" width="11.140625" style="286" customWidth="1"/>
    <col min="12627" max="12627" width="9.28515625" style="286"/>
    <col min="12628" max="12628" width="11.140625" style="286" customWidth="1"/>
    <col min="12629" max="12629" width="10.5703125" style="286" customWidth="1"/>
    <col min="12630" max="12630" width="12.28515625" style="286" customWidth="1"/>
    <col min="12631" max="12631" width="12" style="286" customWidth="1"/>
    <col min="12632" max="12632" width="9.85546875" style="286" customWidth="1"/>
    <col min="12633" max="12633" width="11" style="286" customWidth="1"/>
    <col min="12634" max="12634" width="12.28515625" style="286" customWidth="1"/>
    <col min="12635" max="12635" width="12" style="286" customWidth="1"/>
    <col min="12636" max="12636" width="9.85546875" style="286" customWidth="1"/>
    <col min="12637" max="12637" width="11" style="286" customWidth="1"/>
    <col min="12638" max="12638" width="12.28515625" style="286" customWidth="1"/>
    <col min="12639" max="12639" width="12" style="286" customWidth="1"/>
    <col min="12640" max="12640" width="9.85546875" style="286" customWidth="1"/>
    <col min="12641" max="12641" width="11" style="286" customWidth="1"/>
    <col min="12642" max="12642" width="12.28515625" style="286" customWidth="1"/>
    <col min="12643" max="12643" width="12" style="286" customWidth="1"/>
    <col min="12644" max="12644" width="9.85546875" style="286" customWidth="1"/>
    <col min="12645" max="12645" width="11" style="286" customWidth="1"/>
    <col min="12646" max="12646" width="12.28515625" style="286" customWidth="1"/>
    <col min="12647" max="12647" width="12" style="286" customWidth="1"/>
    <col min="12648" max="12648" width="9.85546875" style="286" customWidth="1"/>
    <col min="12649" max="12649" width="11" style="286" customWidth="1"/>
    <col min="12650" max="12650" width="12.28515625" style="286" customWidth="1"/>
    <col min="12651" max="12651" width="12" style="286" customWidth="1"/>
    <col min="12652" max="12652" width="9.85546875" style="286" customWidth="1"/>
    <col min="12653" max="12653" width="11" style="286" customWidth="1"/>
    <col min="12654" max="12654" width="12.28515625" style="286" customWidth="1"/>
    <col min="12655" max="12655" width="12" style="286" customWidth="1"/>
    <col min="12656" max="12656" width="9.85546875" style="286" customWidth="1"/>
    <col min="12657" max="12657" width="11" style="286" customWidth="1"/>
    <col min="12658" max="12658" width="12.28515625" style="286" customWidth="1"/>
    <col min="12659" max="12659" width="12" style="286" customWidth="1"/>
    <col min="12660" max="12660" width="9.85546875" style="286" customWidth="1"/>
    <col min="12661" max="12661" width="11" style="286" customWidth="1"/>
    <col min="12662" max="12662" width="12.28515625" style="286" customWidth="1"/>
    <col min="12663" max="12663" width="12" style="286" customWidth="1"/>
    <col min="12664" max="12664" width="9.85546875" style="286" customWidth="1"/>
    <col min="12665" max="12665" width="11" style="286" customWidth="1"/>
    <col min="12666" max="12666" width="12.28515625" style="286" customWidth="1"/>
    <col min="12667" max="12667" width="12" style="286" customWidth="1"/>
    <col min="12668" max="12668" width="9.85546875" style="286" customWidth="1"/>
    <col min="12669" max="12669" width="11" style="286" customWidth="1"/>
    <col min="12670" max="12670" width="12.28515625" style="286" customWidth="1"/>
    <col min="12671" max="12671" width="12" style="286" customWidth="1"/>
    <col min="12672" max="12672" width="9.85546875" style="286" customWidth="1"/>
    <col min="12673" max="12673" width="11" style="286" customWidth="1"/>
    <col min="12674" max="12674" width="12.28515625" style="286" customWidth="1"/>
    <col min="12675" max="12675" width="12" style="286" customWidth="1"/>
    <col min="12676" max="12676" width="9.85546875" style="286" customWidth="1"/>
    <col min="12677" max="12677" width="11" style="286" customWidth="1"/>
    <col min="12678" max="12678" width="12.28515625" style="286" customWidth="1"/>
    <col min="12679" max="12679" width="12" style="286" customWidth="1"/>
    <col min="12680" max="12680" width="9.85546875" style="286" customWidth="1"/>
    <col min="12681" max="12681" width="11" style="286" customWidth="1"/>
    <col min="12682" max="12682" width="12.28515625" style="286" customWidth="1"/>
    <col min="12683" max="12683" width="12" style="286" customWidth="1"/>
    <col min="12684" max="12684" width="9.85546875" style="286" customWidth="1"/>
    <col min="12685" max="12685" width="11" style="286" customWidth="1"/>
    <col min="12686" max="12686" width="12.28515625" style="286" customWidth="1"/>
    <col min="12687" max="12687" width="12" style="286" customWidth="1"/>
    <col min="12688" max="12688" width="9.85546875" style="286" customWidth="1"/>
    <col min="12689" max="12689" width="11" style="286" customWidth="1"/>
    <col min="12690" max="12690" width="12.28515625" style="286" customWidth="1"/>
    <col min="12691" max="12691" width="12" style="286" customWidth="1"/>
    <col min="12692" max="12692" width="9.85546875" style="286" customWidth="1"/>
    <col min="12693" max="12693" width="11" style="286" customWidth="1"/>
    <col min="12694" max="12694" width="12.28515625" style="286" customWidth="1"/>
    <col min="12695" max="12695" width="12" style="286" customWidth="1"/>
    <col min="12696" max="12696" width="9.85546875" style="286" customWidth="1"/>
    <col min="12697" max="12697" width="11.7109375" style="286" customWidth="1"/>
    <col min="12698" max="12698" width="10.85546875" style="286" customWidth="1"/>
    <col min="12699" max="12699" width="11.7109375" style="286" customWidth="1"/>
    <col min="12700" max="12700" width="9" style="286" customWidth="1"/>
    <col min="12701" max="12701" width="11" style="286" customWidth="1"/>
    <col min="12702" max="12702" width="12.28515625" style="286" customWidth="1"/>
    <col min="12703" max="12703" width="12" style="286" customWidth="1"/>
    <col min="12704" max="12704" width="9.85546875" style="286" customWidth="1"/>
    <col min="12705" max="12705" width="11" style="286" customWidth="1"/>
    <col min="12706" max="12706" width="12.28515625" style="286" customWidth="1"/>
    <col min="12707" max="12707" width="12" style="286" customWidth="1"/>
    <col min="12708" max="12708" width="9.85546875" style="286" customWidth="1"/>
    <col min="12709" max="12709" width="11" style="286" customWidth="1"/>
    <col min="12710" max="12710" width="12.28515625" style="286" customWidth="1"/>
    <col min="12711" max="12711" width="12" style="286" customWidth="1"/>
    <col min="12712" max="12712" width="9.85546875" style="286" customWidth="1"/>
    <col min="12713" max="12716" width="0" style="286" hidden="1" customWidth="1"/>
    <col min="12717" max="12717" width="11" style="286" customWidth="1"/>
    <col min="12718" max="12718" width="12.28515625" style="286" customWidth="1"/>
    <col min="12719" max="12719" width="12" style="286" customWidth="1"/>
    <col min="12720" max="12720" width="9.85546875" style="286" customWidth="1"/>
    <col min="12721" max="12721" width="11" style="286" customWidth="1"/>
    <col min="12722" max="12722" width="12.28515625" style="286" customWidth="1"/>
    <col min="12723" max="12723" width="12" style="286" customWidth="1"/>
    <col min="12724" max="12724" width="9.85546875" style="286" customWidth="1"/>
    <col min="12725" max="12725" width="11" style="286" customWidth="1"/>
    <col min="12726" max="12726" width="12.28515625" style="286" customWidth="1"/>
    <col min="12727" max="12727" width="12" style="286" customWidth="1"/>
    <col min="12728" max="12728" width="9.85546875" style="286" customWidth="1"/>
    <col min="12729" max="12729" width="11" style="286" customWidth="1"/>
    <col min="12730" max="12730" width="12.28515625" style="286" customWidth="1"/>
    <col min="12731" max="12731" width="12" style="286" customWidth="1"/>
    <col min="12732" max="12732" width="9.85546875" style="286" customWidth="1"/>
    <col min="12733" max="12733" width="11" style="286" customWidth="1"/>
    <col min="12734" max="12734" width="12.28515625" style="286" customWidth="1"/>
    <col min="12735" max="12735" width="12" style="286" customWidth="1"/>
    <col min="12736" max="12736" width="9.85546875" style="286" customWidth="1"/>
    <col min="12737" max="12737" width="11" style="286" customWidth="1"/>
    <col min="12738" max="12738" width="12.28515625" style="286" customWidth="1"/>
    <col min="12739" max="12739" width="12" style="286" customWidth="1"/>
    <col min="12740" max="12740" width="9.85546875" style="286" customWidth="1"/>
    <col min="12741" max="12741" width="11" style="286" customWidth="1"/>
    <col min="12742" max="12742" width="12.28515625" style="286" customWidth="1"/>
    <col min="12743" max="12743" width="12" style="286" customWidth="1"/>
    <col min="12744" max="12744" width="9.85546875" style="286" customWidth="1"/>
    <col min="12745" max="12745" width="11" style="286" customWidth="1"/>
    <col min="12746" max="12746" width="12.28515625" style="286" customWidth="1"/>
    <col min="12747" max="12747" width="12" style="286" customWidth="1"/>
    <col min="12748" max="12748" width="9.85546875" style="286" customWidth="1"/>
    <col min="12749" max="12749" width="11" style="286" customWidth="1"/>
    <col min="12750" max="12750" width="12.28515625" style="286" customWidth="1"/>
    <col min="12751" max="12751" width="12" style="286" customWidth="1"/>
    <col min="12752" max="12752" width="9.85546875" style="286" customWidth="1"/>
    <col min="12753" max="12767" width="0" style="286" hidden="1" customWidth="1"/>
    <col min="12768" max="12768" width="9.85546875" style="286" customWidth="1"/>
    <col min="12769" max="12769" width="10.42578125" style="286" customWidth="1"/>
    <col min="12770" max="12770" width="9" style="286" customWidth="1"/>
    <col min="12771" max="12771" width="11.28515625" style="286" customWidth="1"/>
    <col min="12772" max="12772" width="10.140625" style="286" customWidth="1"/>
    <col min="12773" max="12773" width="10.7109375" style="286" customWidth="1"/>
    <col min="12774" max="12774" width="9.28515625" style="286"/>
    <col min="12775" max="12776" width="9.140625" style="286" customWidth="1"/>
    <col min="12777" max="12800" width="9.28515625" style="286"/>
    <col min="12801" max="12801" width="4.28515625" style="286" customWidth="1"/>
    <col min="12802" max="12802" width="5.42578125" style="286" customWidth="1"/>
    <col min="12803" max="12803" width="41.5703125" style="286" customWidth="1"/>
    <col min="12804" max="12804" width="7.42578125" style="286" customWidth="1"/>
    <col min="12805" max="12805" width="13.140625" style="286" customWidth="1"/>
    <col min="12806" max="12806" width="11.7109375" style="286" customWidth="1"/>
    <col min="12807" max="12807" width="14.7109375" style="286" customWidth="1"/>
    <col min="12808" max="12808" width="11.7109375" style="286" customWidth="1"/>
    <col min="12809" max="12809" width="12" style="286" customWidth="1"/>
    <col min="12810" max="12810" width="9.7109375" style="286" customWidth="1"/>
    <col min="12811" max="12812" width="9.42578125" style="286" customWidth="1"/>
    <col min="12813" max="12813" width="10.7109375" style="286" customWidth="1"/>
    <col min="12814" max="12814" width="13.42578125" style="286" customWidth="1"/>
    <col min="12815" max="12815" width="12" style="286" customWidth="1"/>
    <col min="12816" max="12816" width="11" style="286" customWidth="1"/>
    <col min="12817" max="12817" width="10.5703125" style="286" customWidth="1"/>
    <col min="12818" max="12818" width="10.42578125" style="286" customWidth="1"/>
    <col min="12819" max="12819" width="10.7109375" style="286" customWidth="1"/>
    <col min="12820" max="12821" width="11.140625" style="286" customWidth="1"/>
    <col min="12822" max="12822" width="10.5703125" style="286" customWidth="1"/>
    <col min="12823" max="12823" width="10.85546875" style="286" customWidth="1"/>
    <col min="12824" max="12824" width="9.85546875" style="286" customWidth="1"/>
    <col min="12825" max="12825" width="11" style="286" customWidth="1"/>
    <col min="12826" max="12826" width="11.42578125" style="286" customWidth="1"/>
    <col min="12827" max="12827" width="12" style="286" customWidth="1"/>
    <col min="12828" max="12828" width="9.85546875" style="286" customWidth="1"/>
    <col min="12829" max="12829" width="10.5703125" style="286" customWidth="1"/>
    <col min="12830" max="12830" width="11.140625" style="286" customWidth="1"/>
    <col min="12831" max="12831" width="11.42578125" style="286" customWidth="1"/>
    <col min="12832" max="12836" width="9.85546875" style="286" customWidth="1"/>
    <col min="12837" max="12839" width="11.7109375" style="286" customWidth="1"/>
    <col min="12840" max="12840" width="9.85546875" style="286" customWidth="1"/>
    <col min="12841" max="12841" width="11" style="286" customWidth="1"/>
    <col min="12842" max="12842" width="11.42578125" style="286" customWidth="1"/>
    <col min="12843" max="12843" width="11.140625" style="286" customWidth="1"/>
    <col min="12844" max="12844" width="10.42578125" style="286" customWidth="1"/>
    <col min="12845" max="12845" width="11.5703125" style="286" customWidth="1"/>
    <col min="12846" max="12847" width="11.140625" style="286" customWidth="1"/>
    <col min="12848" max="12860" width="9.85546875" style="286" customWidth="1"/>
    <col min="12861" max="12861" width="10.5703125" style="286" customWidth="1"/>
    <col min="12862" max="12862" width="12.42578125" style="286" customWidth="1"/>
    <col min="12863" max="12863" width="10.140625" style="286" customWidth="1"/>
    <col min="12864" max="12864" width="9.140625" style="286" customWidth="1"/>
    <col min="12865" max="12865" width="9" style="286" customWidth="1"/>
    <col min="12866" max="12867" width="9.7109375" style="286" customWidth="1"/>
    <col min="12868" max="12868" width="8.42578125" style="286" customWidth="1"/>
    <col min="12869" max="12869" width="11.7109375" style="286" customWidth="1"/>
    <col min="12870" max="12870" width="10.85546875" style="286" customWidth="1"/>
    <col min="12871" max="12871" width="11.7109375" style="286" customWidth="1"/>
    <col min="12872" max="12872" width="9" style="286" customWidth="1"/>
    <col min="12873" max="12873" width="11" style="286" customWidth="1"/>
    <col min="12874" max="12874" width="10.5703125" style="286" customWidth="1"/>
    <col min="12875" max="12875" width="11.7109375" style="286" customWidth="1"/>
    <col min="12876" max="12877" width="11" style="286" customWidth="1"/>
    <col min="12878" max="12880" width="11.140625" style="286" customWidth="1"/>
    <col min="12881" max="12881" width="8.7109375" style="286" customWidth="1"/>
    <col min="12882" max="12882" width="11.140625" style="286" customWidth="1"/>
    <col min="12883" max="12883" width="9.28515625" style="286"/>
    <col min="12884" max="12884" width="11.140625" style="286" customWidth="1"/>
    <col min="12885" max="12885" width="10.5703125" style="286" customWidth="1"/>
    <col min="12886" max="12886" width="12.28515625" style="286" customWidth="1"/>
    <col min="12887" max="12887" width="12" style="286" customWidth="1"/>
    <col min="12888" max="12888" width="9.85546875" style="286" customWidth="1"/>
    <col min="12889" max="12889" width="11" style="286" customWidth="1"/>
    <col min="12890" max="12890" width="12.28515625" style="286" customWidth="1"/>
    <col min="12891" max="12891" width="12" style="286" customWidth="1"/>
    <col min="12892" max="12892" width="9.85546875" style="286" customWidth="1"/>
    <col min="12893" max="12893" width="11" style="286" customWidth="1"/>
    <col min="12894" max="12894" width="12.28515625" style="286" customWidth="1"/>
    <col min="12895" max="12895" width="12" style="286" customWidth="1"/>
    <col min="12896" max="12896" width="9.85546875" style="286" customWidth="1"/>
    <col min="12897" max="12897" width="11" style="286" customWidth="1"/>
    <col min="12898" max="12898" width="12.28515625" style="286" customWidth="1"/>
    <col min="12899" max="12899" width="12" style="286" customWidth="1"/>
    <col min="12900" max="12900" width="9.85546875" style="286" customWidth="1"/>
    <col min="12901" max="12901" width="11" style="286" customWidth="1"/>
    <col min="12902" max="12902" width="12.28515625" style="286" customWidth="1"/>
    <col min="12903" max="12903" width="12" style="286" customWidth="1"/>
    <col min="12904" max="12904" width="9.85546875" style="286" customWidth="1"/>
    <col min="12905" max="12905" width="11" style="286" customWidth="1"/>
    <col min="12906" max="12906" width="12.28515625" style="286" customWidth="1"/>
    <col min="12907" max="12907" width="12" style="286" customWidth="1"/>
    <col min="12908" max="12908" width="9.85546875" style="286" customWidth="1"/>
    <col min="12909" max="12909" width="11" style="286" customWidth="1"/>
    <col min="12910" max="12910" width="12.28515625" style="286" customWidth="1"/>
    <col min="12911" max="12911" width="12" style="286" customWidth="1"/>
    <col min="12912" max="12912" width="9.85546875" style="286" customWidth="1"/>
    <col min="12913" max="12913" width="11" style="286" customWidth="1"/>
    <col min="12914" max="12914" width="12.28515625" style="286" customWidth="1"/>
    <col min="12915" max="12915" width="12" style="286" customWidth="1"/>
    <col min="12916" max="12916" width="9.85546875" style="286" customWidth="1"/>
    <col min="12917" max="12917" width="11" style="286" customWidth="1"/>
    <col min="12918" max="12918" width="12.28515625" style="286" customWidth="1"/>
    <col min="12919" max="12919" width="12" style="286" customWidth="1"/>
    <col min="12920" max="12920" width="9.85546875" style="286" customWidth="1"/>
    <col min="12921" max="12921" width="11" style="286" customWidth="1"/>
    <col min="12922" max="12922" width="12.28515625" style="286" customWidth="1"/>
    <col min="12923" max="12923" width="12" style="286" customWidth="1"/>
    <col min="12924" max="12924" width="9.85546875" style="286" customWidth="1"/>
    <col min="12925" max="12925" width="11" style="286" customWidth="1"/>
    <col min="12926" max="12926" width="12.28515625" style="286" customWidth="1"/>
    <col min="12927" max="12927" width="12" style="286" customWidth="1"/>
    <col min="12928" max="12928" width="9.85546875" style="286" customWidth="1"/>
    <col min="12929" max="12929" width="11" style="286" customWidth="1"/>
    <col min="12930" max="12930" width="12.28515625" style="286" customWidth="1"/>
    <col min="12931" max="12931" width="12" style="286" customWidth="1"/>
    <col min="12932" max="12932" width="9.85546875" style="286" customWidth="1"/>
    <col min="12933" max="12933" width="11" style="286" customWidth="1"/>
    <col min="12934" max="12934" width="12.28515625" style="286" customWidth="1"/>
    <col min="12935" max="12935" width="12" style="286" customWidth="1"/>
    <col min="12936" max="12936" width="9.85546875" style="286" customWidth="1"/>
    <col min="12937" max="12937" width="11" style="286" customWidth="1"/>
    <col min="12938" max="12938" width="12.28515625" style="286" customWidth="1"/>
    <col min="12939" max="12939" width="12" style="286" customWidth="1"/>
    <col min="12940" max="12940" width="9.85546875" style="286" customWidth="1"/>
    <col min="12941" max="12941" width="11" style="286" customWidth="1"/>
    <col min="12942" max="12942" width="12.28515625" style="286" customWidth="1"/>
    <col min="12943" max="12943" width="12" style="286" customWidth="1"/>
    <col min="12944" max="12944" width="9.85546875" style="286" customWidth="1"/>
    <col min="12945" max="12945" width="11" style="286" customWidth="1"/>
    <col min="12946" max="12946" width="12.28515625" style="286" customWidth="1"/>
    <col min="12947" max="12947" width="12" style="286" customWidth="1"/>
    <col min="12948" max="12948" width="9.85546875" style="286" customWidth="1"/>
    <col min="12949" max="12949" width="11" style="286" customWidth="1"/>
    <col min="12950" max="12950" width="12.28515625" style="286" customWidth="1"/>
    <col min="12951" max="12951" width="12" style="286" customWidth="1"/>
    <col min="12952" max="12952" width="9.85546875" style="286" customWidth="1"/>
    <col min="12953" max="12953" width="11.7109375" style="286" customWidth="1"/>
    <col min="12954" max="12954" width="10.85546875" style="286" customWidth="1"/>
    <col min="12955" max="12955" width="11.7109375" style="286" customWidth="1"/>
    <col min="12956" max="12956" width="9" style="286" customWidth="1"/>
    <col min="12957" max="12957" width="11" style="286" customWidth="1"/>
    <col min="12958" max="12958" width="12.28515625" style="286" customWidth="1"/>
    <col min="12959" max="12959" width="12" style="286" customWidth="1"/>
    <col min="12960" max="12960" width="9.85546875" style="286" customWidth="1"/>
    <col min="12961" max="12961" width="11" style="286" customWidth="1"/>
    <col min="12962" max="12962" width="12.28515625" style="286" customWidth="1"/>
    <col min="12963" max="12963" width="12" style="286" customWidth="1"/>
    <col min="12964" max="12964" width="9.85546875" style="286" customWidth="1"/>
    <col min="12965" max="12965" width="11" style="286" customWidth="1"/>
    <col min="12966" max="12966" width="12.28515625" style="286" customWidth="1"/>
    <col min="12967" max="12967" width="12" style="286" customWidth="1"/>
    <col min="12968" max="12968" width="9.85546875" style="286" customWidth="1"/>
    <col min="12969" max="12972" width="0" style="286" hidden="1" customWidth="1"/>
    <col min="12973" max="12973" width="11" style="286" customWidth="1"/>
    <col min="12974" max="12974" width="12.28515625" style="286" customWidth="1"/>
    <col min="12975" max="12975" width="12" style="286" customWidth="1"/>
    <col min="12976" max="12976" width="9.85546875" style="286" customWidth="1"/>
    <col min="12977" max="12977" width="11" style="286" customWidth="1"/>
    <col min="12978" max="12978" width="12.28515625" style="286" customWidth="1"/>
    <col min="12979" max="12979" width="12" style="286" customWidth="1"/>
    <col min="12980" max="12980" width="9.85546875" style="286" customWidth="1"/>
    <col min="12981" max="12981" width="11" style="286" customWidth="1"/>
    <col min="12982" max="12982" width="12.28515625" style="286" customWidth="1"/>
    <col min="12983" max="12983" width="12" style="286" customWidth="1"/>
    <col min="12984" max="12984" width="9.85546875" style="286" customWidth="1"/>
    <col min="12985" max="12985" width="11" style="286" customWidth="1"/>
    <col min="12986" max="12986" width="12.28515625" style="286" customWidth="1"/>
    <col min="12987" max="12987" width="12" style="286" customWidth="1"/>
    <col min="12988" max="12988" width="9.85546875" style="286" customWidth="1"/>
    <col min="12989" max="12989" width="11" style="286" customWidth="1"/>
    <col min="12990" max="12990" width="12.28515625" style="286" customWidth="1"/>
    <col min="12991" max="12991" width="12" style="286" customWidth="1"/>
    <col min="12992" max="12992" width="9.85546875" style="286" customWidth="1"/>
    <col min="12993" max="12993" width="11" style="286" customWidth="1"/>
    <col min="12994" max="12994" width="12.28515625" style="286" customWidth="1"/>
    <col min="12995" max="12995" width="12" style="286" customWidth="1"/>
    <col min="12996" max="12996" width="9.85546875" style="286" customWidth="1"/>
    <col min="12997" max="12997" width="11" style="286" customWidth="1"/>
    <col min="12998" max="12998" width="12.28515625" style="286" customWidth="1"/>
    <col min="12999" max="12999" width="12" style="286" customWidth="1"/>
    <col min="13000" max="13000" width="9.85546875" style="286" customWidth="1"/>
    <col min="13001" max="13001" width="11" style="286" customWidth="1"/>
    <col min="13002" max="13002" width="12.28515625" style="286" customWidth="1"/>
    <col min="13003" max="13003" width="12" style="286" customWidth="1"/>
    <col min="13004" max="13004" width="9.85546875" style="286" customWidth="1"/>
    <col min="13005" max="13005" width="11" style="286" customWidth="1"/>
    <col min="13006" max="13006" width="12.28515625" style="286" customWidth="1"/>
    <col min="13007" max="13007" width="12" style="286" customWidth="1"/>
    <col min="13008" max="13008" width="9.85546875" style="286" customWidth="1"/>
    <col min="13009" max="13023" width="0" style="286" hidden="1" customWidth="1"/>
    <col min="13024" max="13024" width="9.85546875" style="286" customWidth="1"/>
    <col min="13025" max="13025" width="10.42578125" style="286" customWidth="1"/>
    <col min="13026" max="13026" width="9" style="286" customWidth="1"/>
    <col min="13027" max="13027" width="11.28515625" style="286" customWidth="1"/>
    <col min="13028" max="13028" width="10.140625" style="286" customWidth="1"/>
    <col min="13029" max="13029" width="10.7109375" style="286" customWidth="1"/>
    <col min="13030" max="13030" width="9.28515625" style="286"/>
    <col min="13031" max="13032" width="9.140625" style="286" customWidth="1"/>
    <col min="13033" max="13056" width="9.28515625" style="286"/>
    <col min="13057" max="13057" width="4.28515625" style="286" customWidth="1"/>
    <col min="13058" max="13058" width="5.42578125" style="286" customWidth="1"/>
    <col min="13059" max="13059" width="41.5703125" style="286" customWidth="1"/>
    <col min="13060" max="13060" width="7.42578125" style="286" customWidth="1"/>
    <col min="13061" max="13061" width="13.140625" style="286" customWidth="1"/>
    <col min="13062" max="13062" width="11.7109375" style="286" customWidth="1"/>
    <col min="13063" max="13063" width="14.7109375" style="286" customWidth="1"/>
    <col min="13064" max="13064" width="11.7109375" style="286" customWidth="1"/>
    <col min="13065" max="13065" width="12" style="286" customWidth="1"/>
    <col min="13066" max="13066" width="9.7109375" style="286" customWidth="1"/>
    <col min="13067" max="13068" width="9.42578125" style="286" customWidth="1"/>
    <col min="13069" max="13069" width="10.7109375" style="286" customWidth="1"/>
    <col min="13070" max="13070" width="13.42578125" style="286" customWidth="1"/>
    <col min="13071" max="13071" width="12" style="286" customWidth="1"/>
    <col min="13072" max="13072" width="11" style="286" customWidth="1"/>
    <col min="13073" max="13073" width="10.5703125" style="286" customWidth="1"/>
    <col min="13074" max="13074" width="10.42578125" style="286" customWidth="1"/>
    <col min="13075" max="13075" width="10.7109375" style="286" customWidth="1"/>
    <col min="13076" max="13077" width="11.140625" style="286" customWidth="1"/>
    <col min="13078" max="13078" width="10.5703125" style="286" customWidth="1"/>
    <col min="13079" max="13079" width="10.85546875" style="286" customWidth="1"/>
    <col min="13080" max="13080" width="9.85546875" style="286" customWidth="1"/>
    <col min="13081" max="13081" width="11" style="286" customWidth="1"/>
    <col min="13082" max="13082" width="11.42578125" style="286" customWidth="1"/>
    <col min="13083" max="13083" width="12" style="286" customWidth="1"/>
    <col min="13084" max="13084" width="9.85546875" style="286" customWidth="1"/>
    <col min="13085" max="13085" width="10.5703125" style="286" customWidth="1"/>
    <col min="13086" max="13086" width="11.140625" style="286" customWidth="1"/>
    <col min="13087" max="13087" width="11.42578125" style="286" customWidth="1"/>
    <col min="13088" max="13092" width="9.85546875" style="286" customWidth="1"/>
    <col min="13093" max="13095" width="11.7109375" style="286" customWidth="1"/>
    <col min="13096" max="13096" width="9.85546875" style="286" customWidth="1"/>
    <col min="13097" max="13097" width="11" style="286" customWidth="1"/>
    <col min="13098" max="13098" width="11.42578125" style="286" customWidth="1"/>
    <col min="13099" max="13099" width="11.140625" style="286" customWidth="1"/>
    <col min="13100" max="13100" width="10.42578125" style="286" customWidth="1"/>
    <col min="13101" max="13101" width="11.5703125" style="286" customWidth="1"/>
    <col min="13102" max="13103" width="11.140625" style="286" customWidth="1"/>
    <col min="13104" max="13116" width="9.85546875" style="286" customWidth="1"/>
    <col min="13117" max="13117" width="10.5703125" style="286" customWidth="1"/>
    <col min="13118" max="13118" width="12.42578125" style="286" customWidth="1"/>
    <col min="13119" max="13119" width="10.140625" style="286" customWidth="1"/>
    <col min="13120" max="13120" width="9.140625" style="286" customWidth="1"/>
    <col min="13121" max="13121" width="9" style="286" customWidth="1"/>
    <col min="13122" max="13123" width="9.7109375" style="286" customWidth="1"/>
    <col min="13124" max="13124" width="8.42578125" style="286" customWidth="1"/>
    <col min="13125" max="13125" width="11.7109375" style="286" customWidth="1"/>
    <col min="13126" max="13126" width="10.85546875" style="286" customWidth="1"/>
    <col min="13127" max="13127" width="11.7109375" style="286" customWidth="1"/>
    <col min="13128" max="13128" width="9" style="286" customWidth="1"/>
    <col min="13129" max="13129" width="11" style="286" customWidth="1"/>
    <col min="13130" max="13130" width="10.5703125" style="286" customWidth="1"/>
    <col min="13131" max="13131" width="11.7109375" style="286" customWidth="1"/>
    <col min="13132" max="13133" width="11" style="286" customWidth="1"/>
    <col min="13134" max="13136" width="11.140625" style="286" customWidth="1"/>
    <col min="13137" max="13137" width="8.7109375" style="286" customWidth="1"/>
    <col min="13138" max="13138" width="11.140625" style="286" customWidth="1"/>
    <col min="13139" max="13139" width="9.28515625" style="286"/>
    <col min="13140" max="13140" width="11.140625" style="286" customWidth="1"/>
    <col min="13141" max="13141" width="10.5703125" style="286" customWidth="1"/>
    <col min="13142" max="13142" width="12.28515625" style="286" customWidth="1"/>
    <col min="13143" max="13143" width="12" style="286" customWidth="1"/>
    <col min="13144" max="13144" width="9.85546875" style="286" customWidth="1"/>
    <col min="13145" max="13145" width="11" style="286" customWidth="1"/>
    <col min="13146" max="13146" width="12.28515625" style="286" customWidth="1"/>
    <col min="13147" max="13147" width="12" style="286" customWidth="1"/>
    <col min="13148" max="13148" width="9.85546875" style="286" customWidth="1"/>
    <col min="13149" max="13149" width="11" style="286" customWidth="1"/>
    <col min="13150" max="13150" width="12.28515625" style="286" customWidth="1"/>
    <col min="13151" max="13151" width="12" style="286" customWidth="1"/>
    <col min="13152" max="13152" width="9.85546875" style="286" customWidth="1"/>
    <col min="13153" max="13153" width="11" style="286" customWidth="1"/>
    <col min="13154" max="13154" width="12.28515625" style="286" customWidth="1"/>
    <col min="13155" max="13155" width="12" style="286" customWidth="1"/>
    <col min="13156" max="13156" width="9.85546875" style="286" customWidth="1"/>
    <col min="13157" max="13157" width="11" style="286" customWidth="1"/>
    <col min="13158" max="13158" width="12.28515625" style="286" customWidth="1"/>
    <col min="13159" max="13159" width="12" style="286" customWidth="1"/>
    <col min="13160" max="13160" width="9.85546875" style="286" customWidth="1"/>
    <col min="13161" max="13161" width="11" style="286" customWidth="1"/>
    <col min="13162" max="13162" width="12.28515625" style="286" customWidth="1"/>
    <col min="13163" max="13163" width="12" style="286" customWidth="1"/>
    <col min="13164" max="13164" width="9.85546875" style="286" customWidth="1"/>
    <col min="13165" max="13165" width="11" style="286" customWidth="1"/>
    <col min="13166" max="13166" width="12.28515625" style="286" customWidth="1"/>
    <col min="13167" max="13167" width="12" style="286" customWidth="1"/>
    <col min="13168" max="13168" width="9.85546875" style="286" customWidth="1"/>
    <col min="13169" max="13169" width="11" style="286" customWidth="1"/>
    <col min="13170" max="13170" width="12.28515625" style="286" customWidth="1"/>
    <col min="13171" max="13171" width="12" style="286" customWidth="1"/>
    <col min="13172" max="13172" width="9.85546875" style="286" customWidth="1"/>
    <col min="13173" max="13173" width="11" style="286" customWidth="1"/>
    <col min="13174" max="13174" width="12.28515625" style="286" customWidth="1"/>
    <col min="13175" max="13175" width="12" style="286" customWidth="1"/>
    <col min="13176" max="13176" width="9.85546875" style="286" customWidth="1"/>
    <col min="13177" max="13177" width="11" style="286" customWidth="1"/>
    <col min="13178" max="13178" width="12.28515625" style="286" customWidth="1"/>
    <col min="13179" max="13179" width="12" style="286" customWidth="1"/>
    <col min="13180" max="13180" width="9.85546875" style="286" customWidth="1"/>
    <col min="13181" max="13181" width="11" style="286" customWidth="1"/>
    <col min="13182" max="13182" width="12.28515625" style="286" customWidth="1"/>
    <col min="13183" max="13183" width="12" style="286" customWidth="1"/>
    <col min="13184" max="13184" width="9.85546875" style="286" customWidth="1"/>
    <col min="13185" max="13185" width="11" style="286" customWidth="1"/>
    <col min="13186" max="13186" width="12.28515625" style="286" customWidth="1"/>
    <col min="13187" max="13187" width="12" style="286" customWidth="1"/>
    <col min="13188" max="13188" width="9.85546875" style="286" customWidth="1"/>
    <col min="13189" max="13189" width="11" style="286" customWidth="1"/>
    <col min="13190" max="13190" width="12.28515625" style="286" customWidth="1"/>
    <col min="13191" max="13191" width="12" style="286" customWidth="1"/>
    <col min="13192" max="13192" width="9.85546875" style="286" customWidth="1"/>
    <col min="13193" max="13193" width="11" style="286" customWidth="1"/>
    <col min="13194" max="13194" width="12.28515625" style="286" customWidth="1"/>
    <col min="13195" max="13195" width="12" style="286" customWidth="1"/>
    <col min="13196" max="13196" width="9.85546875" style="286" customWidth="1"/>
    <col min="13197" max="13197" width="11" style="286" customWidth="1"/>
    <col min="13198" max="13198" width="12.28515625" style="286" customWidth="1"/>
    <col min="13199" max="13199" width="12" style="286" customWidth="1"/>
    <col min="13200" max="13200" width="9.85546875" style="286" customWidth="1"/>
    <col min="13201" max="13201" width="11" style="286" customWidth="1"/>
    <col min="13202" max="13202" width="12.28515625" style="286" customWidth="1"/>
    <col min="13203" max="13203" width="12" style="286" customWidth="1"/>
    <col min="13204" max="13204" width="9.85546875" style="286" customWidth="1"/>
    <col min="13205" max="13205" width="11" style="286" customWidth="1"/>
    <col min="13206" max="13206" width="12.28515625" style="286" customWidth="1"/>
    <col min="13207" max="13207" width="12" style="286" customWidth="1"/>
    <col min="13208" max="13208" width="9.85546875" style="286" customWidth="1"/>
    <col min="13209" max="13209" width="11.7109375" style="286" customWidth="1"/>
    <col min="13210" max="13210" width="10.85546875" style="286" customWidth="1"/>
    <col min="13211" max="13211" width="11.7109375" style="286" customWidth="1"/>
    <col min="13212" max="13212" width="9" style="286" customWidth="1"/>
    <col min="13213" max="13213" width="11" style="286" customWidth="1"/>
    <col min="13214" max="13214" width="12.28515625" style="286" customWidth="1"/>
    <col min="13215" max="13215" width="12" style="286" customWidth="1"/>
    <col min="13216" max="13216" width="9.85546875" style="286" customWidth="1"/>
    <col min="13217" max="13217" width="11" style="286" customWidth="1"/>
    <col min="13218" max="13218" width="12.28515625" style="286" customWidth="1"/>
    <col min="13219" max="13219" width="12" style="286" customWidth="1"/>
    <col min="13220" max="13220" width="9.85546875" style="286" customWidth="1"/>
    <col min="13221" max="13221" width="11" style="286" customWidth="1"/>
    <col min="13222" max="13222" width="12.28515625" style="286" customWidth="1"/>
    <col min="13223" max="13223" width="12" style="286" customWidth="1"/>
    <col min="13224" max="13224" width="9.85546875" style="286" customWidth="1"/>
    <col min="13225" max="13228" width="0" style="286" hidden="1" customWidth="1"/>
    <col min="13229" max="13229" width="11" style="286" customWidth="1"/>
    <col min="13230" max="13230" width="12.28515625" style="286" customWidth="1"/>
    <col min="13231" max="13231" width="12" style="286" customWidth="1"/>
    <col min="13232" max="13232" width="9.85546875" style="286" customWidth="1"/>
    <col min="13233" max="13233" width="11" style="286" customWidth="1"/>
    <col min="13234" max="13234" width="12.28515625" style="286" customWidth="1"/>
    <col min="13235" max="13235" width="12" style="286" customWidth="1"/>
    <col min="13236" max="13236" width="9.85546875" style="286" customWidth="1"/>
    <col min="13237" max="13237" width="11" style="286" customWidth="1"/>
    <col min="13238" max="13238" width="12.28515625" style="286" customWidth="1"/>
    <col min="13239" max="13239" width="12" style="286" customWidth="1"/>
    <col min="13240" max="13240" width="9.85546875" style="286" customWidth="1"/>
    <col min="13241" max="13241" width="11" style="286" customWidth="1"/>
    <col min="13242" max="13242" width="12.28515625" style="286" customWidth="1"/>
    <col min="13243" max="13243" width="12" style="286" customWidth="1"/>
    <col min="13244" max="13244" width="9.85546875" style="286" customWidth="1"/>
    <col min="13245" max="13245" width="11" style="286" customWidth="1"/>
    <col min="13246" max="13246" width="12.28515625" style="286" customWidth="1"/>
    <col min="13247" max="13247" width="12" style="286" customWidth="1"/>
    <col min="13248" max="13248" width="9.85546875" style="286" customWidth="1"/>
    <col min="13249" max="13249" width="11" style="286" customWidth="1"/>
    <col min="13250" max="13250" width="12.28515625" style="286" customWidth="1"/>
    <col min="13251" max="13251" width="12" style="286" customWidth="1"/>
    <col min="13252" max="13252" width="9.85546875" style="286" customWidth="1"/>
    <col min="13253" max="13253" width="11" style="286" customWidth="1"/>
    <col min="13254" max="13254" width="12.28515625" style="286" customWidth="1"/>
    <col min="13255" max="13255" width="12" style="286" customWidth="1"/>
    <col min="13256" max="13256" width="9.85546875" style="286" customWidth="1"/>
    <col min="13257" max="13257" width="11" style="286" customWidth="1"/>
    <col min="13258" max="13258" width="12.28515625" style="286" customWidth="1"/>
    <col min="13259" max="13259" width="12" style="286" customWidth="1"/>
    <col min="13260" max="13260" width="9.85546875" style="286" customWidth="1"/>
    <col min="13261" max="13261" width="11" style="286" customWidth="1"/>
    <col min="13262" max="13262" width="12.28515625" style="286" customWidth="1"/>
    <col min="13263" max="13263" width="12" style="286" customWidth="1"/>
    <col min="13264" max="13264" width="9.85546875" style="286" customWidth="1"/>
    <col min="13265" max="13279" width="0" style="286" hidden="1" customWidth="1"/>
    <col min="13280" max="13280" width="9.85546875" style="286" customWidth="1"/>
    <col min="13281" max="13281" width="10.42578125" style="286" customWidth="1"/>
    <col min="13282" max="13282" width="9" style="286" customWidth="1"/>
    <col min="13283" max="13283" width="11.28515625" style="286" customWidth="1"/>
    <col min="13284" max="13284" width="10.140625" style="286" customWidth="1"/>
    <col min="13285" max="13285" width="10.7109375" style="286" customWidth="1"/>
    <col min="13286" max="13286" width="9.28515625" style="286"/>
    <col min="13287" max="13288" width="9.140625" style="286" customWidth="1"/>
    <col min="13289" max="13312" width="9.28515625" style="286"/>
    <col min="13313" max="13313" width="4.28515625" style="286" customWidth="1"/>
    <col min="13314" max="13314" width="5.42578125" style="286" customWidth="1"/>
    <col min="13315" max="13315" width="41.5703125" style="286" customWidth="1"/>
    <col min="13316" max="13316" width="7.42578125" style="286" customWidth="1"/>
    <col min="13317" max="13317" width="13.140625" style="286" customWidth="1"/>
    <col min="13318" max="13318" width="11.7109375" style="286" customWidth="1"/>
    <col min="13319" max="13319" width="14.7109375" style="286" customWidth="1"/>
    <col min="13320" max="13320" width="11.7109375" style="286" customWidth="1"/>
    <col min="13321" max="13321" width="12" style="286" customWidth="1"/>
    <col min="13322" max="13322" width="9.7109375" style="286" customWidth="1"/>
    <col min="13323" max="13324" width="9.42578125" style="286" customWidth="1"/>
    <col min="13325" max="13325" width="10.7109375" style="286" customWidth="1"/>
    <col min="13326" max="13326" width="13.42578125" style="286" customWidth="1"/>
    <col min="13327" max="13327" width="12" style="286" customWidth="1"/>
    <col min="13328" max="13328" width="11" style="286" customWidth="1"/>
    <col min="13329" max="13329" width="10.5703125" style="286" customWidth="1"/>
    <col min="13330" max="13330" width="10.42578125" style="286" customWidth="1"/>
    <col min="13331" max="13331" width="10.7109375" style="286" customWidth="1"/>
    <col min="13332" max="13333" width="11.140625" style="286" customWidth="1"/>
    <col min="13334" max="13334" width="10.5703125" style="286" customWidth="1"/>
    <col min="13335" max="13335" width="10.85546875" style="286" customWidth="1"/>
    <col min="13336" max="13336" width="9.85546875" style="286" customWidth="1"/>
    <col min="13337" max="13337" width="11" style="286" customWidth="1"/>
    <col min="13338" max="13338" width="11.42578125" style="286" customWidth="1"/>
    <col min="13339" max="13339" width="12" style="286" customWidth="1"/>
    <col min="13340" max="13340" width="9.85546875" style="286" customWidth="1"/>
    <col min="13341" max="13341" width="10.5703125" style="286" customWidth="1"/>
    <col min="13342" max="13342" width="11.140625" style="286" customWidth="1"/>
    <col min="13343" max="13343" width="11.42578125" style="286" customWidth="1"/>
    <col min="13344" max="13348" width="9.85546875" style="286" customWidth="1"/>
    <col min="13349" max="13351" width="11.7109375" style="286" customWidth="1"/>
    <col min="13352" max="13352" width="9.85546875" style="286" customWidth="1"/>
    <col min="13353" max="13353" width="11" style="286" customWidth="1"/>
    <col min="13354" max="13354" width="11.42578125" style="286" customWidth="1"/>
    <col min="13355" max="13355" width="11.140625" style="286" customWidth="1"/>
    <col min="13356" max="13356" width="10.42578125" style="286" customWidth="1"/>
    <col min="13357" max="13357" width="11.5703125" style="286" customWidth="1"/>
    <col min="13358" max="13359" width="11.140625" style="286" customWidth="1"/>
    <col min="13360" max="13372" width="9.85546875" style="286" customWidth="1"/>
    <col min="13373" max="13373" width="10.5703125" style="286" customWidth="1"/>
    <col min="13374" max="13374" width="12.42578125" style="286" customWidth="1"/>
    <col min="13375" max="13375" width="10.140625" style="286" customWidth="1"/>
    <col min="13376" max="13376" width="9.140625" style="286" customWidth="1"/>
    <col min="13377" max="13377" width="9" style="286" customWidth="1"/>
    <col min="13378" max="13379" width="9.7109375" style="286" customWidth="1"/>
    <col min="13380" max="13380" width="8.42578125" style="286" customWidth="1"/>
    <col min="13381" max="13381" width="11.7109375" style="286" customWidth="1"/>
    <col min="13382" max="13382" width="10.85546875" style="286" customWidth="1"/>
    <col min="13383" max="13383" width="11.7109375" style="286" customWidth="1"/>
    <col min="13384" max="13384" width="9" style="286" customWidth="1"/>
    <col min="13385" max="13385" width="11" style="286" customWidth="1"/>
    <col min="13386" max="13386" width="10.5703125" style="286" customWidth="1"/>
    <col min="13387" max="13387" width="11.7109375" style="286" customWidth="1"/>
    <col min="13388" max="13389" width="11" style="286" customWidth="1"/>
    <col min="13390" max="13392" width="11.140625" style="286" customWidth="1"/>
    <col min="13393" max="13393" width="8.7109375" style="286" customWidth="1"/>
    <col min="13394" max="13394" width="11.140625" style="286" customWidth="1"/>
    <col min="13395" max="13395" width="9.28515625" style="286"/>
    <col min="13396" max="13396" width="11.140625" style="286" customWidth="1"/>
    <col min="13397" max="13397" width="10.5703125" style="286" customWidth="1"/>
    <col min="13398" max="13398" width="12.28515625" style="286" customWidth="1"/>
    <col min="13399" max="13399" width="12" style="286" customWidth="1"/>
    <col min="13400" max="13400" width="9.85546875" style="286" customWidth="1"/>
    <col min="13401" max="13401" width="11" style="286" customWidth="1"/>
    <col min="13402" max="13402" width="12.28515625" style="286" customWidth="1"/>
    <col min="13403" max="13403" width="12" style="286" customWidth="1"/>
    <col min="13404" max="13404" width="9.85546875" style="286" customWidth="1"/>
    <col min="13405" max="13405" width="11" style="286" customWidth="1"/>
    <col min="13406" max="13406" width="12.28515625" style="286" customWidth="1"/>
    <col min="13407" max="13407" width="12" style="286" customWidth="1"/>
    <col min="13408" max="13408" width="9.85546875" style="286" customWidth="1"/>
    <col min="13409" max="13409" width="11" style="286" customWidth="1"/>
    <col min="13410" max="13410" width="12.28515625" style="286" customWidth="1"/>
    <col min="13411" max="13411" width="12" style="286" customWidth="1"/>
    <col min="13412" max="13412" width="9.85546875" style="286" customWidth="1"/>
    <col min="13413" max="13413" width="11" style="286" customWidth="1"/>
    <col min="13414" max="13414" width="12.28515625" style="286" customWidth="1"/>
    <col min="13415" max="13415" width="12" style="286" customWidth="1"/>
    <col min="13416" max="13416" width="9.85546875" style="286" customWidth="1"/>
    <col min="13417" max="13417" width="11" style="286" customWidth="1"/>
    <col min="13418" max="13418" width="12.28515625" style="286" customWidth="1"/>
    <col min="13419" max="13419" width="12" style="286" customWidth="1"/>
    <col min="13420" max="13420" width="9.85546875" style="286" customWidth="1"/>
    <col min="13421" max="13421" width="11" style="286" customWidth="1"/>
    <col min="13422" max="13422" width="12.28515625" style="286" customWidth="1"/>
    <col min="13423" max="13423" width="12" style="286" customWidth="1"/>
    <col min="13424" max="13424" width="9.85546875" style="286" customWidth="1"/>
    <col min="13425" max="13425" width="11" style="286" customWidth="1"/>
    <col min="13426" max="13426" width="12.28515625" style="286" customWidth="1"/>
    <col min="13427" max="13427" width="12" style="286" customWidth="1"/>
    <col min="13428" max="13428" width="9.85546875" style="286" customWidth="1"/>
    <col min="13429" max="13429" width="11" style="286" customWidth="1"/>
    <col min="13430" max="13430" width="12.28515625" style="286" customWidth="1"/>
    <col min="13431" max="13431" width="12" style="286" customWidth="1"/>
    <col min="13432" max="13432" width="9.85546875" style="286" customWidth="1"/>
    <col min="13433" max="13433" width="11" style="286" customWidth="1"/>
    <col min="13434" max="13434" width="12.28515625" style="286" customWidth="1"/>
    <col min="13435" max="13435" width="12" style="286" customWidth="1"/>
    <col min="13436" max="13436" width="9.85546875" style="286" customWidth="1"/>
    <col min="13437" max="13437" width="11" style="286" customWidth="1"/>
    <col min="13438" max="13438" width="12.28515625" style="286" customWidth="1"/>
    <col min="13439" max="13439" width="12" style="286" customWidth="1"/>
    <col min="13440" max="13440" width="9.85546875" style="286" customWidth="1"/>
    <col min="13441" max="13441" width="11" style="286" customWidth="1"/>
    <col min="13442" max="13442" width="12.28515625" style="286" customWidth="1"/>
    <col min="13443" max="13443" width="12" style="286" customWidth="1"/>
    <col min="13444" max="13444" width="9.85546875" style="286" customWidth="1"/>
    <col min="13445" max="13445" width="11" style="286" customWidth="1"/>
    <col min="13446" max="13446" width="12.28515625" style="286" customWidth="1"/>
    <col min="13447" max="13447" width="12" style="286" customWidth="1"/>
    <col min="13448" max="13448" width="9.85546875" style="286" customWidth="1"/>
    <col min="13449" max="13449" width="11" style="286" customWidth="1"/>
    <col min="13450" max="13450" width="12.28515625" style="286" customWidth="1"/>
    <col min="13451" max="13451" width="12" style="286" customWidth="1"/>
    <col min="13452" max="13452" width="9.85546875" style="286" customWidth="1"/>
    <col min="13453" max="13453" width="11" style="286" customWidth="1"/>
    <col min="13454" max="13454" width="12.28515625" style="286" customWidth="1"/>
    <col min="13455" max="13455" width="12" style="286" customWidth="1"/>
    <col min="13456" max="13456" width="9.85546875" style="286" customWidth="1"/>
    <col min="13457" max="13457" width="11" style="286" customWidth="1"/>
    <col min="13458" max="13458" width="12.28515625" style="286" customWidth="1"/>
    <col min="13459" max="13459" width="12" style="286" customWidth="1"/>
    <col min="13460" max="13460" width="9.85546875" style="286" customWidth="1"/>
    <col min="13461" max="13461" width="11" style="286" customWidth="1"/>
    <col min="13462" max="13462" width="12.28515625" style="286" customWidth="1"/>
    <col min="13463" max="13463" width="12" style="286" customWidth="1"/>
    <col min="13464" max="13464" width="9.85546875" style="286" customWidth="1"/>
    <col min="13465" max="13465" width="11.7109375" style="286" customWidth="1"/>
    <col min="13466" max="13466" width="10.85546875" style="286" customWidth="1"/>
    <col min="13467" max="13467" width="11.7109375" style="286" customWidth="1"/>
    <col min="13468" max="13468" width="9" style="286" customWidth="1"/>
    <col min="13469" max="13469" width="11" style="286" customWidth="1"/>
    <col min="13470" max="13470" width="12.28515625" style="286" customWidth="1"/>
    <col min="13471" max="13471" width="12" style="286" customWidth="1"/>
    <col min="13472" max="13472" width="9.85546875" style="286" customWidth="1"/>
    <col min="13473" max="13473" width="11" style="286" customWidth="1"/>
    <col min="13474" max="13474" width="12.28515625" style="286" customWidth="1"/>
    <col min="13475" max="13475" width="12" style="286" customWidth="1"/>
    <col min="13476" max="13476" width="9.85546875" style="286" customWidth="1"/>
    <col min="13477" max="13477" width="11" style="286" customWidth="1"/>
    <col min="13478" max="13478" width="12.28515625" style="286" customWidth="1"/>
    <col min="13479" max="13479" width="12" style="286" customWidth="1"/>
    <col min="13480" max="13480" width="9.85546875" style="286" customWidth="1"/>
    <col min="13481" max="13484" width="0" style="286" hidden="1" customWidth="1"/>
    <col min="13485" max="13485" width="11" style="286" customWidth="1"/>
    <col min="13486" max="13486" width="12.28515625" style="286" customWidth="1"/>
    <col min="13487" max="13487" width="12" style="286" customWidth="1"/>
    <col min="13488" max="13488" width="9.85546875" style="286" customWidth="1"/>
    <col min="13489" max="13489" width="11" style="286" customWidth="1"/>
    <col min="13490" max="13490" width="12.28515625" style="286" customWidth="1"/>
    <col min="13491" max="13491" width="12" style="286" customWidth="1"/>
    <col min="13492" max="13492" width="9.85546875" style="286" customWidth="1"/>
    <col min="13493" max="13493" width="11" style="286" customWidth="1"/>
    <col min="13494" max="13494" width="12.28515625" style="286" customWidth="1"/>
    <col min="13495" max="13495" width="12" style="286" customWidth="1"/>
    <col min="13496" max="13496" width="9.85546875" style="286" customWidth="1"/>
    <col min="13497" max="13497" width="11" style="286" customWidth="1"/>
    <col min="13498" max="13498" width="12.28515625" style="286" customWidth="1"/>
    <col min="13499" max="13499" width="12" style="286" customWidth="1"/>
    <col min="13500" max="13500" width="9.85546875" style="286" customWidth="1"/>
    <col min="13501" max="13501" width="11" style="286" customWidth="1"/>
    <col min="13502" max="13502" width="12.28515625" style="286" customWidth="1"/>
    <col min="13503" max="13503" width="12" style="286" customWidth="1"/>
    <col min="13504" max="13504" width="9.85546875" style="286" customWidth="1"/>
    <col min="13505" max="13505" width="11" style="286" customWidth="1"/>
    <col min="13506" max="13506" width="12.28515625" style="286" customWidth="1"/>
    <col min="13507" max="13507" width="12" style="286" customWidth="1"/>
    <col min="13508" max="13508" width="9.85546875" style="286" customWidth="1"/>
    <col min="13509" max="13509" width="11" style="286" customWidth="1"/>
    <col min="13510" max="13510" width="12.28515625" style="286" customWidth="1"/>
    <col min="13511" max="13511" width="12" style="286" customWidth="1"/>
    <col min="13512" max="13512" width="9.85546875" style="286" customWidth="1"/>
    <col min="13513" max="13513" width="11" style="286" customWidth="1"/>
    <col min="13514" max="13514" width="12.28515625" style="286" customWidth="1"/>
    <col min="13515" max="13515" width="12" style="286" customWidth="1"/>
    <col min="13516" max="13516" width="9.85546875" style="286" customWidth="1"/>
    <col min="13517" max="13517" width="11" style="286" customWidth="1"/>
    <col min="13518" max="13518" width="12.28515625" style="286" customWidth="1"/>
    <col min="13519" max="13519" width="12" style="286" customWidth="1"/>
    <col min="13520" max="13520" width="9.85546875" style="286" customWidth="1"/>
    <col min="13521" max="13535" width="0" style="286" hidden="1" customWidth="1"/>
    <col min="13536" max="13536" width="9.85546875" style="286" customWidth="1"/>
    <col min="13537" max="13537" width="10.42578125" style="286" customWidth="1"/>
    <col min="13538" max="13538" width="9" style="286" customWidth="1"/>
    <col min="13539" max="13539" width="11.28515625" style="286" customWidth="1"/>
    <col min="13540" max="13540" width="10.140625" style="286" customWidth="1"/>
    <col min="13541" max="13541" width="10.7109375" style="286" customWidth="1"/>
    <col min="13542" max="13542" width="9.28515625" style="286"/>
    <col min="13543" max="13544" width="9.140625" style="286" customWidth="1"/>
    <col min="13545" max="13568" width="9.28515625" style="286"/>
    <col min="13569" max="13569" width="4.28515625" style="286" customWidth="1"/>
    <col min="13570" max="13570" width="5.42578125" style="286" customWidth="1"/>
    <col min="13571" max="13571" width="41.5703125" style="286" customWidth="1"/>
    <col min="13572" max="13572" width="7.42578125" style="286" customWidth="1"/>
    <col min="13573" max="13573" width="13.140625" style="286" customWidth="1"/>
    <col min="13574" max="13574" width="11.7109375" style="286" customWidth="1"/>
    <col min="13575" max="13575" width="14.7109375" style="286" customWidth="1"/>
    <col min="13576" max="13576" width="11.7109375" style="286" customWidth="1"/>
    <col min="13577" max="13577" width="12" style="286" customWidth="1"/>
    <col min="13578" max="13578" width="9.7109375" style="286" customWidth="1"/>
    <col min="13579" max="13580" width="9.42578125" style="286" customWidth="1"/>
    <col min="13581" max="13581" width="10.7109375" style="286" customWidth="1"/>
    <col min="13582" max="13582" width="13.42578125" style="286" customWidth="1"/>
    <col min="13583" max="13583" width="12" style="286" customWidth="1"/>
    <col min="13584" max="13584" width="11" style="286" customWidth="1"/>
    <col min="13585" max="13585" width="10.5703125" style="286" customWidth="1"/>
    <col min="13586" max="13586" width="10.42578125" style="286" customWidth="1"/>
    <col min="13587" max="13587" width="10.7109375" style="286" customWidth="1"/>
    <col min="13588" max="13589" width="11.140625" style="286" customWidth="1"/>
    <col min="13590" max="13590" width="10.5703125" style="286" customWidth="1"/>
    <col min="13591" max="13591" width="10.85546875" style="286" customWidth="1"/>
    <col min="13592" max="13592" width="9.85546875" style="286" customWidth="1"/>
    <col min="13593" max="13593" width="11" style="286" customWidth="1"/>
    <col min="13594" max="13594" width="11.42578125" style="286" customWidth="1"/>
    <col min="13595" max="13595" width="12" style="286" customWidth="1"/>
    <col min="13596" max="13596" width="9.85546875" style="286" customWidth="1"/>
    <col min="13597" max="13597" width="10.5703125" style="286" customWidth="1"/>
    <col min="13598" max="13598" width="11.140625" style="286" customWidth="1"/>
    <col min="13599" max="13599" width="11.42578125" style="286" customWidth="1"/>
    <col min="13600" max="13604" width="9.85546875" style="286" customWidth="1"/>
    <col min="13605" max="13607" width="11.7109375" style="286" customWidth="1"/>
    <col min="13608" max="13608" width="9.85546875" style="286" customWidth="1"/>
    <col min="13609" max="13609" width="11" style="286" customWidth="1"/>
    <col min="13610" max="13610" width="11.42578125" style="286" customWidth="1"/>
    <col min="13611" max="13611" width="11.140625" style="286" customWidth="1"/>
    <col min="13612" max="13612" width="10.42578125" style="286" customWidth="1"/>
    <col min="13613" max="13613" width="11.5703125" style="286" customWidth="1"/>
    <col min="13614" max="13615" width="11.140625" style="286" customWidth="1"/>
    <col min="13616" max="13628" width="9.85546875" style="286" customWidth="1"/>
    <col min="13629" max="13629" width="10.5703125" style="286" customWidth="1"/>
    <col min="13630" max="13630" width="12.42578125" style="286" customWidth="1"/>
    <col min="13631" max="13631" width="10.140625" style="286" customWidth="1"/>
    <col min="13632" max="13632" width="9.140625" style="286" customWidth="1"/>
    <col min="13633" max="13633" width="9" style="286" customWidth="1"/>
    <col min="13634" max="13635" width="9.7109375" style="286" customWidth="1"/>
    <col min="13636" max="13636" width="8.42578125" style="286" customWidth="1"/>
    <col min="13637" max="13637" width="11.7109375" style="286" customWidth="1"/>
    <col min="13638" max="13638" width="10.85546875" style="286" customWidth="1"/>
    <col min="13639" max="13639" width="11.7109375" style="286" customWidth="1"/>
    <col min="13640" max="13640" width="9" style="286" customWidth="1"/>
    <col min="13641" max="13641" width="11" style="286" customWidth="1"/>
    <col min="13642" max="13642" width="10.5703125" style="286" customWidth="1"/>
    <col min="13643" max="13643" width="11.7109375" style="286" customWidth="1"/>
    <col min="13644" max="13645" width="11" style="286" customWidth="1"/>
    <col min="13646" max="13648" width="11.140625" style="286" customWidth="1"/>
    <col min="13649" max="13649" width="8.7109375" style="286" customWidth="1"/>
    <col min="13650" max="13650" width="11.140625" style="286" customWidth="1"/>
    <col min="13651" max="13651" width="9.28515625" style="286"/>
    <col min="13652" max="13652" width="11.140625" style="286" customWidth="1"/>
    <col min="13653" max="13653" width="10.5703125" style="286" customWidth="1"/>
    <col min="13654" max="13654" width="12.28515625" style="286" customWidth="1"/>
    <col min="13655" max="13655" width="12" style="286" customWidth="1"/>
    <col min="13656" max="13656" width="9.85546875" style="286" customWidth="1"/>
    <col min="13657" max="13657" width="11" style="286" customWidth="1"/>
    <col min="13658" max="13658" width="12.28515625" style="286" customWidth="1"/>
    <col min="13659" max="13659" width="12" style="286" customWidth="1"/>
    <col min="13660" max="13660" width="9.85546875" style="286" customWidth="1"/>
    <col min="13661" max="13661" width="11" style="286" customWidth="1"/>
    <col min="13662" max="13662" width="12.28515625" style="286" customWidth="1"/>
    <col min="13663" max="13663" width="12" style="286" customWidth="1"/>
    <col min="13664" max="13664" width="9.85546875" style="286" customWidth="1"/>
    <col min="13665" max="13665" width="11" style="286" customWidth="1"/>
    <col min="13666" max="13666" width="12.28515625" style="286" customWidth="1"/>
    <col min="13667" max="13667" width="12" style="286" customWidth="1"/>
    <col min="13668" max="13668" width="9.85546875" style="286" customWidth="1"/>
    <col min="13669" max="13669" width="11" style="286" customWidth="1"/>
    <col min="13670" max="13670" width="12.28515625" style="286" customWidth="1"/>
    <col min="13671" max="13671" width="12" style="286" customWidth="1"/>
    <col min="13672" max="13672" width="9.85546875" style="286" customWidth="1"/>
    <col min="13673" max="13673" width="11" style="286" customWidth="1"/>
    <col min="13674" max="13674" width="12.28515625" style="286" customWidth="1"/>
    <col min="13675" max="13675" width="12" style="286" customWidth="1"/>
    <col min="13676" max="13676" width="9.85546875" style="286" customWidth="1"/>
    <col min="13677" max="13677" width="11" style="286" customWidth="1"/>
    <col min="13678" max="13678" width="12.28515625" style="286" customWidth="1"/>
    <col min="13679" max="13679" width="12" style="286" customWidth="1"/>
    <col min="13680" max="13680" width="9.85546875" style="286" customWidth="1"/>
    <col min="13681" max="13681" width="11" style="286" customWidth="1"/>
    <col min="13682" max="13682" width="12.28515625" style="286" customWidth="1"/>
    <col min="13683" max="13683" width="12" style="286" customWidth="1"/>
    <col min="13684" max="13684" width="9.85546875" style="286" customWidth="1"/>
    <col min="13685" max="13685" width="11" style="286" customWidth="1"/>
    <col min="13686" max="13686" width="12.28515625" style="286" customWidth="1"/>
    <col min="13687" max="13687" width="12" style="286" customWidth="1"/>
    <col min="13688" max="13688" width="9.85546875" style="286" customWidth="1"/>
    <col min="13689" max="13689" width="11" style="286" customWidth="1"/>
    <col min="13690" max="13690" width="12.28515625" style="286" customWidth="1"/>
    <col min="13691" max="13691" width="12" style="286" customWidth="1"/>
    <col min="13692" max="13692" width="9.85546875" style="286" customWidth="1"/>
    <col min="13693" max="13693" width="11" style="286" customWidth="1"/>
    <col min="13694" max="13694" width="12.28515625" style="286" customWidth="1"/>
    <col min="13695" max="13695" width="12" style="286" customWidth="1"/>
    <col min="13696" max="13696" width="9.85546875" style="286" customWidth="1"/>
    <col min="13697" max="13697" width="11" style="286" customWidth="1"/>
    <col min="13698" max="13698" width="12.28515625" style="286" customWidth="1"/>
    <col min="13699" max="13699" width="12" style="286" customWidth="1"/>
    <col min="13700" max="13700" width="9.85546875" style="286" customWidth="1"/>
    <col min="13701" max="13701" width="11" style="286" customWidth="1"/>
    <col min="13702" max="13702" width="12.28515625" style="286" customWidth="1"/>
    <col min="13703" max="13703" width="12" style="286" customWidth="1"/>
    <col min="13704" max="13704" width="9.85546875" style="286" customWidth="1"/>
    <col min="13705" max="13705" width="11" style="286" customWidth="1"/>
    <col min="13706" max="13706" width="12.28515625" style="286" customWidth="1"/>
    <col min="13707" max="13707" width="12" style="286" customWidth="1"/>
    <col min="13708" max="13708" width="9.85546875" style="286" customWidth="1"/>
    <col min="13709" max="13709" width="11" style="286" customWidth="1"/>
    <col min="13710" max="13710" width="12.28515625" style="286" customWidth="1"/>
    <col min="13711" max="13711" width="12" style="286" customWidth="1"/>
    <col min="13712" max="13712" width="9.85546875" style="286" customWidth="1"/>
    <col min="13713" max="13713" width="11" style="286" customWidth="1"/>
    <col min="13714" max="13714" width="12.28515625" style="286" customWidth="1"/>
    <col min="13715" max="13715" width="12" style="286" customWidth="1"/>
    <col min="13716" max="13716" width="9.85546875" style="286" customWidth="1"/>
    <col min="13717" max="13717" width="11" style="286" customWidth="1"/>
    <col min="13718" max="13718" width="12.28515625" style="286" customWidth="1"/>
    <col min="13719" max="13719" width="12" style="286" customWidth="1"/>
    <col min="13720" max="13720" width="9.85546875" style="286" customWidth="1"/>
    <col min="13721" max="13721" width="11.7109375" style="286" customWidth="1"/>
    <col min="13722" max="13722" width="10.85546875" style="286" customWidth="1"/>
    <col min="13723" max="13723" width="11.7109375" style="286" customWidth="1"/>
    <col min="13724" max="13724" width="9" style="286" customWidth="1"/>
    <col min="13725" max="13725" width="11" style="286" customWidth="1"/>
    <col min="13726" max="13726" width="12.28515625" style="286" customWidth="1"/>
    <col min="13727" max="13727" width="12" style="286" customWidth="1"/>
    <col min="13728" max="13728" width="9.85546875" style="286" customWidth="1"/>
    <col min="13729" max="13729" width="11" style="286" customWidth="1"/>
    <col min="13730" max="13730" width="12.28515625" style="286" customWidth="1"/>
    <col min="13731" max="13731" width="12" style="286" customWidth="1"/>
    <col min="13732" max="13732" width="9.85546875" style="286" customWidth="1"/>
    <col min="13733" max="13733" width="11" style="286" customWidth="1"/>
    <col min="13734" max="13734" width="12.28515625" style="286" customWidth="1"/>
    <col min="13735" max="13735" width="12" style="286" customWidth="1"/>
    <col min="13736" max="13736" width="9.85546875" style="286" customWidth="1"/>
    <col min="13737" max="13740" width="0" style="286" hidden="1" customWidth="1"/>
    <col min="13741" max="13741" width="11" style="286" customWidth="1"/>
    <col min="13742" max="13742" width="12.28515625" style="286" customWidth="1"/>
    <col min="13743" max="13743" width="12" style="286" customWidth="1"/>
    <col min="13744" max="13744" width="9.85546875" style="286" customWidth="1"/>
    <col min="13745" max="13745" width="11" style="286" customWidth="1"/>
    <col min="13746" max="13746" width="12.28515625" style="286" customWidth="1"/>
    <col min="13747" max="13747" width="12" style="286" customWidth="1"/>
    <col min="13748" max="13748" width="9.85546875" style="286" customWidth="1"/>
    <col min="13749" max="13749" width="11" style="286" customWidth="1"/>
    <col min="13750" max="13750" width="12.28515625" style="286" customWidth="1"/>
    <col min="13751" max="13751" width="12" style="286" customWidth="1"/>
    <col min="13752" max="13752" width="9.85546875" style="286" customWidth="1"/>
    <col min="13753" max="13753" width="11" style="286" customWidth="1"/>
    <col min="13754" max="13754" width="12.28515625" style="286" customWidth="1"/>
    <col min="13755" max="13755" width="12" style="286" customWidth="1"/>
    <col min="13756" max="13756" width="9.85546875" style="286" customWidth="1"/>
    <col min="13757" max="13757" width="11" style="286" customWidth="1"/>
    <col min="13758" max="13758" width="12.28515625" style="286" customWidth="1"/>
    <col min="13759" max="13759" width="12" style="286" customWidth="1"/>
    <col min="13760" max="13760" width="9.85546875" style="286" customWidth="1"/>
    <col min="13761" max="13761" width="11" style="286" customWidth="1"/>
    <col min="13762" max="13762" width="12.28515625" style="286" customWidth="1"/>
    <col min="13763" max="13763" width="12" style="286" customWidth="1"/>
    <col min="13764" max="13764" width="9.85546875" style="286" customWidth="1"/>
    <col min="13765" max="13765" width="11" style="286" customWidth="1"/>
    <col min="13766" max="13766" width="12.28515625" style="286" customWidth="1"/>
    <col min="13767" max="13767" width="12" style="286" customWidth="1"/>
    <col min="13768" max="13768" width="9.85546875" style="286" customWidth="1"/>
    <col min="13769" max="13769" width="11" style="286" customWidth="1"/>
    <col min="13770" max="13770" width="12.28515625" style="286" customWidth="1"/>
    <col min="13771" max="13771" width="12" style="286" customWidth="1"/>
    <col min="13772" max="13772" width="9.85546875" style="286" customWidth="1"/>
    <col min="13773" max="13773" width="11" style="286" customWidth="1"/>
    <col min="13774" max="13774" width="12.28515625" style="286" customWidth="1"/>
    <col min="13775" max="13775" width="12" style="286" customWidth="1"/>
    <col min="13776" max="13776" width="9.85546875" style="286" customWidth="1"/>
    <col min="13777" max="13791" width="0" style="286" hidden="1" customWidth="1"/>
    <col min="13792" max="13792" width="9.85546875" style="286" customWidth="1"/>
    <col min="13793" max="13793" width="10.42578125" style="286" customWidth="1"/>
    <col min="13794" max="13794" width="9" style="286" customWidth="1"/>
    <col min="13795" max="13795" width="11.28515625" style="286" customWidth="1"/>
    <col min="13796" max="13796" width="10.140625" style="286" customWidth="1"/>
    <col min="13797" max="13797" width="10.7109375" style="286" customWidth="1"/>
    <col min="13798" max="13798" width="9.28515625" style="286"/>
    <col min="13799" max="13800" width="9.140625" style="286" customWidth="1"/>
    <col min="13801" max="13824" width="9.28515625" style="286"/>
    <col min="13825" max="13825" width="4.28515625" style="286" customWidth="1"/>
    <col min="13826" max="13826" width="5.42578125" style="286" customWidth="1"/>
    <col min="13827" max="13827" width="41.5703125" style="286" customWidth="1"/>
    <col min="13828" max="13828" width="7.42578125" style="286" customWidth="1"/>
    <col min="13829" max="13829" width="13.140625" style="286" customWidth="1"/>
    <col min="13830" max="13830" width="11.7109375" style="286" customWidth="1"/>
    <col min="13831" max="13831" width="14.7109375" style="286" customWidth="1"/>
    <col min="13832" max="13832" width="11.7109375" style="286" customWidth="1"/>
    <col min="13833" max="13833" width="12" style="286" customWidth="1"/>
    <col min="13834" max="13834" width="9.7109375" style="286" customWidth="1"/>
    <col min="13835" max="13836" width="9.42578125" style="286" customWidth="1"/>
    <col min="13837" max="13837" width="10.7109375" style="286" customWidth="1"/>
    <col min="13838" max="13838" width="13.42578125" style="286" customWidth="1"/>
    <col min="13839" max="13839" width="12" style="286" customWidth="1"/>
    <col min="13840" max="13840" width="11" style="286" customWidth="1"/>
    <col min="13841" max="13841" width="10.5703125" style="286" customWidth="1"/>
    <col min="13842" max="13842" width="10.42578125" style="286" customWidth="1"/>
    <col min="13843" max="13843" width="10.7109375" style="286" customWidth="1"/>
    <col min="13844" max="13845" width="11.140625" style="286" customWidth="1"/>
    <col min="13846" max="13846" width="10.5703125" style="286" customWidth="1"/>
    <col min="13847" max="13847" width="10.85546875" style="286" customWidth="1"/>
    <col min="13848" max="13848" width="9.85546875" style="286" customWidth="1"/>
    <col min="13849" max="13849" width="11" style="286" customWidth="1"/>
    <col min="13850" max="13850" width="11.42578125" style="286" customWidth="1"/>
    <col min="13851" max="13851" width="12" style="286" customWidth="1"/>
    <col min="13852" max="13852" width="9.85546875" style="286" customWidth="1"/>
    <col min="13853" max="13853" width="10.5703125" style="286" customWidth="1"/>
    <col min="13854" max="13854" width="11.140625" style="286" customWidth="1"/>
    <col min="13855" max="13855" width="11.42578125" style="286" customWidth="1"/>
    <col min="13856" max="13860" width="9.85546875" style="286" customWidth="1"/>
    <col min="13861" max="13863" width="11.7109375" style="286" customWidth="1"/>
    <col min="13864" max="13864" width="9.85546875" style="286" customWidth="1"/>
    <col min="13865" max="13865" width="11" style="286" customWidth="1"/>
    <col min="13866" max="13866" width="11.42578125" style="286" customWidth="1"/>
    <col min="13867" max="13867" width="11.140625" style="286" customWidth="1"/>
    <col min="13868" max="13868" width="10.42578125" style="286" customWidth="1"/>
    <col min="13869" max="13869" width="11.5703125" style="286" customWidth="1"/>
    <col min="13870" max="13871" width="11.140625" style="286" customWidth="1"/>
    <col min="13872" max="13884" width="9.85546875" style="286" customWidth="1"/>
    <col min="13885" max="13885" width="10.5703125" style="286" customWidth="1"/>
    <col min="13886" max="13886" width="12.42578125" style="286" customWidth="1"/>
    <col min="13887" max="13887" width="10.140625" style="286" customWidth="1"/>
    <col min="13888" max="13888" width="9.140625" style="286" customWidth="1"/>
    <col min="13889" max="13889" width="9" style="286" customWidth="1"/>
    <col min="13890" max="13891" width="9.7109375" style="286" customWidth="1"/>
    <col min="13892" max="13892" width="8.42578125" style="286" customWidth="1"/>
    <col min="13893" max="13893" width="11.7109375" style="286" customWidth="1"/>
    <col min="13894" max="13894" width="10.85546875" style="286" customWidth="1"/>
    <col min="13895" max="13895" width="11.7109375" style="286" customWidth="1"/>
    <col min="13896" max="13896" width="9" style="286" customWidth="1"/>
    <col min="13897" max="13897" width="11" style="286" customWidth="1"/>
    <col min="13898" max="13898" width="10.5703125" style="286" customWidth="1"/>
    <col min="13899" max="13899" width="11.7109375" style="286" customWidth="1"/>
    <col min="13900" max="13901" width="11" style="286" customWidth="1"/>
    <col min="13902" max="13904" width="11.140625" style="286" customWidth="1"/>
    <col min="13905" max="13905" width="8.7109375" style="286" customWidth="1"/>
    <col min="13906" max="13906" width="11.140625" style="286" customWidth="1"/>
    <col min="13907" max="13907" width="9.28515625" style="286"/>
    <col min="13908" max="13908" width="11.140625" style="286" customWidth="1"/>
    <col min="13909" max="13909" width="10.5703125" style="286" customWidth="1"/>
    <col min="13910" max="13910" width="12.28515625" style="286" customWidth="1"/>
    <col min="13911" max="13911" width="12" style="286" customWidth="1"/>
    <col min="13912" max="13912" width="9.85546875" style="286" customWidth="1"/>
    <col min="13913" max="13913" width="11" style="286" customWidth="1"/>
    <col min="13914" max="13914" width="12.28515625" style="286" customWidth="1"/>
    <col min="13915" max="13915" width="12" style="286" customWidth="1"/>
    <col min="13916" max="13916" width="9.85546875" style="286" customWidth="1"/>
    <col min="13917" max="13917" width="11" style="286" customWidth="1"/>
    <col min="13918" max="13918" width="12.28515625" style="286" customWidth="1"/>
    <col min="13919" max="13919" width="12" style="286" customWidth="1"/>
    <col min="13920" max="13920" width="9.85546875" style="286" customWidth="1"/>
    <col min="13921" max="13921" width="11" style="286" customWidth="1"/>
    <col min="13922" max="13922" width="12.28515625" style="286" customWidth="1"/>
    <col min="13923" max="13923" width="12" style="286" customWidth="1"/>
    <col min="13924" max="13924" width="9.85546875" style="286" customWidth="1"/>
    <col min="13925" max="13925" width="11" style="286" customWidth="1"/>
    <col min="13926" max="13926" width="12.28515625" style="286" customWidth="1"/>
    <col min="13927" max="13927" width="12" style="286" customWidth="1"/>
    <col min="13928" max="13928" width="9.85546875" style="286" customWidth="1"/>
    <col min="13929" max="13929" width="11" style="286" customWidth="1"/>
    <col min="13930" max="13930" width="12.28515625" style="286" customWidth="1"/>
    <col min="13931" max="13931" width="12" style="286" customWidth="1"/>
    <col min="13932" max="13932" width="9.85546875" style="286" customWidth="1"/>
    <col min="13933" max="13933" width="11" style="286" customWidth="1"/>
    <col min="13934" max="13934" width="12.28515625" style="286" customWidth="1"/>
    <col min="13935" max="13935" width="12" style="286" customWidth="1"/>
    <col min="13936" max="13936" width="9.85546875" style="286" customWidth="1"/>
    <col min="13937" max="13937" width="11" style="286" customWidth="1"/>
    <col min="13938" max="13938" width="12.28515625" style="286" customWidth="1"/>
    <col min="13939" max="13939" width="12" style="286" customWidth="1"/>
    <col min="13940" max="13940" width="9.85546875" style="286" customWidth="1"/>
    <col min="13941" max="13941" width="11" style="286" customWidth="1"/>
    <col min="13942" max="13942" width="12.28515625" style="286" customWidth="1"/>
    <col min="13943" max="13943" width="12" style="286" customWidth="1"/>
    <col min="13944" max="13944" width="9.85546875" style="286" customWidth="1"/>
    <col min="13945" max="13945" width="11" style="286" customWidth="1"/>
    <col min="13946" max="13946" width="12.28515625" style="286" customWidth="1"/>
    <col min="13947" max="13947" width="12" style="286" customWidth="1"/>
    <col min="13948" max="13948" width="9.85546875" style="286" customWidth="1"/>
    <col min="13949" max="13949" width="11" style="286" customWidth="1"/>
    <col min="13950" max="13950" width="12.28515625" style="286" customWidth="1"/>
    <col min="13951" max="13951" width="12" style="286" customWidth="1"/>
    <col min="13952" max="13952" width="9.85546875" style="286" customWidth="1"/>
    <col min="13953" max="13953" width="11" style="286" customWidth="1"/>
    <col min="13954" max="13954" width="12.28515625" style="286" customWidth="1"/>
    <col min="13955" max="13955" width="12" style="286" customWidth="1"/>
    <col min="13956" max="13956" width="9.85546875" style="286" customWidth="1"/>
    <col min="13957" max="13957" width="11" style="286" customWidth="1"/>
    <col min="13958" max="13958" width="12.28515625" style="286" customWidth="1"/>
    <col min="13959" max="13959" width="12" style="286" customWidth="1"/>
    <col min="13960" max="13960" width="9.85546875" style="286" customWidth="1"/>
    <col min="13961" max="13961" width="11" style="286" customWidth="1"/>
    <col min="13962" max="13962" width="12.28515625" style="286" customWidth="1"/>
    <col min="13963" max="13963" width="12" style="286" customWidth="1"/>
    <col min="13964" max="13964" width="9.85546875" style="286" customWidth="1"/>
    <col min="13965" max="13965" width="11" style="286" customWidth="1"/>
    <col min="13966" max="13966" width="12.28515625" style="286" customWidth="1"/>
    <col min="13967" max="13967" width="12" style="286" customWidth="1"/>
    <col min="13968" max="13968" width="9.85546875" style="286" customWidth="1"/>
    <col min="13969" max="13969" width="11" style="286" customWidth="1"/>
    <col min="13970" max="13970" width="12.28515625" style="286" customWidth="1"/>
    <col min="13971" max="13971" width="12" style="286" customWidth="1"/>
    <col min="13972" max="13972" width="9.85546875" style="286" customWidth="1"/>
    <col min="13973" max="13973" width="11" style="286" customWidth="1"/>
    <col min="13974" max="13974" width="12.28515625" style="286" customWidth="1"/>
    <col min="13975" max="13975" width="12" style="286" customWidth="1"/>
    <col min="13976" max="13976" width="9.85546875" style="286" customWidth="1"/>
    <col min="13977" max="13977" width="11.7109375" style="286" customWidth="1"/>
    <col min="13978" max="13978" width="10.85546875" style="286" customWidth="1"/>
    <col min="13979" max="13979" width="11.7109375" style="286" customWidth="1"/>
    <col min="13980" max="13980" width="9" style="286" customWidth="1"/>
    <col min="13981" max="13981" width="11" style="286" customWidth="1"/>
    <col min="13982" max="13982" width="12.28515625" style="286" customWidth="1"/>
    <col min="13983" max="13983" width="12" style="286" customWidth="1"/>
    <col min="13984" max="13984" width="9.85546875" style="286" customWidth="1"/>
    <col min="13985" max="13985" width="11" style="286" customWidth="1"/>
    <col min="13986" max="13986" width="12.28515625" style="286" customWidth="1"/>
    <col min="13987" max="13987" width="12" style="286" customWidth="1"/>
    <col min="13988" max="13988" width="9.85546875" style="286" customWidth="1"/>
    <col min="13989" max="13989" width="11" style="286" customWidth="1"/>
    <col min="13990" max="13990" width="12.28515625" style="286" customWidth="1"/>
    <col min="13991" max="13991" width="12" style="286" customWidth="1"/>
    <col min="13992" max="13992" width="9.85546875" style="286" customWidth="1"/>
    <col min="13993" max="13996" width="0" style="286" hidden="1" customWidth="1"/>
    <col min="13997" max="13997" width="11" style="286" customWidth="1"/>
    <col min="13998" max="13998" width="12.28515625" style="286" customWidth="1"/>
    <col min="13999" max="13999" width="12" style="286" customWidth="1"/>
    <col min="14000" max="14000" width="9.85546875" style="286" customWidth="1"/>
    <col min="14001" max="14001" width="11" style="286" customWidth="1"/>
    <col min="14002" max="14002" width="12.28515625" style="286" customWidth="1"/>
    <col min="14003" max="14003" width="12" style="286" customWidth="1"/>
    <col min="14004" max="14004" width="9.85546875" style="286" customWidth="1"/>
    <col min="14005" max="14005" width="11" style="286" customWidth="1"/>
    <col min="14006" max="14006" width="12.28515625" style="286" customWidth="1"/>
    <col min="14007" max="14007" width="12" style="286" customWidth="1"/>
    <col min="14008" max="14008" width="9.85546875" style="286" customWidth="1"/>
    <col min="14009" max="14009" width="11" style="286" customWidth="1"/>
    <col min="14010" max="14010" width="12.28515625" style="286" customWidth="1"/>
    <col min="14011" max="14011" width="12" style="286" customWidth="1"/>
    <col min="14012" max="14012" width="9.85546875" style="286" customWidth="1"/>
    <col min="14013" max="14013" width="11" style="286" customWidth="1"/>
    <col min="14014" max="14014" width="12.28515625" style="286" customWidth="1"/>
    <col min="14015" max="14015" width="12" style="286" customWidth="1"/>
    <col min="14016" max="14016" width="9.85546875" style="286" customWidth="1"/>
    <col min="14017" max="14017" width="11" style="286" customWidth="1"/>
    <col min="14018" max="14018" width="12.28515625" style="286" customWidth="1"/>
    <col min="14019" max="14019" width="12" style="286" customWidth="1"/>
    <col min="14020" max="14020" width="9.85546875" style="286" customWidth="1"/>
    <col min="14021" max="14021" width="11" style="286" customWidth="1"/>
    <col min="14022" max="14022" width="12.28515625" style="286" customWidth="1"/>
    <col min="14023" max="14023" width="12" style="286" customWidth="1"/>
    <col min="14024" max="14024" width="9.85546875" style="286" customWidth="1"/>
    <col min="14025" max="14025" width="11" style="286" customWidth="1"/>
    <col min="14026" max="14026" width="12.28515625" style="286" customWidth="1"/>
    <col min="14027" max="14027" width="12" style="286" customWidth="1"/>
    <col min="14028" max="14028" width="9.85546875" style="286" customWidth="1"/>
    <col min="14029" max="14029" width="11" style="286" customWidth="1"/>
    <col min="14030" max="14030" width="12.28515625" style="286" customWidth="1"/>
    <col min="14031" max="14031" width="12" style="286" customWidth="1"/>
    <col min="14032" max="14032" width="9.85546875" style="286" customWidth="1"/>
    <col min="14033" max="14047" width="0" style="286" hidden="1" customWidth="1"/>
    <col min="14048" max="14048" width="9.85546875" style="286" customWidth="1"/>
    <col min="14049" max="14049" width="10.42578125" style="286" customWidth="1"/>
    <col min="14050" max="14050" width="9" style="286" customWidth="1"/>
    <col min="14051" max="14051" width="11.28515625" style="286" customWidth="1"/>
    <col min="14052" max="14052" width="10.140625" style="286" customWidth="1"/>
    <col min="14053" max="14053" width="10.7109375" style="286" customWidth="1"/>
    <col min="14054" max="14054" width="9.28515625" style="286"/>
    <col min="14055" max="14056" width="9.140625" style="286" customWidth="1"/>
    <col min="14057" max="14080" width="9.28515625" style="286"/>
    <col min="14081" max="14081" width="4.28515625" style="286" customWidth="1"/>
    <col min="14082" max="14082" width="5.42578125" style="286" customWidth="1"/>
    <col min="14083" max="14083" width="41.5703125" style="286" customWidth="1"/>
    <col min="14084" max="14084" width="7.42578125" style="286" customWidth="1"/>
    <col min="14085" max="14085" width="13.140625" style="286" customWidth="1"/>
    <col min="14086" max="14086" width="11.7109375" style="286" customWidth="1"/>
    <col min="14087" max="14087" width="14.7109375" style="286" customWidth="1"/>
    <col min="14088" max="14088" width="11.7109375" style="286" customWidth="1"/>
    <col min="14089" max="14089" width="12" style="286" customWidth="1"/>
    <col min="14090" max="14090" width="9.7109375" style="286" customWidth="1"/>
    <col min="14091" max="14092" width="9.42578125" style="286" customWidth="1"/>
    <col min="14093" max="14093" width="10.7109375" style="286" customWidth="1"/>
    <col min="14094" max="14094" width="13.42578125" style="286" customWidth="1"/>
    <col min="14095" max="14095" width="12" style="286" customWidth="1"/>
    <col min="14096" max="14096" width="11" style="286" customWidth="1"/>
    <col min="14097" max="14097" width="10.5703125" style="286" customWidth="1"/>
    <col min="14098" max="14098" width="10.42578125" style="286" customWidth="1"/>
    <col min="14099" max="14099" width="10.7109375" style="286" customWidth="1"/>
    <col min="14100" max="14101" width="11.140625" style="286" customWidth="1"/>
    <col min="14102" max="14102" width="10.5703125" style="286" customWidth="1"/>
    <col min="14103" max="14103" width="10.85546875" style="286" customWidth="1"/>
    <col min="14104" max="14104" width="9.85546875" style="286" customWidth="1"/>
    <col min="14105" max="14105" width="11" style="286" customWidth="1"/>
    <col min="14106" max="14106" width="11.42578125" style="286" customWidth="1"/>
    <col min="14107" max="14107" width="12" style="286" customWidth="1"/>
    <col min="14108" max="14108" width="9.85546875" style="286" customWidth="1"/>
    <col min="14109" max="14109" width="10.5703125" style="286" customWidth="1"/>
    <col min="14110" max="14110" width="11.140625" style="286" customWidth="1"/>
    <col min="14111" max="14111" width="11.42578125" style="286" customWidth="1"/>
    <col min="14112" max="14116" width="9.85546875" style="286" customWidth="1"/>
    <col min="14117" max="14119" width="11.7109375" style="286" customWidth="1"/>
    <col min="14120" max="14120" width="9.85546875" style="286" customWidth="1"/>
    <col min="14121" max="14121" width="11" style="286" customWidth="1"/>
    <col min="14122" max="14122" width="11.42578125" style="286" customWidth="1"/>
    <col min="14123" max="14123" width="11.140625" style="286" customWidth="1"/>
    <col min="14124" max="14124" width="10.42578125" style="286" customWidth="1"/>
    <col min="14125" max="14125" width="11.5703125" style="286" customWidth="1"/>
    <col min="14126" max="14127" width="11.140625" style="286" customWidth="1"/>
    <col min="14128" max="14140" width="9.85546875" style="286" customWidth="1"/>
    <col min="14141" max="14141" width="10.5703125" style="286" customWidth="1"/>
    <col min="14142" max="14142" width="12.42578125" style="286" customWidth="1"/>
    <col min="14143" max="14143" width="10.140625" style="286" customWidth="1"/>
    <col min="14144" max="14144" width="9.140625" style="286" customWidth="1"/>
    <col min="14145" max="14145" width="9" style="286" customWidth="1"/>
    <col min="14146" max="14147" width="9.7109375" style="286" customWidth="1"/>
    <col min="14148" max="14148" width="8.42578125" style="286" customWidth="1"/>
    <col min="14149" max="14149" width="11.7109375" style="286" customWidth="1"/>
    <col min="14150" max="14150" width="10.85546875" style="286" customWidth="1"/>
    <col min="14151" max="14151" width="11.7109375" style="286" customWidth="1"/>
    <col min="14152" max="14152" width="9" style="286" customWidth="1"/>
    <col min="14153" max="14153" width="11" style="286" customWidth="1"/>
    <col min="14154" max="14154" width="10.5703125" style="286" customWidth="1"/>
    <col min="14155" max="14155" width="11.7109375" style="286" customWidth="1"/>
    <col min="14156" max="14157" width="11" style="286" customWidth="1"/>
    <col min="14158" max="14160" width="11.140625" style="286" customWidth="1"/>
    <col min="14161" max="14161" width="8.7109375" style="286" customWidth="1"/>
    <col min="14162" max="14162" width="11.140625" style="286" customWidth="1"/>
    <col min="14163" max="14163" width="9.28515625" style="286"/>
    <col min="14164" max="14164" width="11.140625" style="286" customWidth="1"/>
    <col min="14165" max="14165" width="10.5703125" style="286" customWidth="1"/>
    <col min="14166" max="14166" width="12.28515625" style="286" customWidth="1"/>
    <col min="14167" max="14167" width="12" style="286" customWidth="1"/>
    <col min="14168" max="14168" width="9.85546875" style="286" customWidth="1"/>
    <col min="14169" max="14169" width="11" style="286" customWidth="1"/>
    <col min="14170" max="14170" width="12.28515625" style="286" customWidth="1"/>
    <col min="14171" max="14171" width="12" style="286" customWidth="1"/>
    <col min="14172" max="14172" width="9.85546875" style="286" customWidth="1"/>
    <col min="14173" max="14173" width="11" style="286" customWidth="1"/>
    <col min="14174" max="14174" width="12.28515625" style="286" customWidth="1"/>
    <col min="14175" max="14175" width="12" style="286" customWidth="1"/>
    <col min="14176" max="14176" width="9.85546875" style="286" customWidth="1"/>
    <col min="14177" max="14177" width="11" style="286" customWidth="1"/>
    <col min="14178" max="14178" width="12.28515625" style="286" customWidth="1"/>
    <col min="14179" max="14179" width="12" style="286" customWidth="1"/>
    <col min="14180" max="14180" width="9.85546875" style="286" customWidth="1"/>
    <col min="14181" max="14181" width="11" style="286" customWidth="1"/>
    <col min="14182" max="14182" width="12.28515625" style="286" customWidth="1"/>
    <col min="14183" max="14183" width="12" style="286" customWidth="1"/>
    <col min="14184" max="14184" width="9.85546875" style="286" customWidth="1"/>
    <col min="14185" max="14185" width="11" style="286" customWidth="1"/>
    <col min="14186" max="14186" width="12.28515625" style="286" customWidth="1"/>
    <col min="14187" max="14187" width="12" style="286" customWidth="1"/>
    <col min="14188" max="14188" width="9.85546875" style="286" customWidth="1"/>
    <col min="14189" max="14189" width="11" style="286" customWidth="1"/>
    <col min="14190" max="14190" width="12.28515625" style="286" customWidth="1"/>
    <col min="14191" max="14191" width="12" style="286" customWidth="1"/>
    <col min="14192" max="14192" width="9.85546875" style="286" customWidth="1"/>
    <col min="14193" max="14193" width="11" style="286" customWidth="1"/>
    <col min="14194" max="14194" width="12.28515625" style="286" customWidth="1"/>
    <col min="14195" max="14195" width="12" style="286" customWidth="1"/>
    <col min="14196" max="14196" width="9.85546875" style="286" customWidth="1"/>
    <col min="14197" max="14197" width="11" style="286" customWidth="1"/>
    <col min="14198" max="14198" width="12.28515625" style="286" customWidth="1"/>
    <col min="14199" max="14199" width="12" style="286" customWidth="1"/>
    <col min="14200" max="14200" width="9.85546875" style="286" customWidth="1"/>
    <col min="14201" max="14201" width="11" style="286" customWidth="1"/>
    <col min="14202" max="14202" width="12.28515625" style="286" customWidth="1"/>
    <col min="14203" max="14203" width="12" style="286" customWidth="1"/>
    <col min="14204" max="14204" width="9.85546875" style="286" customWidth="1"/>
    <col min="14205" max="14205" width="11" style="286" customWidth="1"/>
    <col min="14206" max="14206" width="12.28515625" style="286" customWidth="1"/>
    <col min="14207" max="14207" width="12" style="286" customWidth="1"/>
    <col min="14208" max="14208" width="9.85546875" style="286" customWidth="1"/>
    <col min="14209" max="14209" width="11" style="286" customWidth="1"/>
    <col min="14210" max="14210" width="12.28515625" style="286" customWidth="1"/>
    <col min="14211" max="14211" width="12" style="286" customWidth="1"/>
    <col min="14212" max="14212" width="9.85546875" style="286" customWidth="1"/>
    <col min="14213" max="14213" width="11" style="286" customWidth="1"/>
    <col min="14214" max="14214" width="12.28515625" style="286" customWidth="1"/>
    <col min="14215" max="14215" width="12" style="286" customWidth="1"/>
    <col min="14216" max="14216" width="9.85546875" style="286" customWidth="1"/>
    <col min="14217" max="14217" width="11" style="286" customWidth="1"/>
    <col min="14218" max="14218" width="12.28515625" style="286" customWidth="1"/>
    <col min="14219" max="14219" width="12" style="286" customWidth="1"/>
    <col min="14220" max="14220" width="9.85546875" style="286" customWidth="1"/>
    <col min="14221" max="14221" width="11" style="286" customWidth="1"/>
    <col min="14222" max="14222" width="12.28515625" style="286" customWidth="1"/>
    <col min="14223" max="14223" width="12" style="286" customWidth="1"/>
    <col min="14224" max="14224" width="9.85546875" style="286" customWidth="1"/>
    <col min="14225" max="14225" width="11" style="286" customWidth="1"/>
    <col min="14226" max="14226" width="12.28515625" style="286" customWidth="1"/>
    <col min="14227" max="14227" width="12" style="286" customWidth="1"/>
    <col min="14228" max="14228" width="9.85546875" style="286" customWidth="1"/>
    <col min="14229" max="14229" width="11" style="286" customWidth="1"/>
    <col min="14230" max="14230" width="12.28515625" style="286" customWidth="1"/>
    <col min="14231" max="14231" width="12" style="286" customWidth="1"/>
    <col min="14232" max="14232" width="9.85546875" style="286" customWidth="1"/>
    <col min="14233" max="14233" width="11.7109375" style="286" customWidth="1"/>
    <col min="14234" max="14234" width="10.85546875" style="286" customWidth="1"/>
    <col min="14235" max="14235" width="11.7109375" style="286" customWidth="1"/>
    <col min="14236" max="14236" width="9" style="286" customWidth="1"/>
    <col min="14237" max="14237" width="11" style="286" customWidth="1"/>
    <col min="14238" max="14238" width="12.28515625" style="286" customWidth="1"/>
    <col min="14239" max="14239" width="12" style="286" customWidth="1"/>
    <col min="14240" max="14240" width="9.85546875" style="286" customWidth="1"/>
    <col min="14241" max="14241" width="11" style="286" customWidth="1"/>
    <col min="14242" max="14242" width="12.28515625" style="286" customWidth="1"/>
    <col min="14243" max="14243" width="12" style="286" customWidth="1"/>
    <col min="14244" max="14244" width="9.85546875" style="286" customWidth="1"/>
    <col min="14245" max="14245" width="11" style="286" customWidth="1"/>
    <col min="14246" max="14246" width="12.28515625" style="286" customWidth="1"/>
    <col min="14247" max="14247" width="12" style="286" customWidth="1"/>
    <col min="14248" max="14248" width="9.85546875" style="286" customWidth="1"/>
    <col min="14249" max="14252" width="0" style="286" hidden="1" customWidth="1"/>
    <col min="14253" max="14253" width="11" style="286" customWidth="1"/>
    <col min="14254" max="14254" width="12.28515625" style="286" customWidth="1"/>
    <col min="14255" max="14255" width="12" style="286" customWidth="1"/>
    <col min="14256" max="14256" width="9.85546875" style="286" customWidth="1"/>
    <col min="14257" max="14257" width="11" style="286" customWidth="1"/>
    <col min="14258" max="14258" width="12.28515625" style="286" customWidth="1"/>
    <col min="14259" max="14259" width="12" style="286" customWidth="1"/>
    <col min="14260" max="14260" width="9.85546875" style="286" customWidth="1"/>
    <col min="14261" max="14261" width="11" style="286" customWidth="1"/>
    <col min="14262" max="14262" width="12.28515625" style="286" customWidth="1"/>
    <col min="14263" max="14263" width="12" style="286" customWidth="1"/>
    <col min="14264" max="14264" width="9.85546875" style="286" customWidth="1"/>
    <col min="14265" max="14265" width="11" style="286" customWidth="1"/>
    <col min="14266" max="14266" width="12.28515625" style="286" customWidth="1"/>
    <col min="14267" max="14267" width="12" style="286" customWidth="1"/>
    <col min="14268" max="14268" width="9.85546875" style="286" customWidth="1"/>
    <col min="14269" max="14269" width="11" style="286" customWidth="1"/>
    <col min="14270" max="14270" width="12.28515625" style="286" customWidth="1"/>
    <col min="14271" max="14271" width="12" style="286" customWidth="1"/>
    <col min="14272" max="14272" width="9.85546875" style="286" customWidth="1"/>
    <col min="14273" max="14273" width="11" style="286" customWidth="1"/>
    <col min="14274" max="14274" width="12.28515625" style="286" customWidth="1"/>
    <col min="14275" max="14275" width="12" style="286" customWidth="1"/>
    <col min="14276" max="14276" width="9.85546875" style="286" customWidth="1"/>
    <col min="14277" max="14277" width="11" style="286" customWidth="1"/>
    <col min="14278" max="14278" width="12.28515625" style="286" customWidth="1"/>
    <col min="14279" max="14279" width="12" style="286" customWidth="1"/>
    <col min="14280" max="14280" width="9.85546875" style="286" customWidth="1"/>
    <col min="14281" max="14281" width="11" style="286" customWidth="1"/>
    <col min="14282" max="14282" width="12.28515625" style="286" customWidth="1"/>
    <col min="14283" max="14283" width="12" style="286" customWidth="1"/>
    <col min="14284" max="14284" width="9.85546875" style="286" customWidth="1"/>
    <col min="14285" max="14285" width="11" style="286" customWidth="1"/>
    <col min="14286" max="14286" width="12.28515625" style="286" customWidth="1"/>
    <col min="14287" max="14287" width="12" style="286" customWidth="1"/>
    <col min="14288" max="14288" width="9.85546875" style="286" customWidth="1"/>
    <col min="14289" max="14303" width="0" style="286" hidden="1" customWidth="1"/>
    <col min="14304" max="14304" width="9.85546875" style="286" customWidth="1"/>
    <col min="14305" max="14305" width="10.42578125" style="286" customWidth="1"/>
    <col min="14306" max="14306" width="9" style="286" customWidth="1"/>
    <col min="14307" max="14307" width="11.28515625" style="286" customWidth="1"/>
    <col min="14308" max="14308" width="10.140625" style="286" customWidth="1"/>
    <col min="14309" max="14309" width="10.7109375" style="286" customWidth="1"/>
    <col min="14310" max="14310" width="9.28515625" style="286"/>
    <col min="14311" max="14312" width="9.140625" style="286" customWidth="1"/>
    <col min="14313" max="14336" width="9.28515625" style="286"/>
    <col min="14337" max="14337" width="4.28515625" style="286" customWidth="1"/>
    <col min="14338" max="14338" width="5.42578125" style="286" customWidth="1"/>
    <col min="14339" max="14339" width="41.5703125" style="286" customWidth="1"/>
    <col min="14340" max="14340" width="7.42578125" style="286" customWidth="1"/>
    <col min="14341" max="14341" width="13.140625" style="286" customWidth="1"/>
    <col min="14342" max="14342" width="11.7109375" style="286" customWidth="1"/>
    <col min="14343" max="14343" width="14.7109375" style="286" customWidth="1"/>
    <col min="14344" max="14344" width="11.7109375" style="286" customWidth="1"/>
    <col min="14345" max="14345" width="12" style="286" customWidth="1"/>
    <col min="14346" max="14346" width="9.7109375" style="286" customWidth="1"/>
    <col min="14347" max="14348" width="9.42578125" style="286" customWidth="1"/>
    <col min="14349" max="14349" width="10.7109375" style="286" customWidth="1"/>
    <col min="14350" max="14350" width="13.42578125" style="286" customWidth="1"/>
    <col min="14351" max="14351" width="12" style="286" customWidth="1"/>
    <col min="14352" max="14352" width="11" style="286" customWidth="1"/>
    <col min="14353" max="14353" width="10.5703125" style="286" customWidth="1"/>
    <col min="14354" max="14354" width="10.42578125" style="286" customWidth="1"/>
    <col min="14355" max="14355" width="10.7109375" style="286" customWidth="1"/>
    <col min="14356" max="14357" width="11.140625" style="286" customWidth="1"/>
    <col min="14358" max="14358" width="10.5703125" style="286" customWidth="1"/>
    <col min="14359" max="14359" width="10.85546875" style="286" customWidth="1"/>
    <col min="14360" max="14360" width="9.85546875" style="286" customWidth="1"/>
    <col min="14361" max="14361" width="11" style="286" customWidth="1"/>
    <col min="14362" max="14362" width="11.42578125" style="286" customWidth="1"/>
    <col min="14363" max="14363" width="12" style="286" customWidth="1"/>
    <col min="14364" max="14364" width="9.85546875" style="286" customWidth="1"/>
    <col min="14365" max="14365" width="10.5703125" style="286" customWidth="1"/>
    <col min="14366" max="14366" width="11.140625" style="286" customWidth="1"/>
    <col min="14367" max="14367" width="11.42578125" style="286" customWidth="1"/>
    <col min="14368" max="14372" width="9.85546875" style="286" customWidth="1"/>
    <col min="14373" max="14375" width="11.7109375" style="286" customWidth="1"/>
    <col min="14376" max="14376" width="9.85546875" style="286" customWidth="1"/>
    <col min="14377" max="14377" width="11" style="286" customWidth="1"/>
    <col min="14378" max="14378" width="11.42578125" style="286" customWidth="1"/>
    <col min="14379" max="14379" width="11.140625" style="286" customWidth="1"/>
    <col min="14380" max="14380" width="10.42578125" style="286" customWidth="1"/>
    <col min="14381" max="14381" width="11.5703125" style="286" customWidth="1"/>
    <col min="14382" max="14383" width="11.140625" style="286" customWidth="1"/>
    <col min="14384" max="14396" width="9.85546875" style="286" customWidth="1"/>
    <col min="14397" max="14397" width="10.5703125" style="286" customWidth="1"/>
    <col min="14398" max="14398" width="12.42578125" style="286" customWidth="1"/>
    <col min="14399" max="14399" width="10.140625" style="286" customWidth="1"/>
    <col min="14400" max="14400" width="9.140625" style="286" customWidth="1"/>
    <col min="14401" max="14401" width="9" style="286" customWidth="1"/>
    <col min="14402" max="14403" width="9.7109375" style="286" customWidth="1"/>
    <col min="14404" max="14404" width="8.42578125" style="286" customWidth="1"/>
    <col min="14405" max="14405" width="11.7109375" style="286" customWidth="1"/>
    <col min="14406" max="14406" width="10.85546875" style="286" customWidth="1"/>
    <col min="14407" max="14407" width="11.7109375" style="286" customWidth="1"/>
    <col min="14408" max="14408" width="9" style="286" customWidth="1"/>
    <col min="14409" max="14409" width="11" style="286" customWidth="1"/>
    <col min="14410" max="14410" width="10.5703125" style="286" customWidth="1"/>
    <col min="14411" max="14411" width="11.7109375" style="286" customWidth="1"/>
    <col min="14412" max="14413" width="11" style="286" customWidth="1"/>
    <col min="14414" max="14416" width="11.140625" style="286" customWidth="1"/>
    <col min="14417" max="14417" width="8.7109375" style="286" customWidth="1"/>
    <col min="14418" max="14418" width="11.140625" style="286" customWidth="1"/>
    <col min="14419" max="14419" width="9.28515625" style="286"/>
    <col min="14420" max="14420" width="11.140625" style="286" customWidth="1"/>
    <col min="14421" max="14421" width="10.5703125" style="286" customWidth="1"/>
    <col min="14422" max="14422" width="12.28515625" style="286" customWidth="1"/>
    <col min="14423" max="14423" width="12" style="286" customWidth="1"/>
    <col min="14424" max="14424" width="9.85546875" style="286" customWidth="1"/>
    <col min="14425" max="14425" width="11" style="286" customWidth="1"/>
    <col min="14426" max="14426" width="12.28515625" style="286" customWidth="1"/>
    <col min="14427" max="14427" width="12" style="286" customWidth="1"/>
    <col min="14428" max="14428" width="9.85546875" style="286" customWidth="1"/>
    <col min="14429" max="14429" width="11" style="286" customWidth="1"/>
    <col min="14430" max="14430" width="12.28515625" style="286" customWidth="1"/>
    <col min="14431" max="14431" width="12" style="286" customWidth="1"/>
    <col min="14432" max="14432" width="9.85546875" style="286" customWidth="1"/>
    <col min="14433" max="14433" width="11" style="286" customWidth="1"/>
    <col min="14434" max="14434" width="12.28515625" style="286" customWidth="1"/>
    <col min="14435" max="14435" width="12" style="286" customWidth="1"/>
    <col min="14436" max="14436" width="9.85546875" style="286" customWidth="1"/>
    <col min="14437" max="14437" width="11" style="286" customWidth="1"/>
    <col min="14438" max="14438" width="12.28515625" style="286" customWidth="1"/>
    <col min="14439" max="14439" width="12" style="286" customWidth="1"/>
    <col min="14440" max="14440" width="9.85546875" style="286" customWidth="1"/>
    <col min="14441" max="14441" width="11" style="286" customWidth="1"/>
    <col min="14442" max="14442" width="12.28515625" style="286" customWidth="1"/>
    <col min="14443" max="14443" width="12" style="286" customWidth="1"/>
    <col min="14444" max="14444" width="9.85546875" style="286" customWidth="1"/>
    <col min="14445" max="14445" width="11" style="286" customWidth="1"/>
    <col min="14446" max="14446" width="12.28515625" style="286" customWidth="1"/>
    <col min="14447" max="14447" width="12" style="286" customWidth="1"/>
    <col min="14448" max="14448" width="9.85546875" style="286" customWidth="1"/>
    <col min="14449" max="14449" width="11" style="286" customWidth="1"/>
    <col min="14450" max="14450" width="12.28515625" style="286" customWidth="1"/>
    <col min="14451" max="14451" width="12" style="286" customWidth="1"/>
    <col min="14452" max="14452" width="9.85546875" style="286" customWidth="1"/>
    <col min="14453" max="14453" width="11" style="286" customWidth="1"/>
    <col min="14454" max="14454" width="12.28515625" style="286" customWidth="1"/>
    <col min="14455" max="14455" width="12" style="286" customWidth="1"/>
    <col min="14456" max="14456" width="9.85546875" style="286" customWidth="1"/>
    <col min="14457" max="14457" width="11" style="286" customWidth="1"/>
    <col min="14458" max="14458" width="12.28515625" style="286" customWidth="1"/>
    <col min="14459" max="14459" width="12" style="286" customWidth="1"/>
    <col min="14460" max="14460" width="9.85546875" style="286" customWidth="1"/>
    <col min="14461" max="14461" width="11" style="286" customWidth="1"/>
    <col min="14462" max="14462" width="12.28515625" style="286" customWidth="1"/>
    <col min="14463" max="14463" width="12" style="286" customWidth="1"/>
    <col min="14464" max="14464" width="9.85546875" style="286" customWidth="1"/>
    <col min="14465" max="14465" width="11" style="286" customWidth="1"/>
    <col min="14466" max="14466" width="12.28515625" style="286" customWidth="1"/>
    <col min="14467" max="14467" width="12" style="286" customWidth="1"/>
    <col min="14468" max="14468" width="9.85546875" style="286" customWidth="1"/>
    <col min="14469" max="14469" width="11" style="286" customWidth="1"/>
    <col min="14470" max="14470" width="12.28515625" style="286" customWidth="1"/>
    <col min="14471" max="14471" width="12" style="286" customWidth="1"/>
    <col min="14472" max="14472" width="9.85546875" style="286" customWidth="1"/>
    <col min="14473" max="14473" width="11" style="286" customWidth="1"/>
    <col min="14474" max="14474" width="12.28515625" style="286" customWidth="1"/>
    <col min="14475" max="14475" width="12" style="286" customWidth="1"/>
    <col min="14476" max="14476" width="9.85546875" style="286" customWidth="1"/>
    <col min="14477" max="14477" width="11" style="286" customWidth="1"/>
    <col min="14478" max="14478" width="12.28515625" style="286" customWidth="1"/>
    <col min="14479" max="14479" width="12" style="286" customWidth="1"/>
    <col min="14480" max="14480" width="9.85546875" style="286" customWidth="1"/>
    <col min="14481" max="14481" width="11" style="286" customWidth="1"/>
    <col min="14482" max="14482" width="12.28515625" style="286" customWidth="1"/>
    <col min="14483" max="14483" width="12" style="286" customWidth="1"/>
    <col min="14484" max="14484" width="9.85546875" style="286" customWidth="1"/>
    <col min="14485" max="14485" width="11" style="286" customWidth="1"/>
    <col min="14486" max="14486" width="12.28515625" style="286" customWidth="1"/>
    <col min="14487" max="14487" width="12" style="286" customWidth="1"/>
    <col min="14488" max="14488" width="9.85546875" style="286" customWidth="1"/>
    <col min="14489" max="14489" width="11.7109375" style="286" customWidth="1"/>
    <col min="14490" max="14490" width="10.85546875" style="286" customWidth="1"/>
    <col min="14491" max="14491" width="11.7109375" style="286" customWidth="1"/>
    <col min="14492" max="14492" width="9" style="286" customWidth="1"/>
    <col min="14493" max="14493" width="11" style="286" customWidth="1"/>
    <col min="14494" max="14494" width="12.28515625" style="286" customWidth="1"/>
    <col min="14495" max="14495" width="12" style="286" customWidth="1"/>
    <col min="14496" max="14496" width="9.85546875" style="286" customWidth="1"/>
    <col min="14497" max="14497" width="11" style="286" customWidth="1"/>
    <col min="14498" max="14498" width="12.28515625" style="286" customWidth="1"/>
    <col min="14499" max="14499" width="12" style="286" customWidth="1"/>
    <col min="14500" max="14500" width="9.85546875" style="286" customWidth="1"/>
    <col min="14501" max="14501" width="11" style="286" customWidth="1"/>
    <col min="14502" max="14502" width="12.28515625" style="286" customWidth="1"/>
    <col min="14503" max="14503" width="12" style="286" customWidth="1"/>
    <col min="14504" max="14504" width="9.85546875" style="286" customWidth="1"/>
    <col min="14505" max="14508" width="0" style="286" hidden="1" customWidth="1"/>
    <col min="14509" max="14509" width="11" style="286" customWidth="1"/>
    <col min="14510" max="14510" width="12.28515625" style="286" customWidth="1"/>
    <col min="14511" max="14511" width="12" style="286" customWidth="1"/>
    <col min="14512" max="14512" width="9.85546875" style="286" customWidth="1"/>
    <col min="14513" max="14513" width="11" style="286" customWidth="1"/>
    <col min="14514" max="14514" width="12.28515625" style="286" customWidth="1"/>
    <col min="14515" max="14515" width="12" style="286" customWidth="1"/>
    <col min="14516" max="14516" width="9.85546875" style="286" customWidth="1"/>
    <col min="14517" max="14517" width="11" style="286" customWidth="1"/>
    <col min="14518" max="14518" width="12.28515625" style="286" customWidth="1"/>
    <col min="14519" max="14519" width="12" style="286" customWidth="1"/>
    <col min="14520" max="14520" width="9.85546875" style="286" customWidth="1"/>
    <col min="14521" max="14521" width="11" style="286" customWidth="1"/>
    <col min="14522" max="14522" width="12.28515625" style="286" customWidth="1"/>
    <col min="14523" max="14523" width="12" style="286" customWidth="1"/>
    <col min="14524" max="14524" width="9.85546875" style="286" customWidth="1"/>
    <col min="14525" max="14525" width="11" style="286" customWidth="1"/>
    <col min="14526" max="14526" width="12.28515625" style="286" customWidth="1"/>
    <col min="14527" max="14527" width="12" style="286" customWidth="1"/>
    <col min="14528" max="14528" width="9.85546875" style="286" customWidth="1"/>
    <col min="14529" max="14529" width="11" style="286" customWidth="1"/>
    <col min="14530" max="14530" width="12.28515625" style="286" customWidth="1"/>
    <col min="14531" max="14531" width="12" style="286" customWidth="1"/>
    <col min="14532" max="14532" width="9.85546875" style="286" customWidth="1"/>
    <col min="14533" max="14533" width="11" style="286" customWidth="1"/>
    <col min="14534" max="14534" width="12.28515625" style="286" customWidth="1"/>
    <col min="14535" max="14535" width="12" style="286" customWidth="1"/>
    <col min="14536" max="14536" width="9.85546875" style="286" customWidth="1"/>
    <col min="14537" max="14537" width="11" style="286" customWidth="1"/>
    <col min="14538" max="14538" width="12.28515625" style="286" customWidth="1"/>
    <col min="14539" max="14539" width="12" style="286" customWidth="1"/>
    <col min="14540" max="14540" width="9.85546875" style="286" customWidth="1"/>
    <col min="14541" max="14541" width="11" style="286" customWidth="1"/>
    <col min="14542" max="14542" width="12.28515625" style="286" customWidth="1"/>
    <col min="14543" max="14543" width="12" style="286" customWidth="1"/>
    <col min="14544" max="14544" width="9.85546875" style="286" customWidth="1"/>
    <col min="14545" max="14559" width="0" style="286" hidden="1" customWidth="1"/>
    <col min="14560" max="14560" width="9.85546875" style="286" customWidth="1"/>
    <col min="14561" max="14561" width="10.42578125" style="286" customWidth="1"/>
    <col min="14562" max="14562" width="9" style="286" customWidth="1"/>
    <col min="14563" max="14563" width="11.28515625" style="286" customWidth="1"/>
    <col min="14564" max="14564" width="10.140625" style="286" customWidth="1"/>
    <col min="14565" max="14565" width="10.7109375" style="286" customWidth="1"/>
    <col min="14566" max="14566" width="9.28515625" style="286"/>
    <col min="14567" max="14568" width="9.140625" style="286" customWidth="1"/>
    <col min="14569" max="14592" width="9.28515625" style="286"/>
    <col min="14593" max="14593" width="4.28515625" style="286" customWidth="1"/>
    <col min="14594" max="14594" width="5.42578125" style="286" customWidth="1"/>
    <col min="14595" max="14595" width="41.5703125" style="286" customWidth="1"/>
    <col min="14596" max="14596" width="7.42578125" style="286" customWidth="1"/>
    <col min="14597" max="14597" width="13.140625" style="286" customWidth="1"/>
    <col min="14598" max="14598" width="11.7109375" style="286" customWidth="1"/>
    <col min="14599" max="14599" width="14.7109375" style="286" customWidth="1"/>
    <col min="14600" max="14600" width="11.7109375" style="286" customWidth="1"/>
    <col min="14601" max="14601" width="12" style="286" customWidth="1"/>
    <col min="14602" max="14602" width="9.7109375" style="286" customWidth="1"/>
    <col min="14603" max="14604" width="9.42578125" style="286" customWidth="1"/>
    <col min="14605" max="14605" width="10.7109375" style="286" customWidth="1"/>
    <col min="14606" max="14606" width="13.42578125" style="286" customWidth="1"/>
    <col min="14607" max="14607" width="12" style="286" customWidth="1"/>
    <col min="14608" max="14608" width="11" style="286" customWidth="1"/>
    <col min="14609" max="14609" width="10.5703125" style="286" customWidth="1"/>
    <col min="14610" max="14610" width="10.42578125" style="286" customWidth="1"/>
    <col min="14611" max="14611" width="10.7109375" style="286" customWidth="1"/>
    <col min="14612" max="14613" width="11.140625" style="286" customWidth="1"/>
    <col min="14614" max="14614" width="10.5703125" style="286" customWidth="1"/>
    <col min="14615" max="14615" width="10.85546875" style="286" customWidth="1"/>
    <col min="14616" max="14616" width="9.85546875" style="286" customWidth="1"/>
    <col min="14617" max="14617" width="11" style="286" customWidth="1"/>
    <col min="14618" max="14618" width="11.42578125" style="286" customWidth="1"/>
    <col min="14619" max="14619" width="12" style="286" customWidth="1"/>
    <col min="14620" max="14620" width="9.85546875" style="286" customWidth="1"/>
    <col min="14621" max="14621" width="10.5703125" style="286" customWidth="1"/>
    <col min="14622" max="14622" width="11.140625" style="286" customWidth="1"/>
    <col min="14623" max="14623" width="11.42578125" style="286" customWidth="1"/>
    <col min="14624" max="14628" width="9.85546875" style="286" customWidth="1"/>
    <col min="14629" max="14631" width="11.7109375" style="286" customWidth="1"/>
    <col min="14632" max="14632" width="9.85546875" style="286" customWidth="1"/>
    <col min="14633" max="14633" width="11" style="286" customWidth="1"/>
    <col min="14634" max="14634" width="11.42578125" style="286" customWidth="1"/>
    <col min="14635" max="14635" width="11.140625" style="286" customWidth="1"/>
    <col min="14636" max="14636" width="10.42578125" style="286" customWidth="1"/>
    <col min="14637" max="14637" width="11.5703125" style="286" customWidth="1"/>
    <col min="14638" max="14639" width="11.140625" style="286" customWidth="1"/>
    <col min="14640" max="14652" width="9.85546875" style="286" customWidth="1"/>
    <col min="14653" max="14653" width="10.5703125" style="286" customWidth="1"/>
    <col min="14654" max="14654" width="12.42578125" style="286" customWidth="1"/>
    <col min="14655" max="14655" width="10.140625" style="286" customWidth="1"/>
    <col min="14656" max="14656" width="9.140625" style="286" customWidth="1"/>
    <col min="14657" max="14657" width="9" style="286" customWidth="1"/>
    <col min="14658" max="14659" width="9.7109375" style="286" customWidth="1"/>
    <col min="14660" max="14660" width="8.42578125" style="286" customWidth="1"/>
    <col min="14661" max="14661" width="11.7109375" style="286" customWidth="1"/>
    <col min="14662" max="14662" width="10.85546875" style="286" customWidth="1"/>
    <col min="14663" max="14663" width="11.7109375" style="286" customWidth="1"/>
    <col min="14664" max="14664" width="9" style="286" customWidth="1"/>
    <col min="14665" max="14665" width="11" style="286" customWidth="1"/>
    <col min="14666" max="14666" width="10.5703125" style="286" customWidth="1"/>
    <col min="14667" max="14667" width="11.7109375" style="286" customWidth="1"/>
    <col min="14668" max="14669" width="11" style="286" customWidth="1"/>
    <col min="14670" max="14672" width="11.140625" style="286" customWidth="1"/>
    <col min="14673" max="14673" width="8.7109375" style="286" customWidth="1"/>
    <col min="14674" max="14674" width="11.140625" style="286" customWidth="1"/>
    <col min="14675" max="14675" width="9.28515625" style="286"/>
    <col min="14676" max="14676" width="11.140625" style="286" customWidth="1"/>
    <col min="14677" max="14677" width="10.5703125" style="286" customWidth="1"/>
    <col min="14678" max="14678" width="12.28515625" style="286" customWidth="1"/>
    <col min="14679" max="14679" width="12" style="286" customWidth="1"/>
    <col min="14680" max="14680" width="9.85546875" style="286" customWidth="1"/>
    <col min="14681" max="14681" width="11" style="286" customWidth="1"/>
    <col min="14682" max="14682" width="12.28515625" style="286" customWidth="1"/>
    <col min="14683" max="14683" width="12" style="286" customWidth="1"/>
    <col min="14684" max="14684" width="9.85546875" style="286" customWidth="1"/>
    <col min="14685" max="14685" width="11" style="286" customWidth="1"/>
    <col min="14686" max="14686" width="12.28515625" style="286" customWidth="1"/>
    <col min="14687" max="14687" width="12" style="286" customWidth="1"/>
    <col min="14688" max="14688" width="9.85546875" style="286" customWidth="1"/>
    <col min="14689" max="14689" width="11" style="286" customWidth="1"/>
    <col min="14690" max="14690" width="12.28515625" style="286" customWidth="1"/>
    <col min="14691" max="14691" width="12" style="286" customWidth="1"/>
    <col min="14692" max="14692" width="9.85546875" style="286" customWidth="1"/>
    <col min="14693" max="14693" width="11" style="286" customWidth="1"/>
    <col min="14694" max="14694" width="12.28515625" style="286" customWidth="1"/>
    <col min="14695" max="14695" width="12" style="286" customWidth="1"/>
    <col min="14696" max="14696" width="9.85546875" style="286" customWidth="1"/>
    <col min="14697" max="14697" width="11" style="286" customWidth="1"/>
    <col min="14698" max="14698" width="12.28515625" style="286" customWidth="1"/>
    <col min="14699" max="14699" width="12" style="286" customWidth="1"/>
    <col min="14700" max="14700" width="9.85546875" style="286" customWidth="1"/>
    <col min="14701" max="14701" width="11" style="286" customWidth="1"/>
    <col min="14702" max="14702" width="12.28515625" style="286" customWidth="1"/>
    <col min="14703" max="14703" width="12" style="286" customWidth="1"/>
    <col min="14704" max="14704" width="9.85546875" style="286" customWidth="1"/>
    <col min="14705" max="14705" width="11" style="286" customWidth="1"/>
    <col min="14706" max="14706" width="12.28515625" style="286" customWidth="1"/>
    <col min="14707" max="14707" width="12" style="286" customWidth="1"/>
    <col min="14708" max="14708" width="9.85546875" style="286" customWidth="1"/>
    <col min="14709" max="14709" width="11" style="286" customWidth="1"/>
    <col min="14710" max="14710" width="12.28515625" style="286" customWidth="1"/>
    <col min="14711" max="14711" width="12" style="286" customWidth="1"/>
    <col min="14712" max="14712" width="9.85546875" style="286" customWidth="1"/>
    <col min="14713" max="14713" width="11" style="286" customWidth="1"/>
    <col min="14714" max="14714" width="12.28515625" style="286" customWidth="1"/>
    <col min="14715" max="14715" width="12" style="286" customWidth="1"/>
    <col min="14716" max="14716" width="9.85546875" style="286" customWidth="1"/>
    <col min="14717" max="14717" width="11" style="286" customWidth="1"/>
    <col min="14718" max="14718" width="12.28515625" style="286" customWidth="1"/>
    <col min="14719" max="14719" width="12" style="286" customWidth="1"/>
    <col min="14720" max="14720" width="9.85546875" style="286" customWidth="1"/>
    <col min="14721" max="14721" width="11" style="286" customWidth="1"/>
    <col min="14722" max="14722" width="12.28515625" style="286" customWidth="1"/>
    <col min="14723" max="14723" width="12" style="286" customWidth="1"/>
    <col min="14724" max="14724" width="9.85546875" style="286" customWidth="1"/>
    <col min="14725" max="14725" width="11" style="286" customWidth="1"/>
    <col min="14726" max="14726" width="12.28515625" style="286" customWidth="1"/>
    <col min="14727" max="14727" width="12" style="286" customWidth="1"/>
    <col min="14728" max="14728" width="9.85546875" style="286" customWidth="1"/>
    <col min="14729" max="14729" width="11" style="286" customWidth="1"/>
    <col min="14730" max="14730" width="12.28515625" style="286" customWidth="1"/>
    <col min="14731" max="14731" width="12" style="286" customWidth="1"/>
    <col min="14732" max="14732" width="9.85546875" style="286" customWidth="1"/>
    <col min="14733" max="14733" width="11" style="286" customWidth="1"/>
    <col min="14734" max="14734" width="12.28515625" style="286" customWidth="1"/>
    <col min="14735" max="14735" width="12" style="286" customWidth="1"/>
    <col min="14736" max="14736" width="9.85546875" style="286" customWidth="1"/>
    <col min="14737" max="14737" width="11" style="286" customWidth="1"/>
    <col min="14738" max="14738" width="12.28515625" style="286" customWidth="1"/>
    <col min="14739" max="14739" width="12" style="286" customWidth="1"/>
    <col min="14740" max="14740" width="9.85546875" style="286" customWidth="1"/>
    <col min="14741" max="14741" width="11" style="286" customWidth="1"/>
    <col min="14742" max="14742" width="12.28515625" style="286" customWidth="1"/>
    <col min="14743" max="14743" width="12" style="286" customWidth="1"/>
    <col min="14744" max="14744" width="9.85546875" style="286" customWidth="1"/>
    <col min="14745" max="14745" width="11.7109375" style="286" customWidth="1"/>
    <col min="14746" max="14746" width="10.85546875" style="286" customWidth="1"/>
    <col min="14747" max="14747" width="11.7109375" style="286" customWidth="1"/>
    <col min="14748" max="14748" width="9" style="286" customWidth="1"/>
    <col min="14749" max="14749" width="11" style="286" customWidth="1"/>
    <col min="14750" max="14750" width="12.28515625" style="286" customWidth="1"/>
    <col min="14751" max="14751" width="12" style="286" customWidth="1"/>
    <col min="14752" max="14752" width="9.85546875" style="286" customWidth="1"/>
    <col min="14753" max="14753" width="11" style="286" customWidth="1"/>
    <col min="14754" max="14754" width="12.28515625" style="286" customWidth="1"/>
    <col min="14755" max="14755" width="12" style="286" customWidth="1"/>
    <col min="14756" max="14756" width="9.85546875" style="286" customWidth="1"/>
    <col min="14757" max="14757" width="11" style="286" customWidth="1"/>
    <col min="14758" max="14758" width="12.28515625" style="286" customWidth="1"/>
    <col min="14759" max="14759" width="12" style="286" customWidth="1"/>
    <col min="14760" max="14760" width="9.85546875" style="286" customWidth="1"/>
    <col min="14761" max="14764" width="0" style="286" hidden="1" customWidth="1"/>
    <col min="14765" max="14765" width="11" style="286" customWidth="1"/>
    <col min="14766" max="14766" width="12.28515625" style="286" customWidth="1"/>
    <col min="14767" max="14767" width="12" style="286" customWidth="1"/>
    <col min="14768" max="14768" width="9.85546875" style="286" customWidth="1"/>
    <col min="14769" max="14769" width="11" style="286" customWidth="1"/>
    <col min="14770" max="14770" width="12.28515625" style="286" customWidth="1"/>
    <col min="14771" max="14771" width="12" style="286" customWidth="1"/>
    <col min="14772" max="14772" width="9.85546875" style="286" customWidth="1"/>
    <col min="14773" max="14773" width="11" style="286" customWidth="1"/>
    <col min="14774" max="14774" width="12.28515625" style="286" customWidth="1"/>
    <col min="14775" max="14775" width="12" style="286" customWidth="1"/>
    <col min="14776" max="14776" width="9.85546875" style="286" customWidth="1"/>
    <col min="14777" max="14777" width="11" style="286" customWidth="1"/>
    <col min="14778" max="14778" width="12.28515625" style="286" customWidth="1"/>
    <col min="14779" max="14779" width="12" style="286" customWidth="1"/>
    <col min="14780" max="14780" width="9.85546875" style="286" customWidth="1"/>
    <col min="14781" max="14781" width="11" style="286" customWidth="1"/>
    <col min="14782" max="14782" width="12.28515625" style="286" customWidth="1"/>
    <col min="14783" max="14783" width="12" style="286" customWidth="1"/>
    <col min="14784" max="14784" width="9.85546875" style="286" customWidth="1"/>
    <col min="14785" max="14785" width="11" style="286" customWidth="1"/>
    <col min="14786" max="14786" width="12.28515625" style="286" customWidth="1"/>
    <col min="14787" max="14787" width="12" style="286" customWidth="1"/>
    <col min="14788" max="14788" width="9.85546875" style="286" customWidth="1"/>
    <col min="14789" max="14789" width="11" style="286" customWidth="1"/>
    <col min="14790" max="14790" width="12.28515625" style="286" customWidth="1"/>
    <col min="14791" max="14791" width="12" style="286" customWidth="1"/>
    <col min="14792" max="14792" width="9.85546875" style="286" customWidth="1"/>
    <col min="14793" max="14793" width="11" style="286" customWidth="1"/>
    <col min="14794" max="14794" width="12.28515625" style="286" customWidth="1"/>
    <col min="14795" max="14795" width="12" style="286" customWidth="1"/>
    <col min="14796" max="14796" width="9.85546875" style="286" customWidth="1"/>
    <col min="14797" max="14797" width="11" style="286" customWidth="1"/>
    <col min="14798" max="14798" width="12.28515625" style="286" customWidth="1"/>
    <col min="14799" max="14799" width="12" style="286" customWidth="1"/>
    <col min="14800" max="14800" width="9.85546875" style="286" customWidth="1"/>
    <col min="14801" max="14815" width="0" style="286" hidden="1" customWidth="1"/>
    <col min="14816" max="14816" width="9.85546875" style="286" customWidth="1"/>
    <col min="14817" max="14817" width="10.42578125" style="286" customWidth="1"/>
    <col min="14818" max="14818" width="9" style="286" customWidth="1"/>
    <col min="14819" max="14819" width="11.28515625" style="286" customWidth="1"/>
    <col min="14820" max="14820" width="10.140625" style="286" customWidth="1"/>
    <col min="14821" max="14821" width="10.7109375" style="286" customWidth="1"/>
    <col min="14822" max="14822" width="9.28515625" style="286"/>
    <col min="14823" max="14824" width="9.140625" style="286" customWidth="1"/>
    <col min="14825" max="14848" width="9.28515625" style="286"/>
    <col min="14849" max="14849" width="4.28515625" style="286" customWidth="1"/>
    <col min="14850" max="14850" width="5.42578125" style="286" customWidth="1"/>
    <col min="14851" max="14851" width="41.5703125" style="286" customWidth="1"/>
    <col min="14852" max="14852" width="7.42578125" style="286" customWidth="1"/>
    <col min="14853" max="14853" width="13.140625" style="286" customWidth="1"/>
    <col min="14854" max="14854" width="11.7109375" style="286" customWidth="1"/>
    <col min="14855" max="14855" width="14.7109375" style="286" customWidth="1"/>
    <col min="14856" max="14856" width="11.7109375" style="286" customWidth="1"/>
    <col min="14857" max="14857" width="12" style="286" customWidth="1"/>
    <col min="14858" max="14858" width="9.7109375" style="286" customWidth="1"/>
    <col min="14859" max="14860" width="9.42578125" style="286" customWidth="1"/>
    <col min="14861" max="14861" width="10.7109375" style="286" customWidth="1"/>
    <col min="14862" max="14862" width="13.42578125" style="286" customWidth="1"/>
    <col min="14863" max="14863" width="12" style="286" customWidth="1"/>
    <col min="14864" max="14864" width="11" style="286" customWidth="1"/>
    <col min="14865" max="14865" width="10.5703125" style="286" customWidth="1"/>
    <col min="14866" max="14866" width="10.42578125" style="286" customWidth="1"/>
    <col min="14867" max="14867" width="10.7109375" style="286" customWidth="1"/>
    <col min="14868" max="14869" width="11.140625" style="286" customWidth="1"/>
    <col min="14870" max="14870" width="10.5703125" style="286" customWidth="1"/>
    <col min="14871" max="14871" width="10.85546875" style="286" customWidth="1"/>
    <col min="14872" max="14872" width="9.85546875" style="286" customWidth="1"/>
    <col min="14873" max="14873" width="11" style="286" customWidth="1"/>
    <col min="14874" max="14874" width="11.42578125" style="286" customWidth="1"/>
    <col min="14875" max="14875" width="12" style="286" customWidth="1"/>
    <col min="14876" max="14876" width="9.85546875" style="286" customWidth="1"/>
    <col min="14877" max="14877" width="10.5703125" style="286" customWidth="1"/>
    <col min="14878" max="14878" width="11.140625" style="286" customWidth="1"/>
    <col min="14879" max="14879" width="11.42578125" style="286" customWidth="1"/>
    <col min="14880" max="14884" width="9.85546875" style="286" customWidth="1"/>
    <col min="14885" max="14887" width="11.7109375" style="286" customWidth="1"/>
    <col min="14888" max="14888" width="9.85546875" style="286" customWidth="1"/>
    <col min="14889" max="14889" width="11" style="286" customWidth="1"/>
    <col min="14890" max="14890" width="11.42578125" style="286" customWidth="1"/>
    <col min="14891" max="14891" width="11.140625" style="286" customWidth="1"/>
    <col min="14892" max="14892" width="10.42578125" style="286" customWidth="1"/>
    <col min="14893" max="14893" width="11.5703125" style="286" customWidth="1"/>
    <col min="14894" max="14895" width="11.140625" style="286" customWidth="1"/>
    <col min="14896" max="14908" width="9.85546875" style="286" customWidth="1"/>
    <col min="14909" max="14909" width="10.5703125" style="286" customWidth="1"/>
    <col min="14910" max="14910" width="12.42578125" style="286" customWidth="1"/>
    <col min="14911" max="14911" width="10.140625" style="286" customWidth="1"/>
    <col min="14912" max="14912" width="9.140625" style="286" customWidth="1"/>
    <col min="14913" max="14913" width="9" style="286" customWidth="1"/>
    <col min="14914" max="14915" width="9.7109375" style="286" customWidth="1"/>
    <col min="14916" max="14916" width="8.42578125" style="286" customWidth="1"/>
    <col min="14917" max="14917" width="11.7109375" style="286" customWidth="1"/>
    <col min="14918" max="14918" width="10.85546875" style="286" customWidth="1"/>
    <col min="14919" max="14919" width="11.7109375" style="286" customWidth="1"/>
    <col min="14920" max="14920" width="9" style="286" customWidth="1"/>
    <col min="14921" max="14921" width="11" style="286" customWidth="1"/>
    <col min="14922" max="14922" width="10.5703125" style="286" customWidth="1"/>
    <col min="14923" max="14923" width="11.7109375" style="286" customWidth="1"/>
    <col min="14924" max="14925" width="11" style="286" customWidth="1"/>
    <col min="14926" max="14928" width="11.140625" style="286" customWidth="1"/>
    <col min="14929" max="14929" width="8.7109375" style="286" customWidth="1"/>
    <col min="14930" max="14930" width="11.140625" style="286" customWidth="1"/>
    <col min="14931" max="14931" width="9.28515625" style="286"/>
    <col min="14932" max="14932" width="11.140625" style="286" customWidth="1"/>
    <col min="14933" max="14933" width="10.5703125" style="286" customWidth="1"/>
    <col min="14934" max="14934" width="12.28515625" style="286" customWidth="1"/>
    <col min="14935" max="14935" width="12" style="286" customWidth="1"/>
    <col min="14936" max="14936" width="9.85546875" style="286" customWidth="1"/>
    <col min="14937" max="14937" width="11" style="286" customWidth="1"/>
    <col min="14938" max="14938" width="12.28515625" style="286" customWidth="1"/>
    <col min="14939" max="14939" width="12" style="286" customWidth="1"/>
    <col min="14940" max="14940" width="9.85546875" style="286" customWidth="1"/>
    <col min="14941" max="14941" width="11" style="286" customWidth="1"/>
    <col min="14942" max="14942" width="12.28515625" style="286" customWidth="1"/>
    <col min="14943" max="14943" width="12" style="286" customWidth="1"/>
    <col min="14944" max="14944" width="9.85546875" style="286" customWidth="1"/>
    <col min="14945" max="14945" width="11" style="286" customWidth="1"/>
    <col min="14946" max="14946" width="12.28515625" style="286" customWidth="1"/>
    <col min="14947" max="14947" width="12" style="286" customWidth="1"/>
    <col min="14948" max="14948" width="9.85546875" style="286" customWidth="1"/>
    <col min="14949" max="14949" width="11" style="286" customWidth="1"/>
    <col min="14950" max="14950" width="12.28515625" style="286" customWidth="1"/>
    <col min="14951" max="14951" width="12" style="286" customWidth="1"/>
    <col min="14952" max="14952" width="9.85546875" style="286" customWidth="1"/>
    <col min="14953" max="14953" width="11" style="286" customWidth="1"/>
    <col min="14954" max="14954" width="12.28515625" style="286" customWidth="1"/>
    <col min="14955" max="14955" width="12" style="286" customWidth="1"/>
    <col min="14956" max="14956" width="9.85546875" style="286" customWidth="1"/>
    <col min="14957" max="14957" width="11" style="286" customWidth="1"/>
    <col min="14958" max="14958" width="12.28515625" style="286" customWidth="1"/>
    <col min="14959" max="14959" width="12" style="286" customWidth="1"/>
    <col min="14960" max="14960" width="9.85546875" style="286" customWidth="1"/>
    <col min="14961" max="14961" width="11" style="286" customWidth="1"/>
    <col min="14962" max="14962" width="12.28515625" style="286" customWidth="1"/>
    <col min="14963" max="14963" width="12" style="286" customWidth="1"/>
    <col min="14964" max="14964" width="9.85546875" style="286" customWidth="1"/>
    <col min="14965" max="14965" width="11" style="286" customWidth="1"/>
    <col min="14966" max="14966" width="12.28515625" style="286" customWidth="1"/>
    <col min="14967" max="14967" width="12" style="286" customWidth="1"/>
    <col min="14968" max="14968" width="9.85546875" style="286" customWidth="1"/>
    <col min="14969" max="14969" width="11" style="286" customWidth="1"/>
    <col min="14970" max="14970" width="12.28515625" style="286" customWidth="1"/>
    <col min="14971" max="14971" width="12" style="286" customWidth="1"/>
    <col min="14972" max="14972" width="9.85546875" style="286" customWidth="1"/>
    <col min="14973" max="14973" width="11" style="286" customWidth="1"/>
    <col min="14974" max="14974" width="12.28515625" style="286" customWidth="1"/>
    <col min="14975" max="14975" width="12" style="286" customWidth="1"/>
    <col min="14976" max="14976" width="9.85546875" style="286" customWidth="1"/>
    <col min="14977" max="14977" width="11" style="286" customWidth="1"/>
    <col min="14978" max="14978" width="12.28515625" style="286" customWidth="1"/>
    <col min="14979" max="14979" width="12" style="286" customWidth="1"/>
    <col min="14980" max="14980" width="9.85546875" style="286" customWidth="1"/>
    <col min="14981" max="14981" width="11" style="286" customWidth="1"/>
    <col min="14982" max="14982" width="12.28515625" style="286" customWidth="1"/>
    <col min="14983" max="14983" width="12" style="286" customWidth="1"/>
    <col min="14984" max="14984" width="9.85546875" style="286" customWidth="1"/>
    <col min="14985" max="14985" width="11" style="286" customWidth="1"/>
    <col min="14986" max="14986" width="12.28515625" style="286" customWidth="1"/>
    <col min="14987" max="14987" width="12" style="286" customWidth="1"/>
    <col min="14988" max="14988" width="9.85546875" style="286" customWidth="1"/>
    <col min="14989" max="14989" width="11" style="286" customWidth="1"/>
    <col min="14990" max="14990" width="12.28515625" style="286" customWidth="1"/>
    <col min="14991" max="14991" width="12" style="286" customWidth="1"/>
    <col min="14992" max="14992" width="9.85546875" style="286" customWidth="1"/>
    <col min="14993" max="14993" width="11" style="286" customWidth="1"/>
    <col min="14994" max="14994" width="12.28515625" style="286" customWidth="1"/>
    <col min="14995" max="14995" width="12" style="286" customWidth="1"/>
    <col min="14996" max="14996" width="9.85546875" style="286" customWidth="1"/>
    <col min="14997" max="14997" width="11" style="286" customWidth="1"/>
    <col min="14998" max="14998" width="12.28515625" style="286" customWidth="1"/>
    <col min="14999" max="14999" width="12" style="286" customWidth="1"/>
    <col min="15000" max="15000" width="9.85546875" style="286" customWidth="1"/>
    <col min="15001" max="15001" width="11.7109375" style="286" customWidth="1"/>
    <col min="15002" max="15002" width="10.85546875" style="286" customWidth="1"/>
    <col min="15003" max="15003" width="11.7109375" style="286" customWidth="1"/>
    <col min="15004" max="15004" width="9" style="286" customWidth="1"/>
    <col min="15005" max="15005" width="11" style="286" customWidth="1"/>
    <col min="15006" max="15006" width="12.28515625" style="286" customWidth="1"/>
    <col min="15007" max="15007" width="12" style="286" customWidth="1"/>
    <col min="15008" max="15008" width="9.85546875" style="286" customWidth="1"/>
    <col min="15009" max="15009" width="11" style="286" customWidth="1"/>
    <col min="15010" max="15010" width="12.28515625" style="286" customWidth="1"/>
    <col min="15011" max="15011" width="12" style="286" customWidth="1"/>
    <col min="15012" max="15012" width="9.85546875" style="286" customWidth="1"/>
    <col min="15013" max="15013" width="11" style="286" customWidth="1"/>
    <col min="15014" max="15014" width="12.28515625" style="286" customWidth="1"/>
    <col min="15015" max="15015" width="12" style="286" customWidth="1"/>
    <col min="15016" max="15016" width="9.85546875" style="286" customWidth="1"/>
    <col min="15017" max="15020" width="0" style="286" hidden="1" customWidth="1"/>
    <col min="15021" max="15021" width="11" style="286" customWidth="1"/>
    <col min="15022" max="15022" width="12.28515625" style="286" customWidth="1"/>
    <col min="15023" max="15023" width="12" style="286" customWidth="1"/>
    <col min="15024" max="15024" width="9.85546875" style="286" customWidth="1"/>
    <col min="15025" max="15025" width="11" style="286" customWidth="1"/>
    <col min="15026" max="15026" width="12.28515625" style="286" customWidth="1"/>
    <col min="15027" max="15027" width="12" style="286" customWidth="1"/>
    <col min="15028" max="15028" width="9.85546875" style="286" customWidth="1"/>
    <col min="15029" max="15029" width="11" style="286" customWidth="1"/>
    <col min="15030" max="15030" width="12.28515625" style="286" customWidth="1"/>
    <col min="15031" max="15031" width="12" style="286" customWidth="1"/>
    <col min="15032" max="15032" width="9.85546875" style="286" customWidth="1"/>
    <col min="15033" max="15033" width="11" style="286" customWidth="1"/>
    <col min="15034" max="15034" width="12.28515625" style="286" customWidth="1"/>
    <col min="15035" max="15035" width="12" style="286" customWidth="1"/>
    <col min="15036" max="15036" width="9.85546875" style="286" customWidth="1"/>
    <col min="15037" max="15037" width="11" style="286" customWidth="1"/>
    <col min="15038" max="15038" width="12.28515625" style="286" customWidth="1"/>
    <col min="15039" max="15039" width="12" style="286" customWidth="1"/>
    <col min="15040" max="15040" width="9.85546875" style="286" customWidth="1"/>
    <col min="15041" max="15041" width="11" style="286" customWidth="1"/>
    <col min="15042" max="15042" width="12.28515625" style="286" customWidth="1"/>
    <col min="15043" max="15043" width="12" style="286" customWidth="1"/>
    <col min="15044" max="15044" width="9.85546875" style="286" customWidth="1"/>
    <col min="15045" max="15045" width="11" style="286" customWidth="1"/>
    <col min="15046" max="15046" width="12.28515625" style="286" customWidth="1"/>
    <col min="15047" max="15047" width="12" style="286" customWidth="1"/>
    <col min="15048" max="15048" width="9.85546875" style="286" customWidth="1"/>
    <col min="15049" max="15049" width="11" style="286" customWidth="1"/>
    <col min="15050" max="15050" width="12.28515625" style="286" customWidth="1"/>
    <col min="15051" max="15051" width="12" style="286" customWidth="1"/>
    <col min="15052" max="15052" width="9.85546875" style="286" customWidth="1"/>
    <col min="15053" max="15053" width="11" style="286" customWidth="1"/>
    <col min="15054" max="15054" width="12.28515625" style="286" customWidth="1"/>
    <col min="15055" max="15055" width="12" style="286" customWidth="1"/>
    <col min="15056" max="15056" width="9.85546875" style="286" customWidth="1"/>
    <col min="15057" max="15071" width="0" style="286" hidden="1" customWidth="1"/>
    <col min="15072" max="15072" width="9.85546875" style="286" customWidth="1"/>
    <col min="15073" max="15073" width="10.42578125" style="286" customWidth="1"/>
    <col min="15074" max="15074" width="9" style="286" customWidth="1"/>
    <col min="15075" max="15075" width="11.28515625" style="286" customWidth="1"/>
    <col min="15076" max="15076" width="10.140625" style="286" customWidth="1"/>
    <col min="15077" max="15077" width="10.7109375" style="286" customWidth="1"/>
    <col min="15078" max="15078" width="9.28515625" style="286"/>
    <col min="15079" max="15080" width="9.140625" style="286" customWidth="1"/>
    <col min="15081" max="15104" width="9.28515625" style="286"/>
    <col min="15105" max="15105" width="4.28515625" style="286" customWidth="1"/>
    <col min="15106" max="15106" width="5.42578125" style="286" customWidth="1"/>
    <col min="15107" max="15107" width="41.5703125" style="286" customWidth="1"/>
    <col min="15108" max="15108" width="7.42578125" style="286" customWidth="1"/>
    <col min="15109" max="15109" width="13.140625" style="286" customWidth="1"/>
    <col min="15110" max="15110" width="11.7109375" style="286" customWidth="1"/>
    <col min="15111" max="15111" width="14.7109375" style="286" customWidth="1"/>
    <col min="15112" max="15112" width="11.7109375" style="286" customWidth="1"/>
    <col min="15113" max="15113" width="12" style="286" customWidth="1"/>
    <col min="15114" max="15114" width="9.7109375" style="286" customWidth="1"/>
    <col min="15115" max="15116" width="9.42578125" style="286" customWidth="1"/>
    <col min="15117" max="15117" width="10.7109375" style="286" customWidth="1"/>
    <col min="15118" max="15118" width="13.42578125" style="286" customWidth="1"/>
    <col min="15119" max="15119" width="12" style="286" customWidth="1"/>
    <col min="15120" max="15120" width="11" style="286" customWidth="1"/>
    <col min="15121" max="15121" width="10.5703125" style="286" customWidth="1"/>
    <col min="15122" max="15122" width="10.42578125" style="286" customWidth="1"/>
    <col min="15123" max="15123" width="10.7109375" style="286" customWidth="1"/>
    <col min="15124" max="15125" width="11.140625" style="286" customWidth="1"/>
    <col min="15126" max="15126" width="10.5703125" style="286" customWidth="1"/>
    <col min="15127" max="15127" width="10.85546875" style="286" customWidth="1"/>
    <col min="15128" max="15128" width="9.85546875" style="286" customWidth="1"/>
    <col min="15129" max="15129" width="11" style="286" customWidth="1"/>
    <col min="15130" max="15130" width="11.42578125" style="286" customWidth="1"/>
    <col min="15131" max="15131" width="12" style="286" customWidth="1"/>
    <col min="15132" max="15132" width="9.85546875" style="286" customWidth="1"/>
    <col min="15133" max="15133" width="10.5703125" style="286" customWidth="1"/>
    <col min="15134" max="15134" width="11.140625" style="286" customWidth="1"/>
    <col min="15135" max="15135" width="11.42578125" style="286" customWidth="1"/>
    <col min="15136" max="15140" width="9.85546875" style="286" customWidth="1"/>
    <col min="15141" max="15143" width="11.7109375" style="286" customWidth="1"/>
    <col min="15144" max="15144" width="9.85546875" style="286" customWidth="1"/>
    <col min="15145" max="15145" width="11" style="286" customWidth="1"/>
    <col min="15146" max="15146" width="11.42578125" style="286" customWidth="1"/>
    <col min="15147" max="15147" width="11.140625" style="286" customWidth="1"/>
    <col min="15148" max="15148" width="10.42578125" style="286" customWidth="1"/>
    <col min="15149" max="15149" width="11.5703125" style="286" customWidth="1"/>
    <col min="15150" max="15151" width="11.140625" style="286" customWidth="1"/>
    <col min="15152" max="15164" width="9.85546875" style="286" customWidth="1"/>
    <col min="15165" max="15165" width="10.5703125" style="286" customWidth="1"/>
    <col min="15166" max="15166" width="12.42578125" style="286" customWidth="1"/>
    <col min="15167" max="15167" width="10.140625" style="286" customWidth="1"/>
    <col min="15168" max="15168" width="9.140625" style="286" customWidth="1"/>
    <col min="15169" max="15169" width="9" style="286" customWidth="1"/>
    <col min="15170" max="15171" width="9.7109375" style="286" customWidth="1"/>
    <col min="15172" max="15172" width="8.42578125" style="286" customWidth="1"/>
    <col min="15173" max="15173" width="11.7109375" style="286" customWidth="1"/>
    <col min="15174" max="15174" width="10.85546875" style="286" customWidth="1"/>
    <col min="15175" max="15175" width="11.7109375" style="286" customWidth="1"/>
    <col min="15176" max="15176" width="9" style="286" customWidth="1"/>
    <col min="15177" max="15177" width="11" style="286" customWidth="1"/>
    <col min="15178" max="15178" width="10.5703125" style="286" customWidth="1"/>
    <col min="15179" max="15179" width="11.7109375" style="286" customWidth="1"/>
    <col min="15180" max="15181" width="11" style="286" customWidth="1"/>
    <col min="15182" max="15184" width="11.140625" style="286" customWidth="1"/>
    <col min="15185" max="15185" width="8.7109375" style="286" customWidth="1"/>
    <col min="15186" max="15186" width="11.140625" style="286" customWidth="1"/>
    <col min="15187" max="15187" width="9.28515625" style="286"/>
    <col min="15188" max="15188" width="11.140625" style="286" customWidth="1"/>
    <col min="15189" max="15189" width="10.5703125" style="286" customWidth="1"/>
    <col min="15190" max="15190" width="12.28515625" style="286" customWidth="1"/>
    <col min="15191" max="15191" width="12" style="286" customWidth="1"/>
    <col min="15192" max="15192" width="9.85546875" style="286" customWidth="1"/>
    <col min="15193" max="15193" width="11" style="286" customWidth="1"/>
    <col min="15194" max="15194" width="12.28515625" style="286" customWidth="1"/>
    <col min="15195" max="15195" width="12" style="286" customWidth="1"/>
    <col min="15196" max="15196" width="9.85546875" style="286" customWidth="1"/>
    <col min="15197" max="15197" width="11" style="286" customWidth="1"/>
    <col min="15198" max="15198" width="12.28515625" style="286" customWidth="1"/>
    <col min="15199" max="15199" width="12" style="286" customWidth="1"/>
    <col min="15200" max="15200" width="9.85546875" style="286" customWidth="1"/>
    <col min="15201" max="15201" width="11" style="286" customWidth="1"/>
    <col min="15202" max="15202" width="12.28515625" style="286" customWidth="1"/>
    <col min="15203" max="15203" width="12" style="286" customWidth="1"/>
    <col min="15204" max="15204" width="9.85546875" style="286" customWidth="1"/>
    <col min="15205" max="15205" width="11" style="286" customWidth="1"/>
    <col min="15206" max="15206" width="12.28515625" style="286" customWidth="1"/>
    <col min="15207" max="15207" width="12" style="286" customWidth="1"/>
    <col min="15208" max="15208" width="9.85546875" style="286" customWidth="1"/>
    <col min="15209" max="15209" width="11" style="286" customWidth="1"/>
    <col min="15210" max="15210" width="12.28515625" style="286" customWidth="1"/>
    <col min="15211" max="15211" width="12" style="286" customWidth="1"/>
    <col min="15212" max="15212" width="9.85546875" style="286" customWidth="1"/>
    <col min="15213" max="15213" width="11" style="286" customWidth="1"/>
    <col min="15214" max="15214" width="12.28515625" style="286" customWidth="1"/>
    <col min="15215" max="15215" width="12" style="286" customWidth="1"/>
    <col min="15216" max="15216" width="9.85546875" style="286" customWidth="1"/>
    <col min="15217" max="15217" width="11" style="286" customWidth="1"/>
    <col min="15218" max="15218" width="12.28515625" style="286" customWidth="1"/>
    <col min="15219" max="15219" width="12" style="286" customWidth="1"/>
    <col min="15220" max="15220" width="9.85546875" style="286" customWidth="1"/>
    <col min="15221" max="15221" width="11" style="286" customWidth="1"/>
    <col min="15222" max="15222" width="12.28515625" style="286" customWidth="1"/>
    <col min="15223" max="15223" width="12" style="286" customWidth="1"/>
    <col min="15224" max="15224" width="9.85546875" style="286" customWidth="1"/>
    <col min="15225" max="15225" width="11" style="286" customWidth="1"/>
    <col min="15226" max="15226" width="12.28515625" style="286" customWidth="1"/>
    <col min="15227" max="15227" width="12" style="286" customWidth="1"/>
    <col min="15228" max="15228" width="9.85546875" style="286" customWidth="1"/>
    <col min="15229" max="15229" width="11" style="286" customWidth="1"/>
    <col min="15230" max="15230" width="12.28515625" style="286" customWidth="1"/>
    <col min="15231" max="15231" width="12" style="286" customWidth="1"/>
    <col min="15232" max="15232" width="9.85546875" style="286" customWidth="1"/>
    <col min="15233" max="15233" width="11" style="286" customWidth="1"/>
    <col min="15234" max="15234" width="12.28515625" style="286" customWidth="1"/>
    <col min="15235" max="15235" width="12" style="286" customWidth="1"/>
    <col min="15236" max="15236" width="9.85546875" style="286" customWidth="1"/>
    <col min="15237" max="15237" width="11" style="286" customWidth="1"/>
    <col min="15238" max="15238" width="12.28515625" style="286" customWidth="1"/>
    <col min="15239" max="15239" width="12" style="286" customWidth="1"/>
    <col min="15240" max="15240" width="9.85546875" style="286" customWidth="1"/>
    <col min="15241" max="15241" width="11" style="286" customWidth="1"/>
    <col min="15242" max="15242" width="12.28515625" style="286" customWidth="1"/>
    <col min="15243" max="15243" width="12" style="286" customWidth="1"/>
    <col min="15244" max="15244" width="9.85546875" style="286" customWidth="1"/>
    <col min="15245" max="15245" width="11" style="286" customWidth="1"/>
    <col min="15246" max="15246" width="12.28515625" style="286" customWidth="1"/>
    <col min="15247" max="15247" width="12" style="286" customWidth="1"/>
    <col min="15248" max="15248" width="9.85546875" style="286" customWidth="1"/>
    <col min="15249" max="15249" width="11" style="286" customWidth="1"/>
    <col min="15250" max="15250" width="12.28515625" style="286" customWidth="1"/>
    <col min="15251" max="15251" width="12" style="286" customWidth="1"/>
    <col min="15252" max="15252" width="9.85546875" style="286" customWidth="1"/>
    <col min="15253" max="15253" width="11" style="286" customWidth="1"/>
    <col min="15254" max="15254" width="12.28515625" style="286" customWidth="1"/>
    <col min="15255" max="15255" width="12" style="286" customWidth="1"/>
    <col min="15256" max="15256" width="9.85546875" style="286" customWidth="1"/>
    <col min="15257" max="15257" width="11.7109375" style="286" customWidth="1"/>
    <col min="15258" max="15258" width="10.85546875" style="286" customWidth="1"/>
    <col min="15259" max="15259" width="11.7109375" style="286" customWidth="1"/>
    <col min="15260" max="15260" width="9" style="286" customWidth="1"/>
    <col min="15261" max="15261" width="11" style="286" customWidth="1"/>
    <col min="15262" max="15262" width="12.28515625" style="286" customWidth="1"/>
    <col min="15263" max="15263" width="12" style="286" customWidth="1"/>
    <col min="15264" max="15264" width="9.85546875" style="286" customWidth="1"/>
    <col min="15265" max="15265" width="11" style="286" customWidth="1"/>
    <col min="15266" max="15266" width="12.28515625" style="286" customWidth="1"/>
    <col min="15267" max="15267" width="12" style="286" customWidth="1"/>
    <col min="15268" max="15268" width="9.85546875" style="286" customWidth="1"/>
    <col min="15269" max="15269" width="11" style="286" customWidth="1"/>
    <col min="15270" max="15270" width="12.28515625" style="286" customWidth="1"/>
    <col min="15271" max="15271" width="12" style="286" customWidth="1"/>
    <col min="15272" max="15272" width="9.85546875" style="286" customWidth="1"/>
    <col min="15273" max="15276" width="0" style="286" hidden="1" customWidth="1"/>
    <col min="15277" max="15277" width="11" style="286" customWidth="1"/>
    <col min="15278" max="15278" width="12.28515625" style="286" customWidth="1"/>
    <col min="15279" max="15279" width="12" style="286" customWidth="1"/>
    <col min="15280" max="15280" width="9.85546875" style="286" customWidth="1"/>
    <col min="15281" max="15281" width="11" style="286" customWidth="1"/>
    <col min="15282" max="15282" width="12.28515625" style="286" customWidth="1"/>
    <col min="15283" max="15283" width="12" style="286" customWidth="1"/>
    <col min="15284" max="15284" width="9.85546875" style="286" customWidth="1"/>
    <col min="15285" max="15285" width="11" style="286" customWidth="1"/>
    <col min="15286" max="15286" width="12.28515625" style="286" customWidth="1"/>
    <col min="15287" max="15287" width="12" style="286" customWidth="1"/>
    <col min="15288" max="15288" width="9.85546875" style="286" customWidth="1"/>
    <col min="15289" max="15289" width="11" style="286" customWidth="1"/>
    <col min="15290" max="15290" width="12.28515625" style="286" customWidth="1"/>
    <col min="15291" max="15291" width="12" style="286" customWidth="1"/>
    <col min="15292" max="15292" width="9.85546875" style="286" customWidth="1"/>
    <col min="15293" max="15293" width="11" style="286" customWidth="1"/>
    <col min="15294" max="15294" width="12.28515625" style="286" customWidth="1"/>
    <col min="15295" max="15295" width="12" style="286" customWidth="1"/>
    <col min="15296" max="15296" width="9.85546875" style="286" customWidth="1"/>
    <col min="15297" max="15297" width="11" style="286" customWidth="1"/>
    <col min="15298" max="15298" width="12.28515625" style="286" customWidth="1"/>
    <col min="15299" max="15299" width="12" style="286" customWidth="1"/>
    <col min="15300" max="15300" width="9.85546875" style="286" customWidth="1"/>
    <col min="15301" max="15301" width="11" style="286" customWidth="1"/>
    <col min="15302" max="15302" width="12.28515625" style="286" customWidth="1"/>
    <col min="15303" max="15303" width="12" style="286" customWidth="1"/>
    <col min="15304" max="15304" width="9.85546875" style="286" customWidth="1"/>
    <col min="15305" max="15305" width="11" style="286" customWidth="1"/>
    <col min="15306" max="15306" width="12.28515625" style="286" customWidth="1"/>
    <col min="15307" max="15307" width="12" style="286" customWidth="1"/>
    <col min="15308" max="15308" width="9.85546875" style="286" customWidth="1"/>
    <col min="15309" max="15309" width="11" style="286" customWidth="1"/>
    <col min="15310" max="15310" width="12.28515625" style="286" customWidth="1"/>
    <col min="15311" max="15311" width="12" style="286" customWidth="1"/>
    <col min="15312" max="15312" width="9.85546875" style="286" customWidth="1"/>
    <col min="15313" max="15327" width="0" style="286" hidden="1" customWidth="1"/>
    <col min="15328" max="15328" width="9.85546875" style="286" customWidth="1"/>
    <col min="15329" max="15329" width="10.42578125" style="286" customWidth="1"/>
    <col min="15330" max="15330" width="9" style="286" customWidth="1"/>
    <col min="15331" max="15331" width="11.28515625" style="286" customWidth="1"/>
    <col min="15332" max="15332" width="10.140625" style="286" customWidth="1"/>
    <col min="15333" max="15333" width="10.7109375" style="286" customWidth="1"/>
    <col min="15334" max="15334" width="9.28515625" style="286"/>
    <col min="15335" max="15336" width="9.140625" style="286" customWidth="1"/>
    <col min="15337" max="15360" width="9.28515625" style="286"/>
    <col min="15361" max="15361" width="4.28515625" style="286" customWidth="1"/>
    <col min="15362" max="15362" width="5.42578125" style="286" customWidth="1"/>
    <col min="15363" max="15363" width="41.5703125" style="286" customWidth="1"/>
    <col min="15364" max="15364" width="7.42578125" style="286" customWidth="1"/>
    <col min="15365" max="15365" width="13.140625" style="286" customWidth="1"/>
    <col min="15366" max="15366" width="11.7109375" style="286" customWidth="1"/>
    <col min="15367" max="15367" width="14.7109375" style="286" customWidth="1"/>
    <col min="15368" max="15368" width="11.7109375" style="286" customWidth="1"/>
    <col min="15369" max="15369" width="12" style="286" customWidth="1"/>
    <col min="15370" max="15370" width="9.7109375" style="286" customWidth="1"/>
    <col min="15371" max="15372" width="9.42578125" style="286" customWidth="1"/>
    <col min="15373" max="15373" width="10.7109375" style="286" customWidth="1"/>
    <col min="15374" max="15374" width="13.42578125" style="286" customWidth="1"/>
    <col min="15375" max="15375" width="12" style="286" customWidth="1"/>
    <col min="15376" max="15376" width="11" style="286" customWidth="1"/>
    <col min="15377" max="15377" width="10.5703125" style="286" customWidth="1"/>
    <col min="15378" max="15378" width="10.42578125" style="286" customWidth="1"/>
    <col min="15379" max="15379" width="10.7109375" style="286" customWidth="1"/>
    <col min="15380" max="15381" width="11.140625" style="286" customWidth="1"/>
    <col min="15382" max="15382" width="10.5703125" style="286" customWidth="1"/>
    <col min="15383" max="15383" width="10.85546875" style="286" customWidth="1"/>
    <col min="15384" max="15384" width="9.85546875" style="286" customWidth="1"/>
    <col min="15385" max="15385" width="11" style="286" customWidth="1"/>
    <col min="15386" max="15386" width="11.42578125" style="286" customWidth="1"/>
    <col min="15387" max="15387" width="12" style="286" customWidth="1"/>
    <col min="15388" max="15388" width="9.85546875" style="286" customWidth="1"/>
    <col min="15389" max="15389" width="10.5703125" style="286" customWidth="1"/>
    <col min="15390" max="15390" width="11.140625" style="286" customWidth="1"/>
    <col min="15391" max="15391" width="11.42578125" style="286" customWidth="1"/>
    <col min="15392" max="15396" width="9.85546875" style="286" customWidth="1"/>
    <col min="15397" max="15399" width="11.7109375" style="286" customWidth="1"/>
    <col min="15400" max="15400" width="9.85546875" style="286" customWidth="1"/>
    <col min="15401" max="15401" width="11" style="286" customWidth="1"/>
    <col min="15402" max="15402" width="11.42578125" style="286" customWidth="1"/>
    <col min="15403" max="15403" width="11.140625" style="286" customWidth="1"/>
    <col min="15404" max="15404" width="10.42578125" style="286" customWidth="1"/>
    <col min="15405" max="15405" width="11.5703125" style="286" customWidth="1"/>
    <col min="15406" max="15407" width="11.140625" style="286" customWidth="1"/>
    <col min="15408" max="15420" width="9.85546875" style="286" customWidth="1"/>
    <col min="15421" max="15421" width="10.5703125" style="286" customWidth="1"/>
    <col min="15422" max="15422" width="12.42578125" style="286" customWidth="1"/>
    <col min="15423" max="15423" width="10.140625" style="286" customWidth="1"/>
    <col min="15424" max="15424" width="9.140625" style="286" customWidth="1"/>
    <col min="15425" max="15425" width="9" style="286" customWidth="1"/>
    <col min="15426" max="15427" width="9.7109375" style="286" customWidth="1"/>
    <col min="15428" max="15428" width="8.42578125" style="286" customWidth="1"/>
    <col min="15429" max="15429" width="11.7109375" style="286" customWidth="1"/>
    <col min="15430" max="15430" width="10.85546875" style="286" customWidth="1"/>
    <col min="15431" max="15431" width="11.7109375" style="286" customWidth="1"/>
    <col min="15432" max="15432" width="9" style="286" customWidth="1"/>
    <col min="15433" max="15433" width="11" style="286" customWidth="1"/>
    <col min="15434" max="15434" width="10.5703125" style="286" customWidth="1"/>
    <col min="15435" max="15435" width="11.7109375" style="286" customWidth="1"/>
    <col min="15436" max="15437" width="11" style="286" customWidth="1"/>
    <col min="15438" max="15440" width="11.140625" style="286" customWidth="1"/>
    <col min="15441" max="15441" width="8.7109375" style="286" customWidth="1"/>
    <col min="15442" max="15442" width="11.140625" style="286" customWidth="1"/>
    <col min="15443" max="15443" width="9.28515625" style="286"/>
    <col min="15444" max="15444" width="11.140625" style="286" customWidth="1"/>
    <col min="15445" max="15445" width="10.5703125" style="286" customWidth="1"/>
    <col min="15446" max="15446" width="12.28515625" style="286" customWidth="1"/>
    <col min="15447" max="15447" width="12" style="286" customWidth="1"/>
    <col min="15448" max="15448" width="9.85546875" style="286" customWidth="1"/>
    <col min="15449" max="15449" width="11" style="286" customWidth="1"/>
    <col min="15450" max="15450" width="12.28515625" style="286" customWidth="1"/>
    <col min="15451" max="15451" width="12" style="286" customWidth="1"/>
    <col min="15452" max="15452" width="9.85546875" style="286" customWidth="1"/>
    <col min="15453" max="15453" width="11" style="286" customWidth="1"/>
    <col min="15454" max="15454" width="12.28515625" style="286" customWidth="1"/>
    <col min="15455" max="15455" width="12" style="286" customWidth="1"/>
    <col min="15456" max="15456" width="9.85546875" style="286" customWidth="1"/>
    <col min="15457" max="15457" width="11" style="286" customWidth="1"/>
    <col min="15458" max="15458" width="12.28515625" style="286" customWidth="1"/>
    <col min="15459" max="15459" width="12" style="286" customWidth="1"/>
    <col min="15460" max="15460" width="9.85546875" style="286" customWidth="1"/>
    <col min="15461" max="15461" width="11" style="286" customWidth="1"/>
    <col min="15462" max="15462" width="12.28515625" style="286" customWidth="1"/>
    <col min="15463" max="15463" width="12" style="286" customWidth="1"/>
    <col min="15464" max="15464" width="9.85546875" style="286" customWidth="1"/>
    <col min="15465" max="15465" width="11" style="286" customWidth="1"/>
    <col min="15466" max="15466" width="12.28515625" style="286" customWidth="1"/>
    <col min="15467" max="15467" width="12" style="286" customWidth="1"/>
    <col min="15468" max="15468" width="9.85546875" style="286" customWidth="1"/>
    <col min="15469" max="15469" width="11" style="286" customWidth="1"/>
    <col min="15470" max="15470" width="12.28515625" style="286" customWidth="1"/>
    <col min="15471" max="15471" width="12" style="286" customWidth="1"/>
    <col min="15472" max="15472" width="9.85546875" style="286" customWidth="1"/>
    <col min="15473" max="15473" width="11" style="286" customWidth="1"/>
    <col min="15474" max="15474" width="12.28515625" style="286" customWidth="1"/>
    <col min="15475" max="15475" width="12" style="286" customWidth="1"/>
    <col min="15476" max="15476" width="9.85546875" style="286" customWidth="1"/>
    <col min="15477" max="15477" width="11" style="286" customWidth="1"/>
    <col min="15478" max="15478" width="12.28515625" style="286" customWidth="1"/>
    <col min="15479" max="15479" width="12" style="286" customWidth="1"/>
    <col min="15480" max="15480" width="9.85546875" style="286" customWidth="1"/>
    <col min="15481" max="15481" width="11" style="286" customWidth="1"/>
    <col min="15482" max="15482" width="12.28515625" style="286" customWidth="1"/>
    <col min="15483" max="15483" width="12" style="286" customWidth="1"/>
    <col min="15484" max="15484" width="9.85546875" style="286" customWidth="1"/>
    <col min="15485" max="15485" width="11" style="286" customWidth="1"/>
    <col min="15486" max="15486" width="12.28515625" style="286" customWidth="1"/>
    <col min="15487" max="15487" width="12" style="286" customWidth="1"/>
    <col min="15488" max="15488" width="9.85546875" style="286" customWidth="1"/>
    <col min="15489" max="15489" width="11" style="286" customWidth="1"/>
    <col min="15490" max="15490" width="12.28515625" style="286" customWidth="1"/>
    <col min="15491" max="15491" width="12" style="286" customWidth="1"/>
    <col min="15492" max="15492" width="9.85546875" style="286" customWidth="1"/>
    <col min="15493" max="15493" width="11" style="286" customWidth="1"/>
    <col min="15494" max="15494" width="12.28515625" style="286" customWidth="1"/>
    <col min="15495" max="15495" width="12" style="286" customWidth="1"/>
    <col min="15496" max="15496" width="9.85546875" style="286" customWidth="1"/>
    <col min="15497" max="15497" width="11" style="286" customWidth="1"/>
    <col min="15498" max="15498" width="12.28515625" style="286" customWidth="1"/>
    <col min="15499" max="15499" width="12" style="286" customWidth="1"/>
    <col min="15500" max="15500" width="9.85546875" style="286" customWidth="1"/>
    <col min="15501" max="15501" width="11" style="286" customWidth="1"/>
    <col min="15502" max="15502" width="12.28515625" style="286" customWidth="1"/>
    <col min="15503" max="15503" width="12" style="286" customWidth="1"/>
    <col min="15504" max="15504" width="9.85546875" style="286" customWidth="1"/>
    <col min="15505" max="15505" width="11" style="286" customWidth="1"/>
    <col min="15506" max="15506" width="12.28515625" style="286" customWidth="1"/>
    <col min="15507" max="15507" width="12" style="286" customWidth="1"/>
    <col min="15508" max="15508" width="9.85546875" style="286" customWidth="1"/>
    <col min="15509" max="15509" width="11" style="286" customWidth="1"/>
    <col min="15510" max="15510" width="12.28515625" style="286" customWidth="1"/>
    <col min="15511" max="15511" width="12" style="286" customWidth="1"/>
    <col min="15512" max="15512" width="9.85546875" style="286" customWidth="1"/>
    <col min="15513" max="15513" width="11.7109375" style="286" customWidth="1"/>
    <col min="15514" max="15514" width="10.85546875" style="286" customWidth="1"/>
    <col min="15515" max="15515" width="11.7109375" style="286" customWidth="1"/>
    <col min="15516" max="15516" width="9" style="286" customWidth="1"/>
    <col min="15517" max="15517" width="11" style="286" customWidth="1"/>
    <col min="15518" max="15518" width="12.28515625" style="286" customWidth="1"/>
    <col min="15519" max="15519" width="12" style="286" customWidth="1"/>
    <col min="15520" max="15520" width="9.85546875" style="286" customWidth="1"/>
    <col min="15521" max="15521" width="11" style="286" customWidth="1"/>
    <col min="15522" max="15522" width="12.28515625" style="286" customWidth="1"/>
    <col min="15523" max="15523" width="12" style="286" customWidth="1"/>
    <col min="15524" max="15524" width="9.85546875" style="286" customWidth="1"/>
    <col min="15525" max="15525" width="11" style="286" customWidth="1"/>
    <col min="15526" max="15526" width="12.28515625" style="286" customWidth="1"/>
    <col min="15527" max="15527" width="12" style="286" customWidth="1"/>
    <col min="15528" max="15528" width="9.85546875" style="286" customWidth="1"/>
    <col min="15529" max="15532" width="0" style="286" hidden="1" customWidth="1"/>
    <col min="15533" max="15533" width="11" style="286" customWidth="1"/>
    <col min="15534" max="15534" width="12.28515625" style="286" customWidth="1"/>
    <col min="15535" max="15535" width="12" style="286" customWidth="1"/>
    <col min="15536" max="15536" width="9.85546875" style="286" customWidth="1"/>
    <col min="15537" max="15537" width="11" style="286" customWidth="1"/>
    <col min="15538" max="15538" width="12.28515625" style="286" customWidth="1"/>
    <col min="15539" max="15539" width="12" style="286" customWidth="1"/>
    <col min="15540" max="15540" width="9.85546875" style="286" customWidth="1"/>
    <col min="15541" max="15541" width="11" style="286" customWidth="1"/>
    <col min="15542" max="15542" width="12.28515625" style="286" customWidth="1"/>
    <col min="15543" max="15543" width="12" style="286" customWidth="1"/>
    <col min="15544" max="15544" width="9.85546875" style="286" customWidth="1"/>
    <col min="15545" max="15545" width="11" style="286" customWidth="1"/>
    <col min="15546" max="15546" width="12.28515625" style="286" customWidth="1"/>
    <col min="15547" max="15547" width="12" style="286" customWidth="1"/>
    <col min="15548" max="15548" width="9.85546875" style="286" customWidth="1"/>
    <col min="15549" max="15549" width="11" style="286" customWidth="1"/>
    <col min="15550" max="15550" width="12.28515625" style="286" customWidth="1"/>
    <col min="15551" max="15551" width="12" style="286" customWidth="1"/>
    <col min="15552" max="15552" width="9.85546875" style="286" customWidth="1"/>
    <col min="15553" max="15553" width="11" style="286" customWidth="1"/>
    <col min="15554" max="15554" width="12.28515625" style="286" customWidth="1"/>
    <col min="15555" max="15555" width="12" style="286" customWidth="1"/>
    <col min="15556" max="15556" width="9.85546875" style="286" customWidth="1"/>
    <col min="15557" max="15557" width="11" style="286" customWidth="1"/>
    <col min="15558" max="15558" width="12.28515625" style="286" customWidth="1"/>
    <col min="15559" max="15559" width="12" style="286" customWidth="1"/>
    <col min="15560" max="15560" width="9.85546875" style="286" customWidth="1"/>
    <col min="15561" max="15561" width="11" style="286" customWidth="1"/>
    <col min="15562" max="15562" width="12.28515625" style="286" customWidth="1"/>
    <col min="15563" max="15563" width="12" style="286" customWidth="1"/>
    <col min="15564" max="15564" width="9.85546875" style="286" customWidth="1"/>
    <col min="15565" max="15565" width="11" style="286" customWidth="1"/>
    <col min="15566" max="15566" width="12.28515625" style="286" customWidth="1"/>
    <col min="15567" max="15567" width="12" style="286" customWidth="1"/>
    <col min="15568" max="15568" width="9.85546875" style="286" customWidth="1"/>
    <col min="15569" max="15583" width="0" style="286" hidden="1" customWidth="1"/>
    <col min="15584" max="15584" width="9.85546875" style="286" customWidth="1"/>
    <col min="15585" max="15585" width="10.42578125" style="286" customWidth="1"/>
    <col min="15586" max="15586" width="9" style="286" customWidth="1"/>
    <col min="15587" max="15587" width="11.28515625" style="286" customWidth="1"/>
    <col min="15588" max="15588" width="10.140625" style="286" customWidth="1"/>
    <col min="15589" max="15589" width="10.7109375" style="286" customWidth="1"/>
    <col min="15590" max="15590" width="9.28515625" style="286"/>
    <col min="15591" max="15592" width="9.140625" style="286" customWidth="1"/>
    <col min="15593" max="15616" width="9.28515625" style="286"/>
    <col min="15617" max="15617" width="4.28515625" style="286" customWidth="1"/>
    <col min="15618" max="15618" width="5.42578125" style="286" customWidth="1"/>
    <col min="15619" max="15619" width="41.5703125" style="286" customWidth="1"/>
    <col min="15620" max="15620" width="7.42578125" style="286" customWidth="1"/>
    <col min="15621" max="15621" width="13.140625" style="286" customWidth="1"/>
    <col min="15622" max="15622" width="11.7109375" style="286" customWidth="1"/>
    <col min="15623" max="15623" width="14.7109375" style="286" customWidth="1"/>
    <col min="15624" max="15624" width="11.7109375" style="286" customWidth="1"/>
    <col min="15625" max="15625" width="12" style="286" customWidth="1"/>
    <col min="15626" max="15626" width="9.7109375" style="286" customWidth="1"/>
    <col min="15627" max="15628" width="9.42578125" style="286" customWidth="1"/>
    <col min="15629" max="15629" width="10.7109375" style="286" customWidth="1"/>
    <col min="15630" max="15630" width="13.42578125" style="286" customWidth="1"/>
    <col min="15631" max="15631" width="12" style="286" customWidth="1"/>
    <col min="15632" max="15632" width="11" style="286" customWidth="1"/>
    <col min="15633" max="15633" width="10.5703125" style="286" customWidth="1"/>
    <col min="15634" max="15634" width="10.42578125" style="286" customWidth="1"/>
    <col min="15635" max="15635" width="10.7109375" style="286" customWidth="1"/>
    <col min="15636" max="15637" width="11.140625" style="286" customWidth="1"/>
    <col min="15638" max="15638" width="10.5703125" style="286" customWidth="1"/>
    <col min="15639" max="15639" width="10.85546875" style="286" customWidth="1"/>
    <col min="15640" max="15640" width="9.85546875" style="286" customWidth="1"/>
    <col min="15641" max="15641" width="11" style="286" customWidth="1"/>
    <col min="15642" max="15642" width="11.42578125" style="286" customWidth="1"/>
    <col min="15643" max="15643" width="12" style="286" customWidth="1"/>
    <col min="15644" max="15644" width="9.85546875" style="286" customWidth="1"/>
    <col min="15645" max="15645" width="10.5703125" style="286" customWidth="1"/>
    <col min="15646" max="15646" width="11.140625" style="286" customWidth="1"/>
    <col min="15647" max="15647" width="11.42578125" style="286" customWidth="1"/>
    <col min="15648" max="15652" width="9.85546875" style="286" customWidth="1"/>
    <col min="15653" max="15655" width="11.7109375" style="286" customWidth="1"/>
    <col min="15656" max="15656" width="9.85546875" style="286" customWidth="1"/>
    <col min="15657" max="15657" width="11" style="286" customWidth="1"/>
    <col min="15658" max="15658" width="11.42578125" style="286" customWidth="1"/>
    <col min="15659" max="15659" width="11.140625" style="286" customWidth="1"/>
    <col min="15660" max="15660" width="10.42578125" style="286" customWidth="1"/>
    <col min="15661" max="15661" width="11.5703125" style="286" customWidth="1"/>
    <col min="15662" max="15663" width="11.140625" style="286" customWidth="1"/>
    <col min="15664" max="15676" width="9.85546875" style="286" customWidth="1"/>
    <col min="15677" max="15677" width="10.5703125" style="286" customWidth="1"/>
    <col min="15678" max="15678" width="12.42578125" style="286" customWidth="1"/>
    <col min="15679" max="15679" width="10.140625" style="286" customWidth="1"/>
    <col min="15680" max="15680" width="9.140625" style="286" customWidth="1"/>
    <col min="15681" max="15681" width="9" style="286" customWidth="1"/>
    <col min="15682" max="15683" width="9.7109375" style="286" customWidth="1"/>
    <col min="15684" max="15684" width="8.42578125" style="286" customWidth="1"/>
    <col min="15685" max="15685" width="11.7109375" style="286" customWidth="1"/>
    <col min="15686" max="15686" width="10.85546875" style="286" customWidth="1"/>
    <col min="15687" max="15687" width="11.7109375" style="286" customWidth="1"/>
    <col min="15688" max="15688" width="9" style="286" customWidth="1"/>
    <col min="15689" max="15689" width="11" style="286" customWidth="1"/>
    <col min="15690" max="15690" width="10.5703125" style="286" customWidth="1"/>
    <col min="15691" max="15691" width="11.7109375" style="286" customWidth="1"/>
    <col min="15692" max="15693" width="11" style="286" customWidth="1"/>
    <col min="15694" max="15696" width="11.140625" style="286" customWidth="1"/>
    <col min="15697" max="15697" width="8.7109375" style="286" customWidth="1"/>
    <col min="15698" max="15698" width="11.140625" style="286" customWidth="1"/>
    <col min="15699" max="15699" width="9.28515625" style="286"/>
    <col min="15700" max="15700" width="11.140625" style="286" customWidth="1"/>
    <col min="15701" max="15701" width="10.5703125" style="286" customWidth="1"/>
    <col min="15702" max="15702" width="12.28515625" style="286" customWidth="1"/>
    <col min="15703" max="15703" width="12" style="286" customWidth="1"/>
    <col min="15704" max="15704" width="9.85546875" style="286" customWidth="1"/>
    <col min="15705" max="15705" width="11" style="286" customWidth="1"/>
    <col min="15706" max="15706" width="12.28515625" style="286" customWidth="1"/>
    <col min="15707" max="15707" width="12" style="286" customWidth="1"/>
    <col min="15708" max="15708" width="9.85546875" style="286" customWidth="1"/>
    <col min="15709" max="15709" width="11" style="286" customWidth="1"/>
    <col min="15710" max="15710" width="12.28515625" style="286" customWidth="1"/>
    <col min="15711" max="15711" width="12" style="286" customWidth="1"/>
    <col min="15712" max="15712" width="9.85546875" style="286" customWidth="1"/>
    <col min="15713" max="15713" width="11" style="286" customWidth="1"/>
    <col min="15714" max="15714" width="12.28515625" style="286" customWidth="1"/>
    <col min="15715" max="15715" width="12" style="286" customWidth="1"/>
    <col min="15716" max="15716" width="9.85546875" style="286" customWidth="1"/>
    <col min="15717" max="15717" width="11" style="286" customWidth="1"/>
    <col min="15718" max="15718" width="12.28515625" style="286" customWidth="1"/>
    <col min="15719" max="15719" width="12" style="286" customWidth="1"/>
    <col min="15720" max="15720" width="9.85546875" style="286" customWidth="1"/>
    <col min="15721" max="15721" width="11" style="286" customWidth="1"/>
    <col min="15722" max="15722" width="12.28515625" style="286" customWidth="1"/>
    <col min="15723" max="15723" width="12" style="286" customWidth="1"/>
    <col min="15724" max="15724" width="9.85546875" style="286" customWidth="1"/>
    <col min="15725" max="15725" width="11" style="286" customWidth="1"/>
    <col min="15726" max="15726" width="12.28515625" style="286" customWidth="1"/>
    <col min="15727" max="15727" width="12" style="286" customWidth="1"/>
    <col min="15728" max="15728" width="9.85546875" style="286" customWidth="1"/>
    <col min="15729" max="15729" width="11" style="286" customWidth="1"/>
    <col min="15730" max="15730" width="12.28515625" style="286" customWidth="1"/>
    <col min="15731" max="15731" width="12" style="286" customWidth="1"/>
    <col min="15732" max="15732" width="9.85546875" style="286" customWidth="1"/>
    <col min="15733" max="15733" width="11" style="286" customWidth="1"/>
    <col min="15734" max="15734" width="12.28515625" style="286" customWidth="1"/>
    <col min="15735" max="15735" width="12" style="286" customWidth="1"/>
    <col min="15736" max="15736" width="9.85546875" style="286" customWidth="1"/>
    <col min="15737" max="15737" width="11" style="286" customWidth="1"/>
    <col min="15738" max="15738" width="12.28515625" style="286" customWidth="1"/>
    <col min="15739" max="15739" width="12" style="286" customWidth="1"/>
    <col min="15740" max="15740" width="9.85546875" style="286" customWidth="1"/>
    <col min="15741" max="15741" width="11" style="286" customWidth="1"/>
    <col min="15742" max="15742" width="12.28515625" style="286" customWidth="1"/>
    <col min="15743" max="15743" width="12" style="286" customWidth="1"/>
    <col min="15744" max="15744" width="9.85546875" style="286" customWidth="1"/>
    <col min="15745" max="15745" width="11" style="286" customWidth="1"/>
    <col min="15746" max="15746" width="12.28515625" style="286" customWidth="1"/>
    <col min="15747" max="15747" width="12" style="286" customWidth="1"/>
    <col min="15748" max="15748" width="9.85546875" style="286" customWidth="1"/>
    <col min="15749" max="15749" width="11" style="286" customWidth="1"/>
    <col min="15750" max="15750" width="12.28515625" style="286" customWidth="1"/>
    <col min="15751" max="15751" width="12" style="286" customWidth="1"/>
    <col min="15752" max="15752" width="9.85546875" style="286" customWidth="1"/>
    <col min="15753" max="15753" width="11" style="286" customWidth="1"/>
    <col min="15754" max="15754" width="12.28515625" style="286" customWidth="1"/>
    <col min="15755" max="15755" width="12" style="286" customWidth="1"/>
    <col min="15756" max="15756" width="9.85546875" style="286" customWidth="1"/>
    <col min="15757" max="15757" width="11" style="286" customWidth="1"/>
    <col min="15758" max="15758" width="12.28515625" style="286" customWidth="1"/>
    <col min="15759" max="15759" width="12" style="286" customWidth="1"/>
    <col min="15760" max="15760" width="9.85546875" style="286" customWidth="1"/>
    <col min="15761" max="15761" width="11" style="286" customWidth="1"/>
    <col min="15762" max="15762" width="12.28515625" style="286" customWidth="1"/>
    <col min="15763" max="15763" width="12" style="286" customWidth="1"/>
    <col min="15764" max="15764" width="9.85546875" style="286" customWidth="1"/>
    <col min="15765" max="15765" width="11" style="286" customWidth="1"/>
    <col min="15766" max="15766" width="12.28515625" style="286" customWidth="1"/>
    <col min="15767" max="15767" width="12" style="286" customWidth="1"/>
    <col min="15768" max="15768" width="9.85546875" style="286" customWidth="1"/>
    <col min="15769" max="15769" width="11.7109375" style="286" customWidth="1"/>
    <col min="15770" max="15770" width="10.85546875" style="286" customWidth="1"/>
    <col min="15771" max="15771" width="11.7109375" style="286" customWidth="1"/>
    <col min="15772" max="15772" width="9" style="286" customWidth="1"/>
    <col min="15773" max="15773" width="11" style="286" customWidth="1"/>
    <col min="15774" max="15774" width="12.28515625" style="286" customWidth="1"/>
    <col min="15775" max="15775" width="12" style="286" customWidth="1"/>
    <col min="15776" max="15776" width="9.85546875" style="286" customWidth="1"/>
    <col min="15777" max="15777" width="11" style="286" customWidth="1"/>
    <col min="15778" max="15778" width="12.28515625" style="286" customWidth="1"/>
    <col min="15779" max="15779" width="12" style="286" customWidth="1"/>
    <col min="15780" max="15780" width="9.85546875" style="286" customWidth="1"/>
    <col min="15781" max="15781" width="11" style="286" customWidth="1"/>
    <col min="15782" max="15782" width="12.28515625" style="286" customWidth="1"/>
    <col min="15783" max="15783" width="12" style="286" customWidth="1"/>
    <col min="15784" max="15784" width="9.85546875" style="286" customWidth="1"/>
    <col min="15785" max="15788" width="0" style="286" hidden="1" customWidth="1"/>
    <col min="15789" max="15789" width="11" style="286" customWidth="1"/>
    <col min="15790" max="15790" width="12.28515625" style="286" customWidth="1"/>
    <col min="15791" max="15791" width="12" style="286" customWidth="1"/>
    <col min="15792" max="15792" width="9.85546875" style="286" customWidth="1"/>
    <col min="15793" max="15793" width="11" style="286" customWidth="1"/>
    <col min="15794" max="15794" width="12.28515625" style="286" customWidth="1"/>
    <col min="15795" max="15795" width="12" style="286" customWidth="1"/>
    <col min="15796" max="15796" width="9.85546875" style="286" customWidth="1"/>
    <col min="15797" max="15797" width="11" style="286" customWidth="1"/>
    <col min="15798" max="15798" width="12.28515625" style="286" customWidth="1"/>
    <col min="15799" max="15799" width="12" style="286" customWidth="1"/>
    <col min="15800" max="15800" width="9.85546875" style="286" customWidth="1"/>
    <col min="15801" max="15801" width="11" style="286" customWidth="1"/>
    <col min="15802" max="15802" width="12.28515625" style="286" customWidth="1"/>
    <col min="15803" max="15803" width="12" style="286" customWidth="1"/>
    <col min="15804" max="15804" width="9.85546875" style="286" customWidth="1"/>
    <col min="15805" max="15805" width="11" style="286" customWidth="1"/>
    <col min="15806" max="15806" width="12.28515625" style="286" customWidth="1"/>
    <col min="15807" max="15807" width="12" style="286" customWidth="1"/>
    <col min="15808" max="15808" width="9.85546875" style="286" customWidth="1"/>
    <col min="15809" max="15809" width="11" style="286" customWidth="1"/>
    <col min="15810" max="15810" width="12.28515625" style="286" customWidth="1"/>
    <col min="15811" max="15811" width="12" style="286" customWidth="1"/>
    <col min="15812" max="15812" width="9.85546875" style="286" customWidth="1"/>
    <col min="15813" max="15813" width="11" style="286" customWidth="1"/>
    <col min="15814" max="15814" width="12.28515625" style="286" customWidth="1"/>
    <col min="15815" max="15815" width="12" style="286" customWidth="1"/>
    <col min="15816" max="15816" width="9.85546875" style="286" customWidth="1"/>
    <col min="15817" max="15817" width="11" style="286" customWidth="1"/>
    <col min="15818" max="15818" width="12.28515625" style="286" customWidth="1"/>
    <col min="15819" max="15819" width="12" style="286" customWidth="1"/>
    <col min="15820" max="15820" width="9.85546875" style="286" customWidth="1"/>
    <col min="15821" max="15821" width="11" style="286" customWidth="1"/>
    <col min="15822" max="15822" width="12.28515625" style="286" customWidth="1"/>
    <col min="15823" max="15823" width="12" style="286" customWidth="1"/>
    <col min="15824" max="15824" width="9.85546875" style="286" customWidth="1"/>
    <col min="15825" max="15839" width="0" style="286" hidden="1" customWidth="1"/>
    <col min="15840" max="15840" width="9.85546875" style="286" customWidth="1"/>
    <col min="15841" max="15841" width="10.42578125" style="286" customWidth="1"/>
    <col min="15842" max="15842" width="9" style="286" customWidth="1"/>
    <col min="15843" max="15843" width="11.28515625" style="286" customWidth="1"/>
    <col min="15844" max="15844" width="10.140625" style="286" customWidth="1"/>
    <col min="15845" max="15845" width="10.7109375" style="286" customWidth="1"/>
    <col min="15846" max="15846" width="9.28515625" style="286"/>
    <col min="15847" max="15848" width="9.140625" style="286" customWidth="1"/>
    <col min="15849" max="15872" width="9.28515625" style="286"/>
    <col min="15873" max="15873" width="4.28515625" style="286" customWidth="1"/>
    <col min="15874" max="15874" width="5.42578125" style="286" customWidth="1"/>
    <col min="15875" max="15875" width="41.5703125" style="286" customWidth="1"/>
    <col min="15876" max="15876" width="7.42578125" style="286" customWidth="1"/>
    <col min="15877" max="15877" width="13.140625" style="286" customWidth="1"/>
    <col min="15878" max="15878" width="11.7109375" style="286" customWidth="1"/>
    <col min="15879" max="15879" width="14.7109375" style="286" customWidth="1"/>
    <col min="15880" max="15880" width="11.7109375" style="286" customWidth="1"/>
    <col min="15881" max="15881" width="12" style="286" customWidth="1"/>
    <col min="15882" max="15882" width="9.7109375" style="286" customWidth="1"/>
    <col min="15883" max="15884" width="9.42578125" style="286" customWidth="1"/>
    <col min="15885" max="15885" width="10.7109375" style="286" customWidth="1"/>
    <col min="15886" max="15886" width="13.42578125" style="286" customWidth="1"/>
    <col min="15887" max="15887" width="12" style="286" customWidth="1"/>
    <col min="15888" max="15888" width="11" style="286" customWidth="1"/>
    <col min="15889" max="15889" width="10.5703125" style="286" customWidth="1"/>
    <col min="15890" max="15890" width="10.42578125" style="286" customWidth="1"/>
    <col min="15891" max="15891" width="10.7109375" style="286" customWidth="1"/>
    <col min="15892" max="15893" width="11.140625" style="286" customWidth="1"/>
    <col min="15894" max="15894" width="10.5703125" style="286" customWidth="1"/>
    <col min="15895" max="15895" width="10.85546875" style="286" customWidth="1"/>
    <col min="15896" max="15896" width="9.85546875" style="286" customWidth="1"/>
    <col min="15897" max="15897" width="11" style="286" customWidth="1"/>
    <col min="15898" max="15898" width="11.42578125" style="286" customWidth="1"/>
    <col min="15899" max="15899" width="12" style="286" customWidth="1"/>
    <col min="15900" max="15900" width="9.85546875" style="286" customWidth="1"/>
    <col min="15901" max="15901" width="10.5703125" style="286" customWidth="1"/>
    <col min="15902" max="15902" width="11.140625" style="286" customWidth="1"/>
    <col min="15903" max="15903" width="11.42578125" style="286" customWidth="1"/>
    <col min="15904" max="15908" width="9.85546875" style="286" customWidth="1"/>
    <col min="15909" max="15911" width="11.7109375" style="286" customWidth="1"/>
    <col min="15912" max="15912" width="9.85546875" style="286" customWidth="1"/>
    <col min="15913" max="15913" width="11" style="286" customWidth="1"/>
    <col min="15914" max="15914" width="11.42578125" style="286" customWidth="1"/>
    <col min="15915" max="15915" width="11.140625" style="286" customWidth="1"/>
    <col min="15916" max="15916" width="10.42578125" style="286" customWidth="1"/>
    <col min="15917" max="15917" width="11.5703125" style="286" customWidth="1"/>
    <col min="15918" max="15919" width="11.140625" style="286" customWidth="1"/>
    <col min="15920" max="15932" width="9.85546875" style="286" customWidth="1"/>
    <col min="15933" max="15933" width="10.5703125" style="286" customWidth="1"/>
    <col min="15934" max="15934" width="12.42578125" style="286" customWidth="1"/>
    <col min="15935" max="15935" width="10.140625" style="286" customWidth="1"/>
    <col min="15936" max="15936" width="9.140625" style="286" customWidth="1"/>
    <col min="15937" max="15937" width="9" style="286" customWidth="1"/>
    <col min="15938" max="15939" width="9.7109375" style="286" customWidth="1"/>
    <col min="15940" max="15940" width="8.42578125" style="286" customWidth="1"/>
    <col min="15941" max="15941" width="11.7109375" style="286" customWidth="1"/>
    <col min="15942" max="15942" width="10.85546875" style="286" customWidth="1"/>
    <col min="15943" max="15943" width="11.7109375" style="286" customWidth="1"/>
    <col min="15944" max="15944" width="9" style="286" customWidth="1"/>
    <col min="15945" max="15945" width="11" style="286" customWidth="1"/>
    <col min="15946" max="15946" width="10.5703125" style="286" customWidth="1"/>
    <col min="15947" max="15947" width="11.7109375" style="286" customWidth="1"/>
    <col min="15948" max="15949" width="11" style="286" customWidth="1"/>
    <col min="15950" max="15952" width="11.140625" style="286" customWidth="1"/>
    <col min="15953" max="15953" width="8.7109375" style="286" customWidth="1"/>
    <col min="15954" max="15954" width="11.140625" style="286" customWidth="1"/>
    <col min="15955" max="15955" width="9.28515625" style="286"/>
    <col min="15956" max="15956" width="11.140625" style="286" customWidth="1"/>
    <col min="15957" max="15957" width="10.5703125" style="286" customWidth="1"/>
    <col min="15958" max="15958" width="12.28515625" style="286" customWidth="1"/>
    <col min="15959" max="15959" width="12" style="286" customWidth="1"/>
    <col min="15960" max="15960" width="9.85546875" style="286" customWidth="1"/>
    <col min="15961" max="15961" width="11" style="286" customWidth="1"/>
    <col min="15962" max="15962" width="12.28515625" style="286" customWidth="1"/>
    <col min="15963" max="15963" width="12" style="286" customWidth="1"/>
    <col min="15964" max="15964" width="9.85546875" style="286" customWidth="1"/>
    <col min="15965" max="15965" width="11" style="286" customWidth="1"/>
    <col min="15966" max="15966" width="12.28515625" style="286" customWidth="1"/>
    <col min="15967" max="15967" width="12" style="286" customWidth="1"/>
    <col min="15968" max="15968" width="9.85546875" style="286" customWidth="1"/>
    <col min="15969" max="15969" width="11" style="286" customWidth="1"/>
    <col min="15970" max="15970" width="12.28515625" style="286" customWidth="1"/>
    <col min="15971" max="15971" width="12" style="286" customWidth="1"/>
    <col min="15972" max="15972" width="9.85546875" style="286" customWidth="1"/>
    <col min="15973" max="15973" width="11" style="286" customWidth="1"/>
    <col min="15974" max="15974" width="12.28515625" style="286" customWidth="1"/>
    <col min="15975" max="15975" width="12" style="286" customWidth="1"/>
    <col min="15976" max="15976" width="9.85546875" style="286" customWidth="1"/>
    <col min="15977" max="15977" width="11" style="286" customWidth="1"/>
    <col min="15978" max="15978" width="12.28515625" style="286" customWidth="1"/>
    <col min="15979" max="15979" width="12" style="286" customWidth="1"/>
    <col min="15980" max="15980" width="9.85546875" style="286" customWidth="1"/>
    <col min="15981" max="15981" width="11" style="286" customWidth="1"/>
    <col min="15982" max="15982" width="12.28515625" style="286" customWidth="1"/>
    <col min="15983" max="15983" width="12" style="286" customWidth="1"/>
    <col min="15984" max="15984" width="9.85546875" style="286" customWidth="1"/>
    <col min="15985" max="15985" width="11" style="286" customWidth="1"/>
    <col min="15986" max="15986" width="12.28515625" style="286" customWidth="1"/>
    <col min="15987" max="15987" width="12" style="286" customWidth="1"/>
    <col min="15988" max="15988" width="9.85546875" style="286" customWidth="1"/>
    <col min="15989" max="15989" width="11" style="286" customWidth="1"/>
    <col min="15990" max="15990" width="12.28515625" style="286" customWidth="1"/>
    <col min="15991" max="15991" width="12" style="286" customWidth="1"/>
    <col min="15992" max="15992" width="9.85546875" style="286" customWidth="1"/>
    <col min="15993" max="15993" width="11" style="286" customWidth="1"/>
    <col min="15994" max="15994" width="12.28515625" style="286" customWidth="1"/>
    <col min="15995" max="15995" width="12" style="286" customWidth="1"/>
    <col min="15996" max="15996" width="9.85546875" style="286" customWidth="1"/>
    <col min="15997" max="15997" width="11" style="286" customWidth="1"/>
    <col min="15998" max="15998" width="12.28515625" style="286" customWidth="1"/>
    <col min="15999" max="15999" width="12" style="286" customWidth="1"/>
    <col min="16000" max="16000" width="9.85546875" style="286" customWidth="1"/>
    <col min="16001" max="16001" width="11" style="286" customWidth="1"/>
    <col min="16002" max="16002" width="12.28515625" style="286" customWidth="1"/>
    <col min="16003" max="16003" width="12" style="286" customWidth="1"/>
    <col min="16004" max="16004" width="9.85546875" style="286" customWidth="1"/>
    <col min="16005" max="16005" width="11" style="286" customWidth="1"/>
    <col min="16006" max="16006" width="12.28515625" style="286" customWidth="1"/>
    <col min="16007" max="16007" width="12" style="286" customWidth="1"/>
    <col min="16008" max="16008" width="9.85546875" style="286" customWidth="1"/>
    <col min="16009" max="16009" width="11" style="286" customWidth="1"/>
    <col min="16010" max="16010" width="12.28515625" style="286" customWidth="1"/>
    <col min="16011" max="16011" width="12" style="286" customWidth="1"/>
    <col min="16012" max="16012" width="9.85546875" style="286" customWidth="1"/>
    <col min="16013" max="16013" width="11" style="286" customWidth="1"/>
    <col min="16014" max="16014" width="12.28515625" style="286" customWidth="1"/>
    <col min="16015" max="16015" width="12" style="286" customWidth="1"/>
    <col min="16016" max="16016" width="9.85546875" style="286" customWidth="1"/>
    <col min="16017" max="16017" width="11" style="286" customWidth="1"/>
    <col min="16018" max="16018" width="12.28515625" style="286" customWidth="1"/>
    <col min="16019" max="16019" width="12" style="286" customWidth="1"/>
    <col min="16020" max="16020" width="9.85546875" style="286" customWidth="1"/>
    <col min="16021" max="16021" width="11" style="286" customWidth="1"/>
    <col min="16022" max="16022" width="12.28515625" style="286" customWidth="1"/>
    <col min="16023" max="16023" width="12" style="286" customWidth="1"/>
    <col min="16024" max="16024" width="9.85546875" style="286" customWidth="1"/>
    <col min="16025" max="16025" width="11.7109375" style="286" customWidth="1"/>
    <col min="16026" max="16026" width="10.85546875" style="286" customWidth="1"/>
    <col min="16027" max="16027" width="11.7109375" style="286" customWidth="1"/>
    <col min="16028" max="16028" width="9" style="286" customWidth="1"/>
    <col min="16029" max="16029" width="11" style="286" customWidth="1"/>
    <col min="16030" max="16030" width="12.28515625" style="286" customWidth="1"/>
    <col min="16031" max="16031" width="12" style="286" customWidth="1"/>
    <col min="16032" max="16032" width="9.85546875" style="286" customWidth="1"/>
    <col min="16033" max="16033" width="11" style="286" customWidth="1"/>
    <col min="16034" max="16034" width="12.28515625" style="286" customWidth="1"/>
    <col min="16035" max="16035" width="12" style="286" customWidth="1"/>
    <col min="16036" max="16036" width="9.85546875" style="286" customWidth="1"/>
    <col min="16037" max="16037" width="11" style="286" customWidth="1"/>
    <col min="16038" max="16038" width="12.28515625" style="286" customWidth="1"/>
    <col min="16039" max="16039" width="12" style="286" customWidth="1"/>
    <col min="16040" max="16040" width="9.85546875" style="286" customWidth="1"/>
    <col min="16041" max="16044" width="0" style="286" hidden="1" customWidth="1"/>
    <col min="16045" max="16045" width="11" style="286" customWidth="1"/>
    <col min="16046" max="16046" width="12.28515625" style="286" customWidth="1"/>
    <col min="16047" max="16047" width="12" style="286" customWidth="1"/>
    <col min="16048" max="16048" width="9.85546875" style="286" customWidth="1"/>
    <col min="16049" max="16049" width="11" style="286" customWidth="1"/>
    <col min="16050" max="16050" width="12.28515625" style="286" customWidth="1"/>
    <col min="16051" max="16051" width="12" style="286" customWidth="1"/>
    <col min="16052" max="16052" width="9.85546875" style="286" customWidth="1"/>
    <col min="16053" max="16053" width="11" style="286" customWidth="1"/>
    <col min="16054" max="16054" width="12.28515625" style="286" customWidth="1"/>
    <col min="16055" max="16055" width="12" style="286" customWidth="1"/>
    <col min="16056" max="16056" width="9.85546875" style="286" customWidth="1"/>
    <col min="16057" max="16057" width="11" style="286" customWidth="1"/>
    <col min="16058" max="16058" width="12.28515625" style="286" customWidth="1"/>
    <col min="16059" max="16059" width="12" style="286" customWidth="1"/>
    <col min="16060" max="16060" width="9.85546875" style="286" customWidth="1"/>
    <col min="16061" max="16061" width="11" style="286" customWidth="1"/>
    <col min="16062" max="16062" width="12.28515625" style="286" customWidth="1"/>
    <col min="16063" max="16063" width="12" style="286" customWidth="1"/>
    <col min="16064" max="16064" width="9.85546875" style="286" customWidth="1"/>
    <col min="16065" max="16065" width="11" style="286" customWidth="1"/>
    <col min="16066" max="16066" width="12.28515625" style="286" customWidth="1"/>
    <col min="16067" max="16067" width="12" style="286" customWidth="1"/>
    <col min="16068" max="16068" width="9.85546875" style="286" customWidth="1"/>
    <col min="16069" max="16069" width="11" style="286" customWidth="1"/>
    <col min="16070" max="16070" width="12.28515625" style="286" customWidth="1"/>
    <col min="16071" max="16071" width="12" style="286" customWidth="1"/>
    <col min="16072" max="16072" width="9.85546875" style="286" customWidth="1"/>
    <col min="16073" max="16073" width="11" style="286" customWidth="1"/>
    <col min="16074" max="16074" width="12.28515625" style="286" customWidth="1"/>
    <col min="16075" max="16075" width="12" style="286" customWidth="1"/>
    <col min="16076" max="16076" width="9.85546875" style="286" customWidth="1"/>
    <col min="16077" max="16077" width="11" style="286" customWidth="1"/>
    <col min="16078" max="16078" width="12.28515625" style="286" customWidth="1"/>
    <col min="16079" max="16079" width="12" style="286" customWidth="1"/>
    <col min="16080" max="16080" width="9.85546875" style="286" customWidth="1"/>
    <col min="16081" max="16095" width="0" style="286" hidden="1" customWidth="1"/>
    <col min="16096" max="16096" width="9.85546875" style="286" customWidth="1"/>
    <col min="16097" max="16097" width="10.42578125" style="286" customWidth="1"/>
    <col min="16098" max="16098" width="9" style="286" customWidth="1"/>
    <col min="16099" max="16099" width="11.28515625" style="286" customWidth="1"/>
    <col min="16100" max="16100" width="10.140625" style="286" customWidth="1"/>
    <col min="16101" max="16101" width="10.7109375" style="286" customWidth="1"/>
    <col min="16102" max="16102" width="9.28515625" style="286"/>
    <col min="16103" max="16104" width="9.140625" style="286" customWidth="1"/>
    <col min="16105" max="16128" width="9.28515625" style="286"/>
    <col min="16129" max="16129" width="4.28515625" style="286" customWidth="1"/>
    <col min="16130" max="16130" width="5.42578125" style="286" customWidth="1"/>
    <col min="16131" max="16131" width="41.5703125" style="286" customWidth="1"/>
    <col min="16132" max="16132" width="7.42578125" style="286" customWidth="1"/>
    <col min="16133" max="16133" width="13.140625" style="286" customWidth="1"/>
    <col min="16134" max="16134" width="11.7109375" style="286" customWidth="1"/>
    <col min="16135" max="16135" width="14.7109375" style="286" customWidth="1"/>
    <col min="16136" max="16136" width="11.7109375" style="286" customWidth="1"/>
    <col min="16137" max="16137" width="12" style="286" customWidth="1"/>
    <col min="16138" max="16138" width="9.7109375" style="286" customWidth="1"/>
    <col min="16139" max="16140" width="9.42578125" style="286" customWidth="1"/>
    <col min="16141" max="16141" width="10.7109375" style="286" customWidth="1"/>
    <col min="16142" max="16142" width="13.42578125" style="286" customWidth="1"/>
    <col min="16143" max="16143" width="12" style="286" customWidth="1"/>
    <col min="16144" max="16144" width="11" style="286" customWidth="1"/>
    <col min="16145" max="16145" width="10.5703125" style="286" customWidth="1"/>
    <col min="16146" max="16146" width="10.42578125" style="286" customWidth="1"/>
    <col min="16147" max="16147" width="10.7109375" style="286" customWidth="1"/>
    <col min="16148" max="16149" width="11.140625" style="286" customWidth="1"/>
    <col min="16150" max="16150" width="10.5703125" style="286" customWidth="1"/>
    <col min="16151" max="16151" width="10.85546875" style="286" customWidth="1"/>
    <col min="16152" max="16152" width="9.85546875" style="286" customWidth="1"/>
    <col min="16153" max="16153" width="11" style="286" customWidth="1"/>
    <col min="16154" max="16154" width="11.42578125" style="286" customWidth="1"/>
    <col min="16155" max="16155" width="12" style="286" customWidth="1"/>
    <col min="16156" max="16156" width="9.85546875" style="286" customWidth="1"/>
    <col min="16157" max="16157" width="10.5703125" style="286" customWidth="1"/>
    <col min="16158" max="16158" width="11.140625" style="286" customWidth="1"/>
    <col min="16159" max="16159" width="11.42578125" style="286" customWidth="1"/>
    <col min="16160" max="16164" width="9.85546875" style="286" customWidth="1"/>
    <col min="16165" max="16167" width="11.7109375" style="286" customWidth="1"/>
    <col min="16168" max="16168" width="9.85546875" style="286" customWidth="1"/>
    <col min="16169" max="16169" width="11" style="286" customWidth="1"/>
    <col min="16170" max="16170" width="11.42578125" style="286" customWidth="1"/>
    <col min="16171" max="16171" width="11.140625" style="286" customWidth="1"/>
    <col min="16172" max="16172" width="10.42578125" style="286" customWidth="1"/>
    <col min="16173" max="16173" width="11.5703125" style="286" customWidth="1"/>
    <col min="16174" max="16175" width="11.140625" style="286" customWidth="1"/>
    <col min="16176" max="16188" width="9.85546875" style="286" customWidth="1"/>
    <col min="16189" max="16189" width="10.5703125" style="286" customWidth="1"/>
    <col min="16190" max="16190" width="12.42578125" style="286" customWidth="1"/>
    <col min="16191" max="16191" width="10.140625" style="286" customWidth="1"/>
    <col min="16192" max="16192" width="9.140625" style="286" customWidth="1"/>
    <col min="16193" max="16193" width="9" style="286" customWidth="1"/>
    <col min="16194" max="16195" width="9.7109375" style="286" customWidth="1"/>
    <col min="16196" max="16196" width="8.42578125" style="286" customWidth="1"/>
    <col min="16197" max="16197" width="11.7109375" style="286" customWidth="1"/>
    <col min="16198" max="16198" width="10.85546875" style="286" customWidth="1"/>
    <col min="16199" max="16199" width="11.7109375" style="286" customWidth="1"/>
    <col min="16200" max="16200" width="9" style="286" customWidth="1"/>
    <col min="16201" max="16201" width="11" style="286" customWidth="1"/>
    <col min="16202" max="16202" width="10.5703125" style="286" customWidth="1"/>
    <col min="16203" max="16203" width="11.7109375" style="286" customWidth="1"/>
    <col min="16204" max="16205" width="11" style="286" customWidth="1"/>
    <col min="16206" max="16208" width="11.140625" style="286" customWidth="1"/>
    <col min="16209" max="16209" width="8.7109375" style="286" customWidth="1"/>
    <col min="16210" max="16210" width="11.140625" style="286" customWidth="1"/>
    <col min="16211" max="16211" width="9.28515625" style="286"/>
    <col min="16212" max="16212" width="11.140625" style="286" customWidth="1"/>
    <col min="16213" max="16213" width="10.5703125" style="286" customWidth="1"/>
    <col min="16214" max="16214" width="12.28515625" style="286" customWidth="1"/>
    <col min="16215" max="16215" width="12" style="286" customWidth="1"/>
    <col min="16216" max="16216" width="9.85546875" style="286" customWidth="1"/>
    <col min="16217" max="16217" width="11" style="286" customWidth="1"/>
    <col min="16218" max="16218" width="12.28515625" style="286" customWidth="1"/>
    <col min="16219" max="16219" width="12" style="286" customWidth="1"/>
    <col min="16220" max="16220" width="9.85546875" style="286" customWidth="1"/>
    <col min="16221" max="16221" width="11" style="286" customWidth="1"/>
    <col min="16222" max="16222" width="12.28515625" style="286" customWidth="1"/>
    <col min="16223" max="16223" width="12" style="286" customWidth="1"/>
    <col min="16224" max="16224" width="9.85546875" style="286" customWidth="1"/>
    <col min="16225" max="16225" width="11" style="286" customWidth="1"/>
    <col min="16226" max="16226" width="12.28515625" style="286" customWidth="1"/>
    <col min="16227" max="16227" width="12" style="286" customWidth="1"/>
    <col min="16228" max="16228" width="9.85546875" style="286" customWidth="1"/>
    <col min="16229" max="16229" width="11" style="286" customWidth="1"/>
    <col min="16230" max="16230" width="12.28515625" style="286" customWidth="1"/>
    <col min="16231" max="16231" width="12" style="286" customWidth="1"/>
    <col min="16232" max="16232" width="9.85546875" style="286" customWidth="1"/>
    <col min="16233" max="16233" width="11" style="286" customWidth="1"/>
    <col min="16234" max="16234" width="12.28515625" style="286" customWidth="1"/>
    <col min="16235" max="16235" width="12" style="286" customWidth="1"/>
    <col min="16236" max="16236" width="9.85546875" style="286" customWidth="1"/>
    <col min="16237" max="16237" width="11" style="286" customWidth="1"/>
    <col min="16238" max="16238" width="12.28515625" style="286" customWidth="1"/>
    <col min="16239" max="16239" width="12" style="286" customWidth="1"/>
    <col min="16240" max="16240" width="9.85546875" style="286" customWidth="1"/>
    <col min="16241" max="16241" width="11" style="286" customWidth="1"/>
    <col min="16242" max="16242" width="12.28515625" style="286" customWidth="1"/>
    <col min="16243" max="16243" width="12" style="286" customWidth="1"/>
    <col min="16244" max="16244" width="9.85546875" style="286" customWidth="1"/>
    <col min="16245" max="16245" width="11" style="286" customWidth="1"/>
    <col min="16246" max="16246" width="12.28515625" style="286" customWidth="1"/>
    <col min="16247" max="16247" width="12" style="286" customWidth="1"/>
    <col min="16248" max="16248" width="9.85546875" style="286" customWidth="1"/>
    <col min="16249" max="16249" width="11" style="286" customWidth="1"/>
    <col min="16250" max="16250" width="12.28515625" style="286" customWidth="1"/>
    <col min="16251" max="16251" width="12" style="286" customWidth="1"/>
    <col min="16252" max="16252" width="9.85546875" style="286" customWidth="1"/>
    <col min="16253" max="16253" width="11" style="286" customWidth="1"/>
    <col min="16254" max="16254" width="12.28515625" style="286" customWidth="1"/>
    <col min="16255" max="16255" width="12" style="286" customWidth="1"/>
    <col min="16256" max="16256" width="9.85546875" style="286" customWidth="1"/>
    <col min="16257" max="16257" width="11" style="286" customWidth="1"/>
    <col min="16258" max="16258" width="12.28515625" style="286" customWidth="1"/>
    <col min="16259" max="16259" width="12" style="286" customWidth="1"/>
    <col min="16260" max="16260" width="9.85546875" style="286" customWidth="1"/>
    <col min="16261" max="16261" width="11" style="286" customWidth="1"/>
    <col min="16262" max="16262" width="12.28515625" style="286" customWidth="1"/>
    <col min="16263" max="16263" width="12" style="286" customWidth="1"/>
    <col min="16264" max="16264" width="9.85546875" style="286" customWidth="1"/>
    <col min="16265" max="16265" width="11" style="286" customWidth="1"/>
    <col min="16266" max="16266" width="12.28515625" style="286" customWidth="1"/>
    <col min="16267" max="16267" width="12" style="286" customWidth="1"/>
    <col min="16268" max="16268" width="9.85546875" style="286" customWidth="1"/>
    <col min="16269" max="16269" width="11" style="286" customWidth="1"/>
    <col min="16270" max="16270" width="12.28515625" style="286" customWidth="1"/>
    <col min="16271" max="16271" width="12" style="286" customWidth="1"/>
    <col min="16272" max="16272" width="9.85546875" style="286" customWidth="1"/>
    <col min="16273" max="16273" width="11" style="286" customWidth="1"/>
    <col min="16274" max="16274" width="12.28515625" style="286" customWidth="1"/>
    <col min="16275" max="16275" width="12" style="286" customWidth="1"/>
    <col min="16276" max="16276" width="9.85546875" style="286" customWidth="1"/>
    <col min="16277" max="16277" width="11" style="286" customWidth="1"/>
    <col min="16278" max="16278" width="12.28515625" style="286" customWidth="1"/>
    <col min="16279" max="16279" width="12" style="286" customWidth="1"/>
    <col min="16280" max="16280" width="9.85546875" style="286" customWidth="1"/>
    <col min="16281" max="16281" width="11.7109375" style="286" customWidth="1"/>
    <col min="16282" max="16282" width="10.85546875" style="286" customWidth="1"/>
    <col min="16283" max="16283" width="11.7109375" style="286" customWidth="1"/>
    <col min="16284" max="16284" width="9" style="286" customWidth="1"/>
    <col min="16285" max="16285" width="11" style="286" customWidth="1"/>
    <col min="16286" max="16286" width="12.28515625" style="286" customWidth="1"/>
    <col min="16287" max="16287" width="12" style="286" customWidth="1"/>
    <col min="16288" max="16288" width="9.85546875" style="286" customWidth="1"/>
    <col min="16289" max="16289" width="11" style="286" customWidth="1"/>
    <col min="16290" max="16290" width="12.28515625" style="286" customWidth="1"/>
    <col min="16291" max="16291" width="12" style="286" customWidth="1"/>
    <col min="16292" max="16292" width="9.85546875" style="286" customWidth="1"/>
    <col min="16293" max="16293" width="11" style="286" customWidth="1"/>
    <col min="16294" max="16294" width="12.28515625" style="286" customWidth="1"/>
    <col min="16295" max="16295" width="12" style="286" customWidth="1"/>
    <col min="16296" max="16296" width="9.85546875" style="286" customWidth="1"/>
    <col min="16297" max="16300" width="0" style="286" hidden="1" customWidth="1"/>
    <col min="16301" max="16301" width="11" style="286" customWidth="1"/>
    <col min="16302" max="16302" width="12.28515625" style="286" customWidth="1"/>
    <col min="16303" max="16303" width="12" style="286" customWidth="1"/>
    <col min="16304" max="16304" width="9.85546875" style="286" customWidth="1"/>
    <col min="16305" max="16305" width="11" style="286" customWidth="1"/>
    <col min="16306" max="16306" width="12.28515625" style="286" customWidth="1"/>
    <col min="16307" max="16307" width="12" style="286" customWidth="1"/>
    <col min="16308" max="16308" width="9.85546875" style="286" customWidth="1"/>
    <col min="16309" max="16309" width="11" style="286" customWidth="1"/>
    <col min="16310" max="16310" width="12.28515625" style="286" customWidth="1"/>
    <col min="16311" max="16311" width="12" style="286" customWidth="1"/>
    <col min="16312" max="16312" width="9.85546875" style="286" customWidth="1"/>
    <col min="16313" max="16313" width="11" style="286" customWidth="1"/>
    <col min="16314" max="16314" width="12.28515625" style="286" customWidth="1"/>
    <col min="16315" max="16315" width="12" style="286" customWidth="1"/>
    <col min="16316" max="16316" width="9.85546875" style="286" customWidth="1"/>
    <col min="16317" max="16317" width="11" style="286" customWidth="1"/>
    <col min="16318" max="16318" width="12.28515625" style="286" customWidth="1"/>
    <col min="16319" max="16319" width="12" style="286" customWidth="1"/>
    <col min="16320" max="16320" width="9.85546875" style="286" customWidth="1"/>
    <col min="16321" max="16321" width="11" style="286" customWidth="1"/>
    <col min="16322" max="16322" width="12.28515625" style="286" customWidth="1"/>
    <col min="16323" max="16323" width="12" style="286" customWidth="1"/>
    <col min="16324" max="16324" width="9.85546875" style="286" customWidth="1"/>
    <col min="16325" max="16325" width="11" style="286" customWidth="1"/>
    <col min="16326" max="16326" width="12.28515625" style="286" customWidth="1"/>
    <col min="16327" max="16327" width="12" style="286" customWidth="1"/>
    <col min="16328" max="16328" width="9.85546875" style="286" customWidth="1"/>
    <col min="16329" max="16329" width="11" style="286" customWidth="1"/>
    <col min="16330" max="16330" width="12.28515625" style="286" customWidth="1"/>
    <col min="16331" max="16331" width="12" style="286" customWidth="1"/>
    <col min="16332" max="16332" width="9.85546875" style="286" customWidth="1"/>
    <col min="16333" max="16333" width="11" style="286" customWidth="1"/>
    <col min="16334" max="16334" width="12.28515625" style="286" customWidth="1"/>
    <col min="16335" max="16335" width="12" style="286" customWidth="1"/>
    <col min="16336" max="16336" width="9.85546875" style="286" customWidth="1"/>
    <col min="16337" max="16351" width="0" style="286" hidden="1" customWidth="1"/>
    <col min="16352" max="16352" width="9.85546875" style="286" customWidth="1"/>
    <col min="16353" max="16353" width="10.42578125" style="286" customWidth="1"/>
    <col min="16354" max="16354" width="9" style="286" customWidth="1"/>
    <col min="16355" max="16355" width="11.28515625" style="286" customWidth="1"/>
    <col min="16356" max="16356" width="10.140625" style="286" customWidth="1"/>
    <col min="16357" max="16357" width="10.7109375" style="286" customWidth="1"/>
    <col min="16358" max="16358" width="9.28515625" style="286"/>
    <col min="16359" max="16360" width="9.140625" style="286" customWidth="1"/>
    <col min="16361" max="16384" width="9.28515625" style="286"/>
  </cols>
  <sheetData>
    <row r="1" spans="1:256" s="277" customFormat="1" ht="25.5" customHeight="1">
      <c r="A1" s="899" t="s">
        <v>83</v>
      </c>
      <c r="B1" s="899"/>
      <c r="C1" s="899"/>
      <c r="D1" s="899"/>
      <c r="E1" s="899"/>
      <c r="F1" s="899"/>
      <c r="G1" s="899"/>
      <c r="H1" s="899"/>
      <c r="I1" s="900"/>
      <c r="J1" s="900"/>
      <c r="K1" s="900"/>
      <c r="L1" s="900"/>
      <c r="M1" s="276"/>
      <c r="N1" s="276"/>
      <c r="O1" s="276"/>
      <c r="P1" s="276"/>
      <c r="AG1" s="278"/>
      <c r="AH1" s="278"/>
      <c r="AI1" s="278"/>
      <c r="AJ1" s="278"/>
      <c r="AW1" s="279"/>
      <c r="AX1" s="279"/>
      <c r="AY1" s="279"/>
      <c r="AZ1" s="279"/>
      <c r="BA1" s="279"/>
      <c r="BB1" s="279"/>
      <c r="BC1" s="279"/>
      <c r="BD1" s="279"/>
      <c r="BE1" s="279"/>
      <c r="BF1" s="280" t="s">
        <v>84</v>
      </c>
      <c r="BG1" s="280"/>
      <c r="BH1" s="280"/>
      <c r="BI1" s="281"/>
      <c r="BJ1" s="281"/>
      <c r="BK1" s="281"/>
      <c r="BL1" s="281"/>
      <c r="BM1" s="281"/>
      <c r="BN1" s="281"/>
      <c r="BO1" s="281"/>
      <c r="BP1" s="281"/>
      <c r="BQ1" s="282"/>
      <c r="BR1" s="282"/>
      <c r="BS1" s="282"/>
      <c r="BT1" s="282"/>
      <c r="BU1" s="282"/>
      <c r="BV1" s="282"/>
      <c r="BW1" s="282"/>
      <c r="BX1" s="282"/>
      <c r="DJ1" s="278"/>
      <c r="DT1" s="278"/>
      <c r="DX1" s="283"/>
      <c r="EW1" s="282"/>
      <c r="EX1" s="282"/>
      <c r="EY1" s="282"/>
      <c r="HA1" s="284"/>
      <c r="HB1" s="285"/>
      <c r="HC1" s="286"/>
      <c r="HD1" s="286"/>
      <c r="HE1" s="286"/>
      <c r="HF1" s="286"/>
      <c r="HG1" s="286"/>
      <c r="HH1" s="286"/>
      <c r="HI1" s="286"/>
      <c r="HJ1" s="286"/>
      <c r="HK1" s="286"/>
      <c r="HL1" s="286"/>
      <c r="HM1" s="286"/>
      <c r="HN1" s="286"/>
      <c r="HO1" s="286"/>
      <c r="HP1" s="286"/>
      <c r="HQ1" s="286"/>
      <c r="HR1" s="286"/>
      <c r="HS1" s="286"/>
      <c r="HT1" s="286"/>
      <c r="HU1" s="286"/>
      <c r="HV1" s="286"/>
      <c r="HW1" s="286"/>
      <c r="HX1" s="286"/>
      <c r="HY1" s="286"/>
      <c r="HZ1" s="286"/>
      <c r="IA1" s="286"/>
      <c r="IB1" s="286"/>
      <c r="IC1" s="286"/>
      <c r="ID1" s="286"/>
      <c r="IE1" s="286"/>
      <c r="IF1" s="286"/>
      <c r="IG1" s="286"/>
      <c r="IH1" s="286"/>
      <c r="II1" s="286"/>
      <c r="IJ1" s="286"/>
      <c r="IK1" s="286"/>
      <c r="IL1" s="286"/>
      <c r="IM1" s="286"/>
      <c r="IN1" s="286"/>
      <c r="IO1" s="286"/>
      <c r="IP1" s="286"/>
      <c r="IQ1" s="286"/>
      <c r="IR1" s="286"/>
      <c r="IS1" s="286"/>
      <c r="IT1" s="286"/>
      <c r="IU1" s="286"/>
      <c r="IV1" s="286"/>
    </row>
    <row r="2" spans="1:256" s="289" customFormat="1" ht="12.75" customHeight="1">
      <c r="A2" s="901" t="s">
        <v>85</v>
      </c>
      <c r="B2" s="902" t="s">
        <v>86</v>
      </c>
      <c r="C2" s="902"/>
      <c r="D2" s="902" t="s">
        <v>87</v>
      </c>
      <c r="E2" s="903" t="s">
        <v>88</v>
      </c>
      <c r="F2" s="903"/>
      <c r="G2" s="903"/>
      <c r="H2" s="904"/>
      <c r="I2" s="905" t="s">
        <v>89</v>
      </c>
      <c r="J2" s="905"/>
      <c r="K2" s="905"/>
      <c r="L2" s="905"/>
      <c r="M2" s="905"/>
      <c r="N2" s="905"/>
      <c r="O2" s="905"/>
      <c r="P2" s="905"/>
      <c r="Q2" s="905"/>
      <c r="R2" s="905"/>
      <c r="S2" s="905"/>
      <c r="T2" s="905"/>
      <c r="U2" s="905"/>
      <c r="V2" s="905"/>
      <c r="W2" s="905"/>
      <c r="X2" s="905"/>
      <c r="Y2" s="905"/>
      <c r="Z2" s="905"/>
      <c r="AA2" s="905"/>
      <c r="AB2" s="905"/>
      <c r="AC2" s="905"/>
      <c r="AD2" s="905"/>
      <c r="AE2" s="905"/>
      <c r="AF2" s="905"/>
      <c r="AG2" s="905"/>
      <c r="AH2" s="905"/>
      <c r="AI2" s="905"/>
      <c r="AJ2" s="905"/>
      <c r="AK2" s="905"/>
      <c r="AL2" s="905"/>
      <c r="AM2" s="905"/>
      <c r="AN2" s="905"/>
      <c r="AO2" s="905"/>
      <c r="AP2" s="905"/>
      <c r="AQ2" s="905"/>
      <c r="AR2" s="905"/>
      <c r="AS2" s="905"/>
      <c r="AT2" s="905"/>
      <c r="AU2" s="905"/>
      <c r="AV2" s="905"/>
      <c r="AW2" s="905"/>
      <c r="AX2" s="905"/>
      <c r="AY2" s="905"/>
      <c r="AZ2" s="905"/>
      <c r="BA2" s="905"/>
      <c r="BB2" s="905"/>
      <c r="BC2" s="905"/>
      <c r="BD2" s="905"/>
      <c r="BE2" s="905"/>
      <c r="BF2" s="905"/>
      <c r="BG2" s="905"/>
      <c r="BH2" s="905"/>
      <c r="BI2" s="905"/>
      <c r="BJ2" s="905"/>
      <c r="BK2" s="905"/>
      <c r="BL2" s="905"/>
      <c r="BM2" s="905"/>
      <c r="BN2" s="905"/>
      <c r="BO2" s="905"/>
      <c r="BP2" s="905"/>
      <c r="BQ2" s="905"/>
      <c r="BR2" s="905"/>
      <c r="BS2" s="905"/>
      <c r="BT2" s="905"/>
      <c r="BU2" s="905"/>
      <c r="BV2" s="905"/>
      <c r="BW2" s="905"/>
      <c r="BX2" s="905"/>
      <c r="BY2" s="905"/>
      <c r="BZ2" s="905"/>
      <c r="CA2" s="905"/>
      <c r="CB2" s="905"/>
      <c r="CC2" s="905"/>
      <c r="CD2" s="905"/>
      <c r="CE2" s="905"/>
      <c r="CF2" s="905"/>
      <c r="CG2" s="905"/>
      <c r="CH2" s="905"/>
      <c r="CI2" s="905"/>
      <c r="CJ2" s="905"/>
      <c r="CK2" s="905"/>
      <c r="CL2" s="905"/>
      <c r="CM2" s="905"/>
      <c r="CN2" s="905"/>
      <c r="CO2" s="905"/>
      <c r="CP2" s="905"/>
      <c r="CQ2" s="905"/>
      <c r="CR2" s="905"/>
      <c r="CS2" s="905"/>
      <c r="CT2" s="905"/>
      <c r="CU2" s="905"/>
      <c r="CV2" s="905"/>
      <c r="CW2" s="905"/>
      <c r="CX2" s="905"/>
      <c r="CY2" s="905"/>
      <c r="CZ2" s="905"/>
      <c r="DA2" s="905"/>
      <c r="DB2" s="905"/>
      <c r="DC2" s="905"/>
      <c r="DD2" s="905"/>
      <c r="DE2" s="905"/>
      <c r="DF2" s="905"/>
      <c r="DG2" s="905"/>
      <c r="DH2" s="905"/>
      <c r="DI2" s="905"/>
      <c r="DJ2" s="905"/>
      <c r="DK2" s="905"/>
      <c r="DL2" s="905"/>
      <c r="DM2" s="905"/>
      <c r="DN2" s="905"/>
      <c r="DO2" s="905"/>
      <c r="DP2" s="905"/>
      <c r="DQ2" s="905"/>
      <c r="DR2" s="905"/>
      <c r="DS2" s="905"/>
      <c r="DT2" s="905"/>
      <c r="DU2" s="905"/>
      <c r="DV2" s="905"/>
      <c r="DW2" s="905"/>
      <c r="DX2" s="905"/>
      <c r="DY2" s="905"/>
      <c r="DZ2" s="905"/>
      <c r="EA2" s="905"/>
      <c r="EB2" s="905"/>
      <c r="EC2" s="905"/>
      <c r="ED2" s="905"/>
      <c r="EE2" s="905"/>
      <c r="EF2" s="905"/>
      <c r="EG2" s="905"/>
      <c r="EH2" s="905"/>
      <c r="EI2" s="905"/>
      <c r="EJ2" s="905"/>
      <c r="EK2" s="905"/>
      <c r="EL2" s="905"/>
      <c r="EM2" s="905"/>
      <c r="EN2" s="905"/>
      <c r="EO2" s="905"/>
      <c r="EP2" s="905"/>
      <c r="EQ2" s="905"/>
      <c r="ER2" s="905"/>
      <c r="ES2" s="905"/>
      <c r="ET2" s="905"/>
      <c r="EU2" s="905"/>
      <c r="EV2" s="905"/>
      <c r="EW2" s="905"/>
      <c r="EX2" s="905"/>
      <c r="EY2" s="905"/>
      <c r="EZ2" s="905"/>
      <c r="FA2" s="905"/>
      <c r="FB2" s="905"/>
      <c r="FC2" s="905"/>
      <c r="FD2" s="905"/>
      <c r="FE2" s="905"/>
      <c r="FF2" s="905"/>
      <c r="FG2" s="905"/>
      <c r="FH2" s="905"/>
      <c r="FI2" s="905"/>
      <c r="FJ2" s="905"/>
      <c r="FK2" s="905"/>
      <c r="FL2" s="905"/>
      <c r="FM2" s="905"/>
      <c r="FN2" s="905"/>
      <c r="FO2" s="905"/>
      <c r="FP2" s="905"/>
      <c r="FQ2" s="905"/>
      <c r="FR2" s="905"/>
      <c r="FS2" s="905"/>
      <c r="FT2" s="905"/>
      <c r="FU2" s="905"/>
      <c r="FV2" s="905"/>
      <c r="FW2" s="905"/>
      <c r="FX2" s="905"/>
      <c r="FY2" s="905"/>
      <c r="FZ2" s="905"/>
      <c r="GA2" s="905"/>
      <c r="GB2" s="905"/>
      <c r="GC2" s="905"/>
      <c r="GD2" s="905"/>
      <c r="GE2" s="905"/>
      <c r="GF2" s="905"/>
      <c r="GG2" s="905"/>
      <c r="GH2" s="905"/>
      <c r="GI2" s="905"/>
      <c r="GJ2" s="905"/>
      <c r="GK2" s="905"/>
      <c r="GL2" s="905"/>
      <c r="GM2" s="905"/>
      <c r="GN2" s="905"/>
      <c r="GO2" s="905"/>
      <c r="GP2" s="905"/>
      <c r="GQ2" s="905"/>
      <c r="GR2" s="905"/>
      <c r="GS2" s="905"/>
      <c r="GT2" s="905"/>
      <c r="GU2" s="905"/>
      <c r="GV2" s="905"/>
      <c r="GW2" s="905"/>
      <c r="GX2" s="905"/>
      <c r="GY2" s="905"/>
      <c r="GZ2" s="905"/>
      <c r="HA2" s="287"/>
      <c r="HB2" s="287"/>
      <c r="HC2" s="287"/>
      <c r="HD2" s="287"/>
      <c r="HE2" s="287"/>
      <c r="HF2" s="287"/>
      <c r="HG2" s="287"/>
      <c r="HH2" s="287"/>
      <c r="HI2" s="287"/>
      <c r="HJ2" s="287"/>
      <c r="HK2" s="287"/>
      <c r="HL2" s="287"/>
      <c r="HM2" s="287"/>
      <c r="HN2" s="288"/>
      <c r="HO2" s="288"/>
      <c r="HP2" s="288"/>
      <c r="HQ2" s="288"/>
      <c r="HR2" s="288"/>
      <c r="HS2" s="288"/>
      <c r="HT2" s="288"/>
      <c r="HU2" s="288"/>
      <c r="HV2" s="288"/>
      <c r="HW2" s="288"/>
      <c r="HX2" s="288"/>
      <c r="HY2" s="288"/>
      <c r="HZ2" s="288"/>
      <c r="IA2" s="288"/>
      <c r="IB2" s="288"/>
      <c r="IC2" s="288"/>
      <c r="ID2" s="288"/>
      <c r="IE2" s="288"/>
      <c r="IF2" s="288"/>
      <c r="IG2" s="288"/>
      <c r="IH2" s="288"/>
      <c r="II2" s="288"/>
      <c r="IJ2" s="288"/>
      <c r="IK2" s="288"/>
      <c r="IL2" s="288"/>
      <c r="IM2" s="288"/>
      <c r="IN2" s="288"/>
      <c r="IO2" s="288"/>
      <c r="IP2" s="288"/>
      <c r="IQ2" s="288"/>
      <c r="IR2" s="288"/>
      <c r="IS2" s="288"/>
      <c r="IT2" s="288"/>
      <c r="IU2" s="288"/>
      <c r="IV2" s="288"/>
    </row>
    <row r="3" spans="1:256" s="514" customFormat="1" ht="58.5" customHeight="1">
      <c r="A3" s="901"/>
      <c r="B3" s="902"/>
      <c r="C3" s="902"/>
      <c r="D3" s="902"/>
      <c r="E3" s="903"/>
      <c r="F3" s="903"/>
      <c r="G3" s="903"/>
      <c r="H3" s="904"/>
      <c r="I3" s="906" t="s">
        <v>90</v>
      </c>
      <c r="J3" s="906"/>
      <c r="K3" s="906"/>
      <c r="L3" s="906"/>
      <c r="M3" s="907" t="s">
        <v>91</v>
      </c>
      <c r="N3" s="907"/>
      <c r="O3" s="907"/>
      <c r="P3" s="907"/>
      <c r="Q3" s="898" t="s">
        <v>92</v>
      </c>
      <c r="R3" s="898"/>
      <c r="S3" s="898"/>
      <c r="T3" s="898"/>
      <c r="U3" s="898" t="s">
        <v>93</v>
      </c>
      <c r="V3" s="898"/>
      <c r="W3" s="898"/>
      <c r="X3" s="898"/>
      <c r="Y3" s="898" t="s">
        <v>94</v>
      </c>
      <c r="Z3" s="898"/>
      <c r="AA3" s="898"/>
      <c r="AB3" s="898"/>
      <c r="AC3" s="898" t="s">
        <v>94</v>
      </c>
      <c r="AD3" s="898"/>
      <c r="AE3" s="898"/>
      <c r="AF3" s="898"/>
      <c r="AG3" s="898" t="s">
        <v>94</v>
      </c>
      <c r="AH3" s="898"/>
      <c r="AI3" s="898"/>
      <c r="AJ3" s="898"/>
      <c r="AK3" s="898" t="s">
        <v>94</v>
      </c>
      <c r="AL3" s="898"/>
      <c r="AM3" s="898"/>
      <c r="AN3" s="898"/>
      <c r="AO3" s="898" t="s">
        <v>95</v>
      </c>
      <c r="AP3" s="898"/>
      <c r="AQ3" s="898"/>
      <c r="AR3" s="898"/>
      <c r="AS3" s="898" t="s">
        <v>96</v>
      </c>
      <c r="AT3" s="898"/>
      <c r="AU3" s="898"/>
      <c r="AV3" s="898"/>
      <c r="AW3" s="898" t="s">
        <v>97</v>
      </c>
      <c r="AX3" s="898"/>
      <c r="AY3" s="898"/>
      <c r="AZ3" s="898"/>
      <c r="BA3" s="898" t="s">
        <v>97</v>
      </c>
      <c r="BB3" s="898"/>
      <c r="BC3" s="898"/>
      <c r="BD3" s="898"/>
      <c r="BE3" s="898" t="s">
        <v>98</v>
      </c>
      <c r="BF3" s="898"/>
      <c r="BG3" s="898"/>
      <c r="BH3" s="898"/>
      <c r="BI3" s="898" t="s">
        <v>94</v>
      </c>
      <c r="BJ3" s="898"/>
      <c r="BK3" s="898"/>
      <c r="BL3" s="898"/>
      <c r="BM3" s="898" t="s">
        <v>94</v>
      </c>
      <c r="BN3" s="898"/>
      <c r="BO3" s="898"/>
      <c r="BP3" s="898"/>
      <c r="BQ3" s="898" t="s">
        <v>93</v>
      </c>
      <c r="BR3" s="898"/>
      <c r="BS3" s="898"/>
      <c r="BT3" s="898"/>
      <c r="BU3" s="898" t="s">
        <v>93</v>
      </c>
      <c r="BV3" s="898"/>
      <c r="BW3" s="898"/>
      <c r="BX3" s="898"/>
      <c r="BY3" s="898" t="s">
        <v>93</v>
      </c>
      <c r="BZ3" s="898"/>
      <c r="CA3" s="898"/>
      <c r="CB3" s="898"/>
      <c r="CC3" s="905" t="s">
        <v>99</v>
      </c>
      <c r="CD3" s="905"/>
      <c r="CE3" s="905"/>
      <c r="CF3" s="905"/>
      <c r="CG3" s="907" t="s">
        <v>94</v>
      </c>
      <c r="CH3" s="907"/>
      <c r="CI3" s="907"/>
      <c r="CJ3" s="907"/>
      <c r="CK3" s="898" t="s">
        <v>97</v>
      </c>
      <c r="CL3" s="898"/>
      <c r="CM3" s="898"/>
      <c r="CN3" s="898"/>
      <c r="CO3" s="898" t="s">
        <v>12</v>
      </c>
      <c r="CP3" s="898"/>
      <c r="CQ3" s="898"/>
      <c r="CR3" s="898"/>
      <c r="CS3" s="898" t="s">
        <v>12</v>
      </c>
      <c r="CT3" s="898"/>
      <c r="CU3" s="898"/>
      <c r="CV3" s="898"/>
      <c r="CW3" s="898" t="s">
        <v>100</v>
      </c>
      <c r="CX3" s="898"/>
      <c r="CY3" s="898"/>
      <c r="CZ3" s="898"/>
      <c r="DA3" s="898" t="s">
        <v>12</v>
      </c>
      <c r="DB3" s="898"/>
      <c r="DC3" s="898"/>
      <c r="DD3" s="898"/>
      <c r="DE3" s="898" t="s">
        <v>12</v>
      </c>
      <c r="DF3" s="898"/>
      <c r="DG3" s="898"/>
      <c r="DH3" s="898"/>
      <c r="DI3" s="898" t="s">
        <v>98</v>
      </c>
      <c r="DJ3" s="898"/>
      <c r="DK3" s="898"/>
      <c r="DL3" s="898"/>
      <c r="DM3" s="898" t="s">
        <v>101</v>
      </c>
      <c r="DN3" s="898"/>
      <c r="DO3" s="898"/>
      <c r="DP3" s="898"/>
      <c r="DQ3" s="907" t="s">
        <v>102</v>
      </c>
      <c r="DR3" s="907"/>
      <c r="DS3" s="907"/>
      <c r="DT3" s="907"/>
      <c r="DU3" s="898" t="s">
        <v>103</v>
      </c>
      <c r="DV3" s="898"/>
      <c r="DW3" s="898"/>
      <c r="DX3" s="898"/>
      <c r="DY3" s="898" t="s">
        <v>104</v>
      </c>
      <c r="DZ3" s="898"/>
      <c r="EA3" s="898"/>
      <c r="EB3" s="898"/>
      <c r="EC3" s="898" t="s">
        <v>95</v>
      </c>
      <c r="ED3" s="898"/>
      <c r="EE3" s="898"/>
      <c r="EF3" s="898"/>
      <c r="EG3" s="898" t="s">
        <v>94</v>
      </c>
      <c r="EH3" s="898"/>
      <c r="EI3" s="898"/>
      <c r="EJ3" s="898"/>
      <c r="EK3" s="898" t="s">
        <v>97</v>
      </c>
      <c r="EL3" s="898"/>
      <c r="EM3" s="898"/>
      <c r="EN3" s="898"/>
      <c r="EO3" s="898" t="s">
        <v>98</v>
      </c>
      <c r="EP3" s="898"/>
      <c r="EQ3" s="898"/>
      <c r="ER3" s="898"/>
      <c r="ES3" s="898" t="s">
        <v>105</v>
      </c>
      <c r="ET3" s="898"/>
      <c r="EU3" s="898"/>
      <c r="EV3" s="898"/>
      <c r="EW3" s="898" t="s">
        <v>94</v>
      </c>
      <c r="EX3" s="898"/>
      <c r="EY3" s="898"/>
      <c r="EZ3" s="898"/>
      <c r="FA3" s="898" t="s">
        <v>98</v>
      </c>
      <c r="FB3" s="898"/>
      <c r="FC3" s="898"/>
      <c r="FD3" s="898"/>
      <c r="FE3" s="898" t="s">
        <v>106</v>
      </c>
      <c r="FF3" s="898"/>
      <c r="FG3" s="898"/>
      <c r="FH3" s="898"/>
      <c r="FI3" s="898" t="s">
        <v>107</v>
      </c>
      <c r="FJ3" s="898"/>
      <c r="FK3" s="898"/>
      <c r="FL3" s="898"/>
      <c r="FM3" s="898" t="s">
        <v>98</v>
      </c>
      <c r="FN3" s="898"/>
      <c r="FO3" s="898"/>
      <c r="FP3" s="898"/>
      <c r="FQ3" s="898" t="s">
        <v>108</v>
      </c>
      <c r="FR3" s="898"/>
      <c r="FS3" s="898"/>
      <c r="FT3" s="898"/>
      <c r="FU3" s="898" t="s">
        <v>98</v>
      </c>
      <c r="FV3" s="898"/>
      <c r="FW3" s="898"/>
      <c r="FX3" s="898"/>
      <c r="FY3" s="898" t="s">
        <v>98</v>
      </c>
      <c r="FZ3" s="898"/>
      <c r="GA3" s="898"/>
      <c r="GB3" s="898"/>
      <c r="GC3" s="898" t="s">
        <v>98</v>
      </c>
      <c r="GD3" s="898"/>
      <c r="GE3" s="898"/>
      <c r="GF3" s="898"/>
      <c r="GG3" s="898" t="s">
        <v>104</v>
      </c>
      <c r="GH3" s="898"/>
      <c r="GI3" s="898"/>
      <c r="GJ3" s="898"/>
      <c r="GK3" s="898" t="s">
        <v>98</v>
      </c>
      <c r="GL3" s="898"/>
      <c r="GM3" s="898"/>
      <c r="GN3" s="898"/>
      <c r="GO3" s="898" t="s">
        <v>98</v>
      </c>
      <c r="GP3" s="898"/>
      <c r="GQ3" s="898"/>
      <c r="GR3" s="898"/>
      <c r="GS3" s="898" t="s">
        <v>98</v>
      </c>
      <c r="GT3" s="898"/>
      <c r="GU3" s="898"/>
      <c r="GV3" s="898"/>
      <c r="GW3" s="898" t="s">
        <v>109</v>
      </c>
      <c r="GX3" s="898"/>
      <c r="GY3" s="898"/>
      <c r="GZ3" s="898"/>
      <c r="HA3" s="290"/>
      <c r="HB3" s="512"/>
      <c r="HC3" s="512"/>
      <c r="HD3" s="512"/>
      <c r="HE3" s="512"/>
      <c r="HF3" s="512"/>
      <c r="HG3" s="512"/>
      <c r="HH3" s="512"/>
      <c r="HI3" s="512"/>
      <c r="HJ3" s="512"/>
      <c r="HK3" s="512"/>
      <c r="HL3" s="512"/>
      <c r="HM3" s="512"/>
      <c r="HN3" s="512"/>
      <c r="HO3" s="512"/>
      <c r="HP3" s="512"/>
      <c r="HQ3" s="512"/>
      <c r="HR3" s="512"/>
      <c r="HS3" s="512"/>
      <c r="HT3" s="512"/>
      <c r="HU3" s="512"/>
      <c r="HV3" s="512"/>
      <c r="HW3" s="512"/>
      <c r="HX3" s="512"/>
      <c r="HY3" s="512"/>
      <c r="HZ3" s="512"/>
      <c r="IA3" s="512"/>
      <c r="IB3" s="512"/>
      <c r="IC3" s="512"/>
      <c r="ID3" s="512"/>
      <c r="IE3" s="512"/>
      <c r="IF3" s="512"/>
      <c r="IG3" s="512"/>
      <c r="IH3" s="512"/>
      <c r="II3" s="512"/>
      <c r="IJ3" s="512"/>
      <c r="IK3" s="512"/>
      <c r="IL3" s="512"/>
      <c r="IM3" s="512"/>
      <c r="IN3" s="512"/>
      <c r="IO3" s="512"/>
      <c r="IP3" s="512"/>
      <c r="IQ3" s="512"/>
      <c r="IR3" s="512"/>
      <c r="IS3" s="512"/>
      <c r="IT3" s="512"/>
      <c r="IU3" s="512"/>
      <c r="IV3" s="512"/>
    </row>
    <row r="4" spans="1:256" s="513" customFormat="1" ht="40.5" customHeight="1">
      <c r="A4" s="901"/>
      <c r="B4" s="902"/>
      <c r="C4" s="902"/>
      <c r="D4" s="902"/>
      <c r="E4" s="903"/>
      <c r="F4" s="903"/>
      <c r="G4" s="903"/>
      <c r="H4" s="904"/>
      <c r="I4" s="906"/>
      <c r="J4" s="906"/>
      <c r="K4" s="906"/>
      <c r="L4" s="906"/>
      <c r="M4" s="907" t="s">
        <v>110</v>
      </c>
      <c r="N4" s="907"/>
      <c r="O4" s="907"/>
      <c r="P4" s="907"/>
      <c r="Q4" s="907" t="s">
        <v>111</v>
      </c>
      <c r="R4" s="907"/>
      <c r="S4" s="907"/>
      <c r="T4" s="907"/>
      <c r="U4" s="907" t="s">
        <v>112</v>
      </c>
      <c r="V4" s="907"/>
      <c r="W4" s="907"/>
      <c r="X4" s="907"/>
      <c r="Y4" s="907" t="s">
        <v>113</v>
      </c>
      <c r="Z4" s="907"/>
      <c r="AA4" s="907"/>
      <c r="AB4" s="907"/>
      <c r="AC4" s="907" t="s">
        <v>114</v>
      </c>
      <c r="AD4" s="907"/>
      <c r="AE4" s="907"/>
      <c r="AF4" s="907"/>
      <c r="AG4" s="907" t="s">
        <v>115</v>
      </c>
      <c r="AH4" s="907"/>
      <c r="AI4" s="907"/>
      <c r="AJ4" s="907"/>
      <c r="AK4" s="907" t="s">
        <v>116</v>
      </c>
      <c r="AL4" s="907"/>
      <c r="AM4" s="907"/>
      <c r="AN4" s="907"/>
      <c r="AO4" s="907" t="s">
        <v>117</v>
      </c>
      <c r="AP4" s="907"/>
      <c r="AQ4" s="907"/>
      <c r="AR4" s="907"/>
      <c r="AS4" s="907" t="s">
        <v>118</v>
      </c>
      <c r="AT4" s="907"/>
      <c r="AU4" s="907"/>
      <c r="AV4" s="907"/>
      <c r="AW4" s="907" t="s">
        <v>119</v>
      </c>
      <c r="AX4" s="907"/>
      <c r="AY4" s="907"/>
      <c r="AZ4" s="907"/>
      <c r="BA4" s="907" t="s">
        <v>120</v>
      </c>
      <c r="BB4" s="907"/>
      <c r="BC4" s="907"/>
      <c r="BD4" s="907"/>
      <c r="BE4" s="907" t="s">
        <v>121</v>
      </c>
      <c r="BF4" s="907"/>
      <c r="BG4" s="907"/>
      <c r="BH4" s="907"/>
      <c r="BI4" s="907" t="s">
        <v>122</v>
      </c>
      <c r="BJ4" s="907"/>
      <c r="BK4" s="907"/>
      <c r="BL4" s="907"/>
      <c r="BM4" s="907" t="s">
        <v>123</v>
      </c>
      <c r="BN4" s="907"/>
      <c r="BO4" s="907"/>
      <c r="BP4" s="907"/>
      <c r="BQ4" s="907" t="s">
        <v>124</v>
      </c>
      <c r="BR4" s="907"/>
      <c r="BS4" s="907"/>
      <c r="BT4" s="907"/>
      <c r="BU4" s="907" t="s">
        <v>125</v>
      </c>
      <c r="BV4" s="907"/>
      <c r="BW4" s="907"/>
      <c r="BX4" s="907"/>
      <c r="BY4" s="907" t="s">
        <v>126</v>
      </c>
      <c r="BZ4" s="907"/>
      <c r="CA4" s="907"/>
      <c r="CB4" s="907"/>
      <c r="CC4" s="905"/>
      <c r="CD4" s="905"/>
      <c r="CE4" s="905"/>
      <c r="CF4" s="905"/>
      <c r="CG4" s="907" t="s">
        <v>127</v>
      </c>
      <c r="CH4" s="907"/>
      <c r="CI4" s="907"/>
      <c r="CJ4" s="907"/>
      <c r="CK4" s="907" t="s">
        <v>128</v>
      </c>
      <c r="CL4" s="907"/>
      <c r="CM4" s="907"/>
      <c r="CN4" s="907"/>
      <c r="CO4" s="907" t="s">
        <v>129</v>
      </c>
      <c r="CP4" s="907"/>
      <c r="CQ4" s="907"/>
      <c r="CR4" s="907"/>
      <c r="CS4" s="907" t="s">
        <v>130</v>
      </c>
      <c r="CT4" s="907"/>
      <c r="CU4" s="907"/>
      <c r="CV4" s="907"/>
      <c r="CW4" s="907" t="s">
        <v>131</v>
      </c>
      <c r="CX4" s="907"/>
      <c r="CY4" s="907"/>
      <c r="CZ4" s="907"/>
      <c r="DA4" s="907" t="s">
        <v>132</v>
      </c>
      <c r="DB4" s="907"/>
      <c r="DC4" s="907"/>
      <c r="DD4" s="907"/>
      <c r="DE4" s="907" t="s">
        <v>133</v>
      </c>
      <c r="DF4" s="907"/>
      <c r="DG4" s="907"/>
      <c r="DH4" s="907"/>
      <c r="DI4" s="907" t="s">
        <v>134</v>
      </c>
      <c r="DJ4" s="907"/>
      <c r="DK4" s="907"/>
      <c r="DL4" s="907"/>
      <c r="DM4" s="898"/>
      <c r="DN4" s="898"/>
      <c r="DO4" s="898"/>
      <c r="DP4" s="898"/>
      <c r="DQ4" s="907" t="s">
        <v>135</v>
      </c>
      <c r="DR4" s="907"/>
      <c r="DS4" s="907"/>
      <c r="DT4" s="907"/>
      <c r="DU4" s="907" t="s">
        <v>136</v>
      </c>
      <c r="DV4" s="907"/>
      <c r="DW4" s="907"/>
      <c r="DX4" s="907"/>
      <c r="DY4" s="907" t="s">
        <v>137</v>
      </c>
      <c r="DZ4" s="907"/>
      <c r="EA4" s="907"/>
      <c r="EB4" s="907"/>
      <c r="EC4" s="907" t="s">
        <v>138</v>
      </c>
      <c r="ED4" s="907"/>
      <c r="EE4" s="907"/>
      <c r="EF4" s="907"/>
      <c r="EG4" s="907" t="s">
        <v>139</v>
      </c>
      <c r="EH4" s="907"/>
      <c r="EI4" s="907"/>
      <c r="EJ4" s="907"/>
      <c r="EK4" s="907" t="s">
        <v>140</v>
      </c>
      <c r="EL4" s="907"/>
      <c r="EM4" s="907"/>
      <c r="EN4" s="907"/>
      <c r="EO4" s="907" t="s">
        <v>141</v>
      </c>
      <c r="EP4" s="907"/>
      <c r="EQ4" s="907"/>
      <c r="ER4" s="907"/>
      <c r="ES4" s="907" t="s">
        <v>142</v>
      </c>
      <c r="ET4" s="907"/>
      <c r="EU4" s="907"/>
      <c r="EV4" s="907"/>
      <c r="EW4" s="907" t="s">
        <v>143</v>
      </c>
      <c r="EX4" s="907"/>
      <c r="EY4" s="907"/>
      <c r="EZ4" s="907"/>
      <c r="FA4" s="907" t="s">
        <v>144</v>
      </c>
      <c r="FB4" s="907"/>
      <c r="FC4" s="907"/>
      <c r="FD4" s="907"/>
      <c r="FE4" s="907" t="s">
        <v>145</v>
      </c>
      <c r="FF4" s="907"/>
      <c r="FG4" s="907"/>
      <c r="FH4" s="907"/>
      <c r="FI4" s="907" t="s">
        <v>146</v>
      </c>
      <c r="FJ4" s="907"/>
      <c r="FK4" s="907"/>
      <c r="FL4" s="907"/>
      <c r="FM4" s="907" t="s">
        <v>147</v>
      </c>
      <c r="FN4" s="907"/>
      <c r="FO4" s="907"/>
      <c r="FP4" s="907"/>
      <c r="FQ4" s="907" t="s">
        <v>148</v>
      </c>
      <c r="FR4" s="907"/>
      <c r="FS4" s="907"/>
      <c r="FT4" s="907"/>
      <c r="FU4" s="907" t="s">
        <v>149</v>
      </c>
      <c r="FV4" s="907"/>
      <c r="FW4" s="907"/>
      <c r="FX4" s="907"/>
      <c r="FY4" s="907" t="s">
        <v>150</v>
      </c>
      <c r="FZ4" s="907"/>
      <c r="GA4" s="907"/>
      <c r="GB4" s="907"/>
      <c r="GC4" s="907" t="s">
        <v>151</v>
      </c>
      <c r="GD4" s="907"/>
      <c r="GE4" s="907"/>
      <c r="GF4" s="907"/>
      <c r="GG4" s="907" t="s">
        <v>152</v>
      </c>
      <c r="GH4" s="907"/>
      <c r="GI4" s="907"/>
      <c r="GJ4" s="907"/>
      <c r="GK4" s="907" t="s">
        <v>153</v>
      </c>
      <c r="GL4" s="907"/>
      <c r="GM4" s="907"/>
      <c r="GN4" s="907"/>
      <c r="GO4" s="907" t="s">
        <v>154</v>
      </c>
      <c r="GP4" s="907"/>
      <c r="GQ4" s="907"/>
      <c r="GR4" s="907"/>
      <c r="GS4" s="907" t="s">
        <v>155</v>
      </c>
      <c r="GT4" s="907"/>
      <c r="GU4" s="907"/>
      <c r="GV4" s="907"/>
      <c r="GW4" s="907" t="s">
        <v>156</v>
      </c>
      <c r="GX4" s="907"/>
      <c r="GY4" s="907"/>
      <c r="GZ4" s="907"/>
      <c r="HA4" s="290"/>
      <c r="HB4" s="512"/>
      <c r="HC4" s="512"/>
      <c r="HD4" s="512"/>
      <c r="HE4" s="512"/>
      <c r="HF4" s="512"/>
      <c r="HG4" s="512"/>
      <c r="HH4" s="512"/>
      <c r="HI4" s="512"/>
      <c r="HJ4" s="512"/>
      <c r="HK4" s="512"/>
      <c r="HL4" s="512"/>
      <c r="HM4" s="512"/>
      <c r="HN4" s="512"/>
      <c r="HO4" s="512"/>
      <c r="HP4" s="512"/>
      <c r="HQ4" s="512"/>
      <c r="HR4" s="512"/>
      <c r="HS4" s="512"/>
      <c r="HT4" s="512"/>
      <c r="HU4" s="512"/>
      <c r="HV4" s="512"/>
      <c r="HW4" s="512"/>
      <c r="HX4" s="512"/>
      <c r="HY4" s="512"/>
      <c r="HZ4" s="512"/>
      <c r="IA4" s="512"/>
      <c r="IB4" s="512"/>
      <c r="IC4" s="512"/>
      <c r="ID4" s="512"/>
      <c r="IE4" s="512"/>
      <c r="IF4" s="512"/>
      <c r="IG4" s="512"/>
      <c r="IH4" s="512"/>
      <c r="II4" s="512"/>
      <c r="IJ4" s="512"/>
      <c r="IK4" s="512"/>
      <c r="IL4" s="512"/>
      <c r="IM4" s="512"/>
      <c r="IN4" s="512"/>
      <c r="IO4" s="512"/>
      <c r="IP4" s="512"/>
      <c r="IQ4" s="512"/>
      <c r="IR4" s="512"/>
      <c r="IS4" s="512"/>
      <c r="IT4" s="512"/>
      <c r="IU4" s="512"/>
      <c r="IV4" s="512"/>
    </row>
    <row r="5" spans="1:256" s="288" customFormat="1" ht="39" customHeight="1">
      <c r="A5" s="901"/>
      <c r="B5" s="902"/>
      <c r="C5" s="902"/>
      <c r="D5" s="902"/>
      <c r="E5" s="291" t="s">
        <v>157</v>
      </c>
      <c r="F5" s="291" t="s">
        <v>158</v>
      </c>
      <c r="G5" s="291" t="s">
        <v>159</v>
      </c>
      <c r="H5" s="291" t="s">
        <v>160</v>
      </c>
      <c r="I5" s="515" t="s">
        <v>157</v>
      </c>
      <c r="J5" s="516" t="s">
        <v>158</v>
      </c>
      <c r="K5" s="516" t="s">
        <v>159</v>
      </c>
      <c r="L5" s="516" t="s">
        <v>160</v>
      </c>
      <c r="M5" s="516" t="s">
        <v>157</v>
      </c>
      <c r="N5" s="516" t="s">
        <v>158</v>
      </c>
      <c r="O5" s="516" t="s">
        <v>159</v>
      </c>
      <c r="P5" s="516" t="s">
        <v>160</v>
      </c>
      <c r="Q5" s="516" t="s">
        <v>157</v>
      </c>
      <c r="R5" s="516" t="s">
        <v>158</v>
      </c>
      <c r="S5" s="516" t="s">
        <v>159</v>
      </c>
      <c r="T5" s="516" t="s">
        <v>160</v>
      </c>
      <c r="U5" s="516" t="s">
        <v>157</v>
      </c>
      <c r="V5" s="516" t="s">
        <v>158</v>
      </c>
      <c r="W5" s="516" t="s">
        <v>159</v>
      </c>
      <c r="X5" s="516" t="s">
        <v>160</v>
      </c>
      <c r="Y5" s="516" t="s">
        <v>157</v>
      </c>
      <c r="Z5" s="516" t="s">
        <v>158</v>
      </c>
      <c r="AA5" s="516" t="s">
        <v>159</v>
      </c>
      <c r="AB5" s="516" t="s">
        <v>160</v>
      </c>
      <c r="AC5" s="516" t="s">
        <v>157</v>
      </c>
      <c r="AD5" s="516" t="s">
        <v>158</v>
      </c>
      <c r="AE5" s="516" t="s">
        <v>159</v>
      </c>
      <c r="AF5" s="516" t="s">
        <v>160</v>
      </c>
      <c r="AG5" s="517" t="s">
        <v>157</v>
      </c>
      <c r="AH5" s="517" t="s">
        <v>158</v>
      </c>
      <c r="AI5" s="517" t="s">
        <v>159</v>
      </c>
      <c r="AJ5" s="517" t="s">
        <v>160</v>
      </c>
      <c r="AK5" s="516" t="s">
        <v>157</v>
      </c>
      <c r="AL5" s="516" t="s">
        <v>158</v>
      </c>
      <c r="AM5" s="516" t="s">
        <v>159</v>
      </c>
      <c r="AN5" s="516" t="s">
        <v>160</v>
      </c>
      <c r="AO5" s="516" t="s">
        <v>157</v>
      </c>
      <c r="AP5" s="516" t="s">
        <v>158</v>
      </c>
      <c r="AQ5" s="516" t="s">
        <v>159</v>
      </c>
      <c r="AR5" s="516" t="s">
        <v>160</v>
      </c>
      <c r="AS5" s="516" t="s">
        <v>157</v>
      </c>
      <c r="AT5" s="516" t="s">
        <v>158</v>
      </c>
      <c r="AU5" s="516" t="s">
        <v>159</v>
      </c>
      <c r="AV5" s="516" t="s">
        <v>160</v>
      </c>
      <c r="AW5" s="517" t="s">
        <v>157</v>
      </c>
      <c r="AX5" s="517" t="s">
        <v>158</v>
      </c>
      <c r="AY5" s="517" t="s">
        <v>159</v>
      </c>
      <c r="AZ5" s="517" t="s">
        <v>160</v>
      </c>
      <c r="BA5" s="517" t="s">
        <v>157</v>
      </c>
      <c r="BB5" s="517" t="s">
        <v>158</v>
      </c>
      <c r="BC5" s="517" t="s">
        <v>159</v>
      </c>
      <c r="BD5" s="517" t="s">
        <v>160</v>
      </c>
      <c r="BE5" s="517" t="s">
        <v>157</v>
      </c>
      <c r="BF5" s="517" t="s">
        <v>158</v>
      </c>
      <c r="BG5" s="517" t="s">
        <v>159</v>
      </c>
      <c r="BH5" s="517" t="s">
        <v>160</v>
      </c>
      <c r="BI5" s="516" t="s">
        <v>157</v>
      </c>
      <c r="BJ5" s="516" t="s">
        <v>158</v>
      </c>
      <c r="BK5" s="516" t="s">
        <v>159</v>
      </c>
      <c r="BL5" s="516" t="s">
        <v>160</v>
      </c>
      <c r="BM5" s="516" t="s">
        <v>157</v>
      </c>
      <c r="BN5" s="516" t="s">
        <v>158</v>
      </c>
      <c r="BO5" s="516" t="s">
        <v>159</v>
      </c>
      <c r="BP5" s="516" t="s">
        <v>160</v>
      </c>
      <c r="BQ5" s="516" t="s">
        <v>157</v>
      </c>
      <c r="BR5" s="516" t="s">
        <v>158</v>
      </c>
      <c r="BS5" s="516" t="s">
        <v>159</v>
      </c>
      <c r="BT5" s="516" t="s">
        <v>160</v>
      </c>
      <c r="BU5" s="516" t="s">
        <v>157</v>
      </c>
      <c r="BV5" s="516" t="s">
        <v>158</v>
      </c>
      <c r="BW5" s="516" t="s">
        <v>159</v>
      </c>
      <c r="BX5" s="516" t="s">
        <v>160</v>
      </c>
      <c r="BY5" s="516" t="s">
        <v>157</v>
      </c>
      <c r="BZ5" s="516" t="s">
        <v>158</v>
      </c>
      <c r="CA5" s="516" t="s">
        <v>159</v>
      </c>
      <c r="CB5" s="516" t="s">
        <v>160</v>
      </c>
      <c r="CC5" s="516" t="s">
        <v>157</v>
      </c>
      <c r="CD5" s="516" t="s">
        <v>158</v>
      </c>
      <c r="CE5" s="516" t="s">
        <v>159</v>
      </c>
      <c r="CF5" s="516" t="s">
        <v>160</v>
      </c>
      <c r="CG5" s="516" t="s">
        <v>157</v>
      </c>
      <c r="CH5" s="516" t="s">
        <v>158</v>
      </c>
      <c r="CI5" s="516" t="s">
        <v>159</v>
      </c>
      <c r="CJ5" s="516" t="s">
        <v>160</v>
      </c>
      <c r="CK5" s="516" t="s">
        <v>157</v>
      </c>
      <c r="CL5" s="516" t="s">
        <v>158</v>
      </c>
      <c r="CM5" s="516" t="s">
        <v>159</v>
      </c>
      <c r="CN5" s="516" t="s">
        <v>160</v>
      </c>
      <c r="CO5" s="516" t="s">
        <v>157</v>
      </c>
      <c r="CP5" s="516" t="s">
        <v>158</v>
      </c>
      <c r="CQ5" s="516" t="s">
        <v>159</v>
      </c>
      <c r="CR5" s="516" t="s">
        <v>160</v>
      </c>
      <c r="CS5" s="516" t="s">
        <v>157</v>
      </c>
      <c r="CT5" s="516" t="s">
        <v>158</v>
      </c>
      <c r="CU5" s="516" t="s">
        <v>159</v>
      </c>
      <c r="CV5" s="516" t="s">
        <v>160</v>
      </c>
      <c r="CW5" s="516" t="s">
        <v>157</v>
      </c>
      <c r="CX5" s="516" t="s">
        <v>158</v>
      </c>
      <c r="CY5" s="516" t="s">
        <v>159</v>
      </c>
      <c r="CZ5" s="516" t="s">
        <v>160</v>
      </c>
      <c r="DA5" s="516" t="s">
        <v>157</v>
      </c>
      <c r="DB5" s="516" t="s">
        <v>158</v>
      </c>
      <c r="DC5" s="516" t="s">
        <v>159</v>
      </c>
      <c r="DD5" s="516" t="s">
        <v>160</v>
      </c>
      <c r="DE5" s="516" t="s">
        <v>157</v>
      </c>
      <c r="DF5" s="516" t="s">
        <v>158</v>
      </c>
      <c r="DG5" s="516" t="s">
        <v>159</v>
      </c>
      <c r="DH5" s="516" t="s">
        <v>160</v>
      </c>
      <c r="DI5" s="516" t="s">
        <v>157</v>
      </c>
      <c r="DJ5" s="516" t="s">
        <v>158</v>
      </c>
      <c r="DK5" s="516" t="s">
        <v>159</v>
      </c>
      <c r="DL5" s="516" t="s">
        <v>160</v>
      </c>
      <c r="DM5" s="516" t="s">
        <v>157</v>
      </c>
      <c r="DN5" s="516" t="s">
        <v>158</v>
      </c>
      <c r="DO5" s="516" t="s">
        <v>159</v>
      </c>
      <c r="DP5" s="516" t="s">
        <v>160</v>
      </c>
      <c r="DQ5" s="516" t="s">
        <v>157</v>
      </c>
      <c r="DR5" s="516" t="s">
        <v>158</v>
      </c>
      <c r="DS5" s="516" t="s">
        <v>159</v>
      </c>
      <c r="DT5" s="516" t="s">
        <v>160</v>
      </c>
      <c r="DU5" s="516" t="s">
        <v>157</v>
      </c>
      <c r="DV5" s="516" t="s">
        <v>158</v>
      </c>
      <c r="DW5" s="516" t="s">
        <v>159</v>
      </c>
      <c r="DX5" s="516" t="s">
        <v>160</v>
      </c>
      <c r="DY5" s="516" t="s">
        <v>157</v>
      </c>
      <c r="DZ5" s="516" t="s">
        <v>158</v>
      </c>
      <c r="EA5" s="516" t="s">
        <v>159</v>
      </c>
      <c r="EB5" s="516" t="s">
        <v>160</v>
      </c>
      <c r="EC5" s="516" t="s">
        <v>157</v>
      </c>
      <c r="ED5" s="516" t="s">
        <v>158</v>
      </c>
      <c r="EE5" s="516" t="s">
        <v>159</v>
      </c>
      <c r="EF5" s="516" t="s">
        <v>160</v>
      </c>
      <c r="EG5" s="516" t="s">
        <v>157</v>
      </c>
      <c r="EH5" s="516" t="s">
        <v>158</v>
      </c>
      <c r="EI5" s="516" t="s">
        <v>159</v>
      </c>
      <c r="EJ5" s="518" t="s">
        <v>160</v>
      </c>
      <c r="EK5" s="518" t="s">
        <v>157</v>
      </c>
      <c r="EL5" s="518" t="s">
        <v>158</v>
      </c>
      <c r="EM5" s="518" t="s">
        <v>159</v>
      </c>
      <c r="EN5" s="518" t="s">
        <v>160</v>
      </c>
      <c r="EO5" s="518" t="s">
        <v>157</v>
      </c>
      <c r="EP5" s="518" t="s">
        <v>158</v>
      </c>
      <c r="EQ5" s="516" t="s">
        <v>159</v>
      </c>
      <c r="ER5" s="516" t="s">
        <v>160</v>
      </c>
      <c r="ES5" s="516" t="s">
        <v>157</v>
      </c>
      <c r="ET5" s="516" t="s">
        <v>158</v>
      </c>
      <c r="EU5" s="516" t="s">
        <v>159</v>
      </c>
      <c r="EV5" s="516" t="s">
        <v>160</v>
      </c>
      <c r="EW5" s="516" t="s">
        <v>157</v>
      </c>
      <c r="EX5" s="516" t="s">
        <v>158</v>
      </c>
      <c r="EY5" s="516" t="s">
        <v>159</v>
      </c>
      <c r="EZ5" s="516" t="s">
        <v>160</v>
      </c>
      <c r="FA5" s="516" t="s">
        <v>157</v>
      </c>
      <c r="FB5" s="516" t="s">
        <v>158</v>
      </c>
      <c r="FC5" s="516" t="s">
        <v>159</v>
      </c>
      <c r="FD5" s="516" t="s">
        <v>160</v>
      </c>
      <c r="FE5" s="516" t="s">
        <v>157</v>
      </c>
      <c r="FF5" s="516" t="s">
        <v>158</v>
      </c>
      <c r="FG5" s="516" t="s">
        <v>159</v>
      </c>
      <c r="FH5" s="516" t="s">
        <v>160</v>
      </c>
      <c r="FI5" s="516" t="s">
        <v>157</v>
      </c>
      <c r="FJ5" s="516" t="s">
        <v>158</v>
      </c>
      <c r="FK5" s="516" t="s">
        <v>159</v>
      </c>
      <c r="FL5" s="516" t="s">
        <v>160</v>
      </c>
      <c r="FM5" s="516" t="s">
        <v>157</v>
      </c>
      <c r="FN5" s="516" t="s">
        <v>158</v>
      </c>
      <c r="FO5" s="516" t="s">
        <v>159</v>
      </c>
      <c r="FP5" s="516" t="s">
        <v>160</v>
      </c>
      <c r="FQ5" s="516" t="s">
        <v>157</v>
      </c>
      <c r="FR5" s="516" t="s">
        <v>158</v>
      </c>
      <c r="FS5" s="516" t="s">
        <v>159</v>
      </c>
      <c r="FT5" s="516" t="s">
        <v>160</v>
      </c>
      <c r="FU5" s="516" t="s">
        <v>157</v>
      </c>
      <c r="FV5" s="516" t="s">
        <v>158</v>
      </c>
      <c r="FW5" s="516" t="s">
        <v>159</v>
      </c>
      <c r="FX5" s="516" t="s">
        <v>160</v>
      </c>
      <c r="FY5" s="516" t="s">
        <v>157</v>
      </c>
      <c r="FZ5" s="516" t="s">
        <v>158</v>
      </c>
      <c r="GA5" s="516" t="s">
        <v>159</v>
      </c>
      <c r="GB5" s="516" t="s">
        <v>160</v>
      </c>
      <c r="GC5" s="516" t="s">
        <v>157</v>
      </c>
      <c r="GD5" s="516" t="s">
        <v>158</v>
      </c>
      <c r="GE5" s="516" t="s">
        <v>159</v>
      </c>
      <c r="GF5" s="516" t="s">
        <v>160</v>
      </c>
      <c r="GG5" s="516" t="s">
        <v>157</v>
      </c>
      <c r="GH5" s="516" t="s">
        <v>158</v>
      </c>
      <c r="GI5" s="516" t="s">
        <v>159</v>
      </c>
      <c r="GJ5" s="516" t="s">
        <v>160</v>
      </c>
      <c r="GK5" s="516" t="s">
        <v>157</v>
      </c>
      <c r="GL5" s="516" t="s">
        <v>158</v>
      </c>
      <c r="GM5" s="516" t="s">
        <v>159</v>
      </c>
      <c r="GN5" s="516" t="s">
        <v>160</v>
      </c>
      <c r="GO5" s="516" t="s">
        <v>157</v>
      </c>
      <c r="GP5" s="516" t="s">
        <v>158</v>
      </c>
      <c r="GQ5" s="516" t="s">
        <v>159</v>
      </c>
      <c r="GR5" s="516" t="s">
        <v>160</v>
      </c>
      <c r="GS5" s="516" t="s">
        <v>157</v>
      </c>
      <c r="GT5" s="516" t="s">
        <v>158</v>
      </c>
      <c r="GU5" s="516" t="s">
        <v>159</v>
      </c>
      <c r="GV5" s="516" t="s">
        <v>160</v>
      </c>
      <c r="GW5" s="516" t="s">
        <v>157</v>
      </c>
      <c r="GX5" s="516" t="s">
        <v>158</v>
      </c>
      <c r="GY5" s="516" t="s">
        <v>159</v>
      </c>
      <c r="GZ5" s="516" t="s">
        <v>160</v>
      </c>
      <c r="HA5" s="293"/>
      <c r="HB5" s="287"/>
      <c r="HE5" s="287"/>
      <c r="HF5" s="287"/>
      <c r="HG5" s="287"/>
      <c r="HH5" s="287"/>
      <c r="HI5" s="287"/>
      <c r="HJ5" s="287"/>
      <c r="HK5" s="287"/>
      <c r="HL5" s="287"/>
      <c r="HO5" s="294"/>
      <c r="HP5" s="295"/>
      <c r="HQ5" s="295"/>
      <c r="HR5" s="295"/>
      <c r="HY5" s="296"/>
      <c r="HZ5" s="295"/>
      <c r="IA5" s="295"/>
      <c r="IB5" s="295"/>
    </row>
    <row r="6" spans="1:256" s="305" customFormat="1" ht="13.5" hidden="1" customHeight="1">
      <c r="A6" s="908">
        <v>1</v>
      </c>
      <c r="B6" s="297" t="s">
        <v>161</v>
      </c>
      <c r="C6" s="297"/>
      <c r="D6" s="298" t="s">
        <v>162</v>
      </c>
      <c r="E6" s="299">
        <f>I6+M6+Q6+U6+Y6+AC6+AG6+AK6+AO6+AS6+AW6+BA6+BE6+BI6+BM6+BQ6+BU6+BY6+CC6+CG6+CK6+CO6+CS6+CW6+DA6+DE6+DI6+DM6+DQ6+DU6+DY6+EC6+EG6+EK6+EO6+ES6+EW6+FA6+FE6+FI6+FM6+FQ6+FU6+FY6+GC6+GK6+GG6+GO6+GS6+GW6</f>
        <v>9235.7168899999997</v>
      </c>
      <c r="F6" s="299">
        <f>J6+N6+R6+V6+Z6+AD6+AH6+AL6+AP6+AT6+AX6+BB6+BF6+BJ6+BN6+BR6+BV6+BZ6+CD6+CH6+CL6+CP6+CT6+CX6+DB6+DF6+DJ6+DN6+DR6+DV6+DZ6+ED6+EH6+EL6+EP6+ET6+EX6+FB6+FF6+FJ6+FN6+FR6+FV6+FZ6+GD6+GL6+GH6+GP6+GT6+GX6</f>
        <v>124851.71274610005</v>
      </c>
      <c r="G6" s="299">
        <f>K6+O6+S6+W6+AA6+AE6+AI6+AM6+AQ6+AU6+AY6+BC6+BG6+BK6+BO6+BS6+BW6+CA6+CE6+CI6+CM6+CQ6+CU6+CY6+DC6+DG6+DK6+DO6+DS6+DW6+EA6+EE6+EI6+EM6+EQ6+EU6+EY6+FC6+FG6+FK6+FO6+FS6+FW6+GA6+GE6+GM6+GI6+GQ6+GU6+GY6</f>
        <v>124851.71274610005</v>
      </c>
      <c r="H6" s="299">
        <f>L6+P6+T6+X6+AB6+AF6+AJ6+AN6+AR6+AV6+AZ6+BD6+BH6+BL6+BP6+BT6+BX6+CB6+CF6+CJ6+CN6+CR6+CV6+CZ6+DD6+DH6+DL6+DP6+DT6+DX6+EB6+EF6+EJ6+EN6+ER6+EV6+EZ6+FD6+FH6+FL6+FP6+FT6+FX6+GB6+GF6+GN6+GJ6+GR6+GV6+GZ6</f>
        <v>0</v>
      </c>
      <c r="I6" s="300">
        <f>'[1]ГК РЭС'!K29/1000</f>
        <v>49.756990000000002</v>
      </c>
      <c r="J6" s="300">
        <f>'[1]ГК РЭС'!L29/1000</f>
        <v>897.35984370000006</v>
      </c>
      <c r="K6" s="300">
        <f>'[1]ГК РЭС'!M29/1000</f>
        <v>897.35984370000006</v>
      </c>
      <c r="L6" s="300">
        <f>K6-J6</f>
        <v>0</v>
      </c>
      <c r="M6" s="300">
        <f>'[1]УМУП УК ЖКХ г.Ульяновска'!K67/1000</f>
        <v>4.4010400000000001</v>
      </c>
      <c r="N6" s="300">
        <f>'[1]УМУП УК ЖКХ г.Ульяновска'!L67/1000</f>
        <v>30.8041284</v>
      </c>
      <c r="O6" s="300">
        <f>'[1]УМУП УК ЖКХ г.Ульяновска'!M67/1000</f>
        <v>30.8041284</v>
      </c>
      <c r="P6" s="300">
        <f>O6-N6</f>
        <v>0</v>
      </c>
      <c r="Q6" s="300">
        <f>'[1]ОАО ДК Засвияжье 1'!K79/1000</f>
        <v>1292.8545699999997</v>
      </c>
      <c r="R6" s="300">
        <f>'[1]ОАО ДК Засвияжье 1'!L79/1000</f>
        <v>13320.998939500001</v>
      </c>
      <c r="S6" s="300">
        <f>'[1]ОАО ДК Засвияжье 1'!M79/1000</f>
        <v>13320.998939500001</v>
      </c>
      <c r="T6" s="300">
        <f>S6-R6</f>
        <v>0</v>
      </c>
      <c r="U6" s="300">
        <f>'[1]ОАО ДК Заволж р-на'!K194/1000</f>
        <v>716.33385000000033</v>
      </c>
      <c r="V6" s="300">
        <f>'[1]ОАО ДК Заволж р-на'!L194/1000</f>
        <v>9099.3116964000001</v>
      </c>
      <c r="W6" s="300">
        <f>'[1]ОАО ДК Заволж р-на'!M194/1000</f>
        <v>9099.3116964000001</v>
      </c>
      <c r="X6" s="300">
        <f>W6-V6</f>
        <v>0</v>
      </c>
      <c r="Y6" s="300">
        <f>'[1]ООО ЖСС'!K33/1000</f>
        <v>415.37040999999999</v>
      </c>
      <c r="Z6" s="300">
        <f>'[1]ООО ЖСС'!L33/1000</f>
        <v>7078.3866165999989</v>
      </c>
      <c r="AA6" s="300">
        <f>'[1]ООО ЖСС'!M33/1000</f>
        <v>7078.3866165999989</v>
      </c>
      <c r="AB6" s="300">
        <f>AA6-Z6</f>
        <v>0</v>
      </c>
      <c r="AC6" s="300">
        <f>[1]МегаЛинк!K39/1000</f>
        <v>247.29827</v>
      </c>
      <c r="AD6" s="300">
        <f>[1]МегаЛинк!L39/1000</f>
        <v>4404.6497552999999</v>
      </c>
      <c r="AE6" s="300">
        <f>[1]МегаЛинк!M39/1000</f>
        <v>4404.6497552999999</v>
      </c>
      <c r="AF6" s="300">
        <f>AE6-AD6</f>
        <v>0</v>
      </c>
      <c r="AG6" s="300">
        <f>[1]Вымпел!K29/1000</f>
        <v>43.925539999999998</v>
      </c>
      <c r="AH6" s="300">
        <f>[1]Вымпел!L29/1000</f>
        <v>792.85599700000012</v>
      </c>
      <c r="AI6" s="300">
        <f>[1]Вымпел!M29/1000</f>
        <v>792.85599700000012</v>
      </c>
      <c r="AJ6" s="300">
        <f>AI6-AH6</f>
        <v>0</v>
      </c>
      <c r="AK6" s="300">
        <f>'[1]ООО РЭС'!K61/1000</f>
        <v>422.72202000000004</v>
      </c>
      <c r="AL6" s="300">
        <f>'[1]ООО РЭС'!L61/1000</f>
        <v>7283.2124631999995</v>
      </c>
      <c r="AM6" s="300">
        <f>'[1]ООО РЭС'!M61/1000</f>
        <v>7283.2124631999995</v>
      </c>
      <c r="AN6" s="300">
        <f>AM6-AL6</f>
        <v>0</v>
      </c>
      <c r="AO6" s="300">
        <f>'[1]ЗАО ГК Аметист'!K99/1000</f>
        <v>1146.7660800000001</v>
      </c>
      <c r="AP6" s="300">
        <f>'[1]ЗАО ГК Аметист'!L99/1000</f>
        <v>17050.058329899999</v>
      </c>
      <c r="AQ6" s="300">
        <f>'[1]ЗАО ГК Аметист'!M99/1000</f>
        <v>17050.058329899999</v>
      </c>
      <c r="AR6" s="300">
        <f>AQ6-AP6</f>
        <v>0</v>
      </c>
      <c r="AS6" s="300">
        <f>'[1]Фундамент СК ООО'!K30/1000</f>
        <v>230.98446999999999</v>
      </c>
      <c r="AT6" s="300">
        <f>'[1]Фундамент СК ООО'!L30/1000</f>
        <v>3375.9731817000002</v>
      </c>
      <c r="AU6" s="300">
        <f>'[1]Фундамент СК ООО'!M30/1000</f>
        <v>3375.9731817000002</v>
      </c>
      <c r="AV6" s="300">
        <f>AU6-AT6</f>
        <v>0</v>
      </c>
      <c r="AW6" s="301">
        <f>'[1]Ульяновский _2 ТСЖ'!K29/1000</f>
        <v>42.779980000000002</v>
      </c>
      <c r="AX6" s="301">
        <f>'[1]Ульяновский _2 ТСЖ'!L29/1000</f>
        <v>761.05584420000002</v>
      </c>
      <c r="AY6" s="301">
        <f>'[1]Ульяновский _2 ТСЖ'!M29/1000</f>
        <v>761.05584420000002</v>
      </c>
      <c r="AZ6" s="301">
        <f>AY6-AX6</f>
        <v>0</v>
      </c>
      <c r="BA6" s="301">
        <f>'[1]ДоМ ТСЖ'!K29/1000</f>
        <v>15.410690000000001</v>
      </c>
      <c r="BB6" s="301">
        <f>'[1]ДоМ ТСЖ'!L29/1000</f>
        <v>260.59476790000002</v>
      </c>
      <c r="BC6" s="301">
        <f>'[1]ДоМ ТСЖ'!M29/1000</f>
        <v>260.59476790000002</v>
      </c>
      <c r="BD6" s="301">
        <f>BC6-BB6</f>
        <v>0</v>
      </c>
      <c r="BE6" s="302">
        <f>'[1]ООО ТехноГрад'!K29/1000</f>
        <v>12.374739999999999</v>
      </c>
      <c r="BF6" s="302">
        <f>'[1]ООО ТехноГрад'!L29/1000</f>
        <v>199.85205099999999</v>
      </c>
      <c r="BG6" s="302">
        <f>'[1]ООО ТехноГрад'!M29/1000</f>
        <v>199.85205099999999</v>
      </c>
      <c r="BH6" s="301">
        <f>BG6-BF6</f>
        <v>0</v>
      </c>
      <c r="BI6" s="300">
        <f>[1]СМУ!K51/1000</f>
        <v>307.45878999999996</v>
      </c>
      <c r="BJ6" s="300">
        <f>[1]СМУ!L51/1000</f>
        <v>4563.2124459999986</v>
      </c>
      <c r="BK6" s="300">
        <f>[1]СМУ!M51/1000</f>
        <v>4563.2124459999986</v>
      </c>
      <c r="BL6" s="300">
        <f>BK6-BJ6</f>
        <v>0</v>
      </c>
      <c r="BM6" s="300">
        <f>'[1]Евро-Строй-Сервис'!K28/1000</f>
        <v>52.514559999999996</v>
      </c>
      <c r="BN6" s="300">
        <f>'[1]Евро-Строй-Сервис'!L28/1000</f>
        <v>657.45807920000004</v>
      </c>
      <c r="BO6" s="300">
        <f>'[1]Евро-Строй-Сервис'!M28/1000</f>
        <v>657.45807920000004</v>
      </c>
      <c r="BP6" s="300">
        <f>BO6-BN6</f>
        <v>0</v>
      </c>
      <c r="BQ6" s="300">
        <f>'[1]ОАО ДК Засвияжье 2'!K59/1000</f>
        <v>66.750810000000001</v>
      </c>
      <c r="BR6" s="300">
        <f>'[1]ОАО ДК Засвияжье 2'!L59/1000</f>
        <v>759.9526899</v>
      </c>
      <c r="BS6" s="300">
        <f>'[1]ОАО ДК Засвияжье 2'!M59/1000</f>
        <v>759.9526899</v>
      </c>
      <c r="BT6" s="302">
        <f>BS6-BR6</f>
        <v>0</v>
      </c>
      <c r="BU6" s="302">
        <f>('[1]ОАО ДК Лен р-на'!K150+'[1]ООО Технология'!K106)/1000</f>
        <v>927.27217999999971</v>
      </c>
      <c r="BV6" s="302">
        <f>('[1]ОАО ДК Лен р-на'!L150+'[1]ООО Технология'!L106)/1000</f>
        <v>9594.3202783999986</v>
      </c>
      <c r="BW6" s="302">
        <f>('[1]ОАО ДК Лен р-на'!M150+'[1]ООО Технология'!M106)/1000</f>
        <v>9594.3202783999986</v>
      </c>
      <c r="BX6" s="302">
        <f>BW6-BV6</f>
        <v>0</v>
      </c>
      <c r="BY6" s="300">
        <f>'[1]ОАО ДК ЖД р-на'!K330/1000</f>
        <v>1165.1320600000001</v>
      </c>
      <c r="BZ6" s="300">
        <f>'[1]ОАО ДК ЖД р-на'!L330/1000</f>
        <v>13132.554763100001</v>
      </c>
      <c r="CA6" s="300">
        <f>'[1]ОАО ДК ЖД р-на'!M330/1000</f>
        <v>13132.554763100001</v>
      </c>
      <c r="CB6" s="300">
        <f>CA6-BZ6</f>
        <v>0</v>
      </c>
      <c r="CC6" s="300">
        <f>[1]СУК!K29/1000</f>
        <v>9.7036899999999999</v>
      </c>
      <c r="CD6" s="300">
        <f>[1]СУК!L29/1000</f>
        <v>160.21640600000001</v>
      </c>
      <c r="CE6" s="300">
        <f>[1]СУК!M29/1000</f>
        <v>160.21640600000001</v>
      </c>
      <c r="CF6" s="300">
        <f>CE6-CD6</f>
        <v>0</v>
      </c>
      <c r="CG6" s="300">
        <f>'[1]УК ЖСС'!K51/1000</f>
        <v>1100.11753</v>
      </c>
      <c r="CH6" s="300">
        <f>'[1]УК ЖСС'!L51/1000</f>
        <v>18739.661922800002</v>
      </c>
      <c r="CI6" s="300">
        <f>'[1]УК ЖСС'!M51/1000</f>
        <v>18739.661922800002</v>
      </c>
      <c r="CJ6" s="300">
        <f t="shared" ref="CJ6:CJ94" si="0">CI6-CH6</f>
        <v>0</v>
      </c>
      <c r="CK6" s="300">
        <f>'[1]ТСЖ Народ контроль R'!K29/1000</f>
        <v>52.980319999999999</v>
      </c>
      <c r="CL6" s="300">
        <f>'[1]ТСЖ Народ контроль R'!L29/1000</f>
        <v>788.34716159999994</v>
      </c>
      <c r="CM6" s="300">
        <f>'[1]ТСЖ Народ контроль R'!M29/1000</f>
        <v>788.34716159999994</v>
      </c>
      <c r="CN6" s="300">
        <f t="shared" ref="CN6:CN71" si="1">CM6-CL6</f>
        <v>0</v>
      </c>
      <c r="CO6" s="300">
        <f>'[1]Север-1'!K45/1000</f>
        <v>17.561689999999999</v>
      </c>
      <c r="CP6" s="300">
        <f>'[1]Север-1'!L45/1000</f>
        <v>156.02749400000002</v>
      </c>
      <c r="CQ6" s="300">
        <f>'[1]Север-1'!M45/1000</f>
        <v>156.02749400000002</v>
      </c>
      <c r="CR6" s="300">
        <f t="shared" ref="CR6:CR71" si="2">CQ6-CP6</f>
        <v>0</v>
      </c>
      <c r="CS6" s="300">
        <f>'[1]МостОтряд №51'!K29/1000</f>
        <v>8.3820800000000002</v>
      </c>
      <c r="CT6" s="300">
        <f>'[1]МостОтряд №51'!L29/1000</f>
        <v>59.648252599999992</v>
      </c>
      <c r="CU6" s="300">
        <f>'[1]МостОтряд №51'!M29/1000</f>
        <v>59.648252599999992</v>
      </c>
      <c r="CV6" s="300">
        <f t="shared" ref="CV6:CV71" si="3">CU6-CT6</f>
        <v>0</v>
      </c>
      <c r="CW6" s="300">
        <f>'[1]Пр-т Гая'!K85/1000</f>
        <v>34.971150000000002</v>
      </c>
      <c r="CX6" s="300">
        <f>'[1]Пр-т Гая'!L85/1000</f>
        <v>279.60495900000001</v>
      </c>
      <c r="CY6" s="300">
        <f>'[1]Пр-т Гая'!M85/1000</f>
        <v>279.60495900000001</v>
      </c>
      <c r="CZ6" s="300">
        <f t="shared" ref="CZ6:CZ71" si="4">CY6-CX6</f>
        <v>0</v>
      </c>
      <c r="DA6" s="300">
        <f>[1]Стасова!K49/1000</f>
        <v>18.94933</v>
      </c>
      <c r="DB6" s="300">
        <f>[1]Стасова!L49/1000</f>
        <v>161.40010720000001</v>
      </c>
      <c r="DC6" s="300">
        <f>[1]Стасова!M49/1000</f>
        <v>161.40010720000001</v>
      </c>
      <c r="DD6" s="300">
        <f t="shared" ref="DD6:DD80" si="5">DC6-DB6</f>
        <v>0</v>
      </c>
      <c r="DE6" s="300">
        <f>'[1]Мегаполис ТСЖ'!K29/1000</f>
        <v>31.217350000000003</v>
      </c>
      <c r="DF6" s="300">
        <f>'[1]Мегаполис ТСЖ'!L29/1000</f>
        <v>315.34898840000005</v>
      </c>
      <c r="DG6" s="300">
        <f>'[1]Мегаполис ТСЖ'!M29/1000</f>
        <v>315.34898840000005</v>
      </c>
      <c r="DH6" s="300">
        <f t="shared" ref="DH6:DH71" si="6">DG6-DF6</f>
        <v>0</v>
      </c>
      <c r="DI6" s="300">
        <f>'[1]ООО УК Инвестстрой М'!K29/1000</f>
        <v>22.186580000000003</v>
      </c>
      <c r="DJ6" s="300">
        <f>'[1]ООО УК Инвестстрой М'!L29/1000</f>
        <v>326.36459180000003</v>
      </c>
      <c r="DK6" s="300">
        <f>'[1]ООО УК Инвестстрой М'!M29/1000</f>
        <v>326.36459180000003</v>
      </c>
      <c r="DL6" s="300">
        <f>DK6-DJ6</f>
        <v>0</v>
      </c>
      <c r="DM6" s="300">
        <f>'[1]Альфаком-У'!K64/1000</f>
        <v>267.49553000000003</v>
      </c>
      <c r="DN6" s="300">
        <f>'[1]Альфаком-У'!L64/1000</f>
        <v>3107.6887541999999</v>
      </c>
      <c r="DO6" s="300">
        <f>'[1]Альфаком-У'!M64/1000</f>
        <v>3107.6887541999999</v>
      </c>
      <c r="DP6" s="300">
        <f t="shared" ref="DP6:DP69" si="7">DO6-DN6</f>
        <v>0</v>
      </c>
      <c r="DQ6" s="300">
        <f>'[1]ТСЖ Дачный'!K49/1000</f>
        <v>0.17898</v>
      </c>
      <c r="DR6" s="300">
        <f>'[1]ТСЖ Дачный'!L49/1000</f>
        <v>0.9163775999999999</v>
      </c>
      <c r="DS6" s="300">
        <f>'[1]ТСЖ Дачный'!M49/1000</f>
        <v>0.9163775999999999</v>
      </c>
      <c r="DT6" s="300">
        <f t="shared" ref="DT6:DT71" si="8">DS6-DR6</f>
        <v>0</v>
      </c>
      <c r="DU6" s="300">
        <f>'[1]Альфаком-У-ТСЖ З-2'!K49/1000</f>
        <v>54.455589999999994</v>
      </c>
      <c r="DV6" s="300">
        <f>'[1]Альфаком-У-ТСЖ З-2'!L49/1000</f>
        <v>806.03623599999992</v>
      </c>
      <c r="DW6" s="300">
        <f>'[1]Альфаком-У-ТСЖ З-2'!M49/1000</f>
        <v>806.03623599999992</v>
      </c>
      <c r="DX6" s="300">
        <f t="shared" ref="DX6:DX78" si="9">DW6-DV6</f>
        <v>0</v>
      </c>
      <c r="DY6" s="300">
        <f>'[1]ЖСК Электромаш'!K29/1000</f>
        <v>13.18249</v>
      </c>
      <c r="DZ6" s="300">
        <f>'[1]ЖСК Электромаш'!L29/1000</f>
        <v>222.91590590000001</v>
      </c>
      <c r="EA6" s="300">
        <f>'[1]ЖСК Электромаш'!M29/1000</f>
        <v>222.91590590000001</v>
      </c>
      <c r="EB6" s="300">
        <f t="shared" ref="EB6:EB71" si="10">EA6-DZ6</f>
        <v>0</v>
      </c>
      <c r="EC6" s="300">
        <f>'[1]ЗАО Авиастар-СП'!K29/1000</f>
        <v>3.8118099999999995</v>
      </c>
      <c r="ED6" s="300">
        <f>'[1]ЗАО Авиастар-СП'!L29/1000</f>
        <v>296.03308699999997</v>
      </c>
      <c r="EE6" s="300">
        <f>'[1]ЗАО Авиастар-СП'!M29/1000</f>
        <v>296.03308699999997</v>
      </c>
      <c r="EF6" s="300">
        <f t="shared" ref="EF6:EF71" si="11">EE6-ED6</f>
        <v>0</v>
      </c>
      <c r="EG6" s="300">
        <f>'[1]ООО ЦЭТ'!K68/1000</f>
        <v>178.29168999999999</v>
      </c>
      <c r="EH6" s="300">
        <f>'[1]ООО ЦЭТ'!L68/1000</f>
        <v>2827.8451077999998</v>
      </c>
      <c r="EI6" s="300">
        <f>'[1]ООО ЦЭТ'!M68/1000</f>
        <v>2827.8451077999998</v>
      </c>
      <c r="EJ6" s="300">
        <f t="shared" ref="EJ6:EJ71" si="12">EI6-EH6</f>
        <v>0</v>
      </c>
      <c r="EK6" s="300">
        <f>'[1]ТСЖ Форт'!K29/1000</f>
        <v>0.25645999999999997</v>
      </c>
      <c r="EL6" s="300">
        <f>'[1]ТСЖ Форт'!L29/1000</f>
        <v>3.5135019999999995</v>
      </c>
      <c r="EM6" s="300">
        <f>'[1]ТСЖ Форт'!M29/1000</f>
        <v>3.5135019999999995</v>
      </c>
      <c r="EN6" s="300">
        <f t="shared" ref="EN6:EN71" si="13">EM6-EL6</f>
        <v>0</v>
      </c>
      <c r="EO6" s="300">
        <f>'[1]ООО ЖЭК'!K43/1000</f>
        <v>16.84318</v>
      </c>
      <c r="EP6" s="300">
        <f>'[1]ООО ЖЭК'!L43/1000</f>
        <v>172.03653590000002</v>
      </c>
      <c r="EQ6" s="300">
        <f>'[1]ООО ЖЭК'!M43/1000</f>
        <v>172.03653590000002</v>
      </c>
      <c r="ER6" s="300">
        <f t="shared" ref="ER6:ER71" si="14">EQ6-EP6</f>
        <v>0</v>
      </c>
      <c r="ES6" s="300">
        <f>'[1]УК ЖКХ Симбирск'!K65/1000</f>
        <v>7.8071500000000009</v>
      </c>
      <c r="ET6" s="300">
        <f>'[1]УК ЖКХ Симбирск'!L65/1000</f>
        <v>97.073261300000013</v>
      </c>
      <c r="EU6" s="300">
        <f>'[1]УК ЖКХ Симбирск'!M65/1000</f>
        <v>97.073261300000013</v>
      </c>
      <c r="EV6" s="300">
        <f t="shared" ref="EV6:EV71" si="15">EU6-ET6</f>
        <v>0</v>
      </c>
      <c r="EW6" s="300">
        <f>'[1]ООО Наш Дом 010212'!K53/1000</f>
        <v>16.32809</v>
      </c>
      <c r="EX6" s="300">
        <f>'[1]ООО Наш Дом 010212'!L53/1000</f>
        <v>91.546034700000007</v>
      </c>
      <c r="EY6" s="300">
        <f>'[1]ООО Наш Дом 010212'!M53/1000</f>
        <v>91.546034700000007</v>
      </c>
      <c r="EZ6" s="300">
        <f t="shared" ref="EZ6:EZ71" si="16">EY6-EX6</f>
        <v>0</v>
      </c>
      <c r="FA6" s="300">
        <f>'[1]ООО Истоки+'!K54/1000</f>
        <v>56.711769999999994</v>
      </c>
      <c r="FB6" s="300">
        <f>'[1]ООО Истоки+'!L54/1000</f>
        <v>816.12460920000001</v>
      </c>
      <c r="FC6" s="300">
        <f>'[1]ООО Истоки+'!M54/1000</f>
        <v>816.12460920000001</v>
      </c>
      <c r="FD6" s="300">
        <f t="shared" ref="FD6:FD71" si="17">FC6-FB6</f>
        <v>0</v>
      </c>
      <c r="FE6" s="300">
        <f>'[1]ООО ЖКиСР УправДом'!K71/1000</f>
        <v>23.927109999999999</v>
      </c>
      <c r="FF6" s="300">
        <f>'[1]ООО ЖКиСР УправДом'!L71/1000</f>
        <v>252.89117390000001</v>
      </c>
      <c r="FG6" s="300">
        <f>'[1]ООО ЖКиСР УправДом'!M71/1000</f>
        <v>252.89117390000001</v>
      </c>
      <c r="FH6" s="300">
        <f t="shared" ref="FH6:FH71" si="18">FG6-FF6</f>
        <v>0</v>
      </c>
      <c r="FI6" s="300">
        <f>'[1]ТСЖ Малахит'!K29/1000</f>
        <v>6.03599</v>
      </c>
      <c r="FJ6" s="300">
        <f>'[1]ТСЖ Малахит'!L29/1000</f>
        <v>95.368642000000008</v>
      </c>
      <c r="FK6" s="300">
        <f>'[1]ТСЖ Малахит'!M29/1000</f>
        <v>95.368642000000008</v>
      </c>
      <c r="FL6" s="300">
        <f t="shared" ref="FL6:FL78" si="19">FK6-FJ6</f>
        <v>0</v>
      </c>
      <c r="FM6" s="300">
        <v>0</v>
      </c>
      <c r="FN6" s="300">
        <v>0</v>
      </c>
      <c r="FO6" s="300">
        <v>0</v>
      </c>
      <c r="FP6" s="300">
        <f t="shared" ref="FP6:FP55" si="20">FO6-FN6</f>
        <v>0</v>
      </c>
      <c r="FQ6" s="300">
        <f>'[1]ООО ЖКХ Лен-го района'!K48/1000</f>
        <v>21.717160000000003</v>
      </c>
      <c r="FR6" s="300">
        <f>'[1]ООО ЖКХ Лен-го района'!L48/1000</f>
        <v>398.79331349999995</v>
      </c>
      <c r="FS6" s="300">
        <f>'[1]ООО ЖКХ Лен-го района'!M48/1000</f>
        <v>398.79331349999995</v>
      </c>
      <c r="FT6" s="300">
        <f t="shared" ref="FT6:FT71" si="21">FS6-FR6</f>
        <v>0</v>
      </c>
      <c r="FU6" s="300">
        <f>'[1]ООО УК КПД-1'!K29/1000</f>
        <v>51.670550000000006</v>
      </c>
      <c r="FV6" s="300">
        <f>'[1]ООО УК КПД-1'!L29/1000</f>
        <v>698.04556609999997</v>
      </c>
      <c r="FW6" s="300">
        <f>'[1]ООО УК КПД-1'!M29/1000</f>
        <v>698.04556609999997</v>
      </c>
      <c r="FX6" s="300">
        <f t="shared" ref="FX6:FX71" si="22">FW6-FV6</f>
        <v>0</v>
      </c>
      <c r="FY6" s="300">
        <f>'[1]ООО КПД-2 Жилсервис'!K29/1000</f>
        <v>7.4838699999999996</v>
      </c>
      <c r="FZ6" s="300">
        <f>'[1]ООО КПД-2 Жилсервис'!L29/1000</f>
        <v>112.25805</v>
      </c>
      <c r="GA6" s="300">
        <f>'[1]ООО КПД-2 Жилсервис'!M29/1000</f>
        <v>112.25805</v>
      </c>
      <c r="GB6" s="300">
        <f t="shared" ref="GB6:GB71" si="23">GA6-FZ6</f>
        <v>0</v>
      </c>
      <c r="GC6" s="300">
        <f>'[1]ООО УК ЦЭТ'!K66/1000</f>
        <v>9.4540199999999999</v>
      </c>
      <c r="GD6" s="300">
        <f>'[1]ООО УК ЦЭТ'!L66/1000</f>
        <v>132.5225982</v>
      </c>
      <c r="GE6" s="300">
        <f>'[1]ООО УК ЦЭТ'!M66/1000</f>
        <v>132.5225982</v>
      </c>
      <c r="GF6" s="300">
        <f t="shared" ref="GF6:GF58" si="24">GE6-GD6</f>
        <v>0</v>
      </c>
      <c r="GG6" s="300">
        <f>'[1]ЖСК пер Рылеева-14'!K65/1000</f>
        <v>2.9188299999999998</v>
      </c>
      <c r="GH6" s="300">
        <f>'[1]ЖСК пер Рылеева-14'!L65/1000</f>
        <v>36.485374999999998</v>
      </c>
      <c r="GI6" s="300">
        <f>'[1]ЖСК пер Рылеева-14'!M65/1000</f>
        <v>36.485374999999998</v>
      </c>
      <c r="GJ6" s="300">
        <f>GI6-GH6</f>
        <v>0</v>
      </c>
      <c r="GK6" s="300">
        <f>'[1]ООО УК Симбирская'!K43/1000</f>
        <v>1.7033</v>
      </c>
      <c r="GL6" s="300">
        <f>'[1]ООО УК Симбирская'!L43/1000</f>
        <v>15.108270999999998</v>
      </c>
      <c r="GM6" s="300">
        <f>'[1]ООО УК Симбирская'!M43/1000</f>
        <v>15.108270999999998</v>
      </c>
      <c r="GN6" s="300">
        <f>GM6-GL6</f>
        <v>0</v>
      </c>
      <c r="GO6" s="300">
        <f>'[1]ООО УО Партнер'!K44/1000</f>
        <v>26.115449999999996</v>
      </c>
      <c r="GP6" s="300">
        <f>'[1]ООО УО Партнер'!L44/1000</f>
        <v>224.90533199999999</v>
      </c>
      <c r="GQ6" s="300">
        <f>'[1]ООО УО Партнер'!M44/1000</f>
        <v>224.90533199999999</v>
      </c>
      <c r="GR6" s="300">
        <f>GQ6-GP6</f>
        <v>0</v>
      </c>
      <c r="GS6" s="300">
        <f>'[1]ООО ТК Святогор'!K29/1000</f>
        <v>13.1511</v>
      </c>
      <c r="GT6" s="300">
        <f>'[1]ООО ТК Святогор'!L29/1000</f>
        <v>194.37325799999999</v>
      </c>
      <c r="GU6" s="300">
        <f>'[1]ООО ТК Святогор'!M29/1000</f>
        <v>194.37325799999999</v>
      </c>
      <c r="GV6" s="300">
        <f>GU6-GT6</f>
        <v>0</v>
      </c>
      <c r="GW6" s="300">
        <f>'[1]ТСЖ Володарец'!K28/1000</f>
        <v>0</v>
      </c>
      <c r="GX6" s="300">
        <f>'[1]ТСЖ Володарец'!L28/1000</f>
        <v>0</v>
      </c>
      <c r="GY6" s="300">
        <f>'[1]ТСЖ Володарец'!M28/1000</f>
        <v>0</v>
      </c>
      <c r="GZ6" s="300">
        <f>GY6-GX6</f>
        <v>0</v>
      </c>
      <c r="HA6" s="303"/>
      <c r="HB6" s="304" t="s">
        <v>163</v>
      </c>
      <c r="HC6" s="285" t="s">
        <v>164</v>
      </c>
      <c r="HD6" s="288" t="s">
        <v>165</v>
      </c>
      <c r="HE6" s="288" t="s">
        <v>166</v>
      </c>
      <c r="HF6" s="288" t="s">
        <v>167</v>
      </c>
      <c r="HG6" s="288" t="s">
        <v>168</v>
      </c>
      <c r="HH6" s="288" t="s">
        <v>169</v>
      </c>
      <c r="HI6" s="288" t="s">
        <v>170</v>
      </c>
      <c r="HJ6" s="288" t="s">
        <v>171</v>
      </c>
      <c r="HK6" s="288" t="s">
        <v>172</v>
      </c>
      <c r="HL6" s="288" t="s">
        <v>173</v>
      </c>
      <c r="HM6" s="288" t="s">
        <v>174</v>
      </c>
      <c r="HS6" s="306"/>
      <c r="HT6" s="306"/>
      <c r="HU6" s="306"/>
      <c r="HV6" s="306"/>
    </row>
    <row r="7" spans="1:256" s="300" customFormat="1" ht="12.75" hidden="1" customHeight="1">
      <c r="A7" s="908"/>
      <c r="B7" s="285" t="s">
        <v>175</v>
      </c>
      <c r="C7" s="307"/>
      <c r="D7" s="308"/>
      <c r="E7" s="301"/>
      <c r="M7" s="309"/>
      <c r="AG7" s="301"/>
      <c r="AH7" s="301"/>
      <c r="AI7" s="301"/>
      <c r="AO7" s="310"/>
      <c r="AP7" s="310"/>
      <c r="AQ7" s="310"/>
      <c r="AS7" s="310"/>
      <c r="AT7" s="310"/>
      <c r="AU7" s="310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Q7" s="310"/>
      <c r="BR7" s="310"/>
      <c r="BS7" s="310"/>
      <c r="EQ7" s="309"/>
      <c r="EW7" s="310"/>
      <c r="EX7" s="310"/>
      <c r="EY7" s="310"/>
      <c r="HA7" s="303"/>
      <c r="HB7" s="311" t="s">
        <v>176</v>
      </c>
      <c r="HC7" s="312">
        <f>SUM(BU6,CK6,EG6,EK6,EO6,ES6,FA6,FE6,FM6,FQ6,GC6,GG6,GK6)</f>
        <v>1299.8831699999996</v>
      </c>
      <c r="HD7" s="312">
        <f>SUM(Q6)</f>
        <v>1292.8545699999997</v>
      </c>
      <c r="HE7" s="312">
        <f>SUM(BQ6,FY6,GO6)</f>
        <v>100.35012999999999</v>
      </c>
      <c r="HF7" s="312">
        <f>SUM(U6,AC6,BI6,BM6,FI6)</f>
        <v>1329.6414600000005</v>
      </c>
      <c r="HG7" s="312">
        <f>SUM(I6,Y6,AG6,AK6,AW6,BA6,BE6,CC6,CG6,DY6,EC6,GS6)</f>
        <v>2142.3069900000005</v>
      </c>
      <c r="HH7" s="312">
        <f>SUM(BY6,DI6)</f>
        <v>1187.3186400000002</v>
      </c>
      <c r="HI7" s="312">
        <f>SUM(AS6)</f>
        <v>230.98446999999999</v>
      </c>
      <c r="HJ7" s="312">
        <f>SUM(AO6)</f>
        <v>1146.7660800000001</v>
      </c>
      <c r="HK7" s="312">
        <f>SUM(CO6,CS6,CW6,DA6,DE6,DM6,DQ6,DU6,EW6)</f>
        <v>449.53978999999998</v>
      </c>
      <c r="HL7" s="312">
        <f>M6</f>
        <v>4.4010400000000001</v>
      </c>
      <c r="HM7" s="312">
        <f>FU6</f>
        <v>51.670550000000006</v>
      </c>
      <c r="HN7" s="313">
        <f>SUM(HC7:HM7)</f>
        <v>9235.7168900000033</v>
      </c>
      <c r="HO7" s="286"/>
      <c r="HP7" s="286"/>
      <c r="HQ7" s="286"/>
      <c r="HR7" s="286"/>
      <c r="HS7" s="306"/>
      <c r="HT7" s="306"/>
      <c r="HU7" s="306"/>
      <c r="HV7" s="306"/>
      <c r="HW7" s="286"/>
      <c r="HX7" s="286"/>
      <c r="HY7" s="286"/>
      <c r="HZ7" s="286"/>
      <c r="IA7" s="286"/>
      <c r="IB7" s="286"/>
      <c r="IC7" s="286"/>
      <c r="ID7" s="286"/>
      <c r="IE7" s="286"/>
      <c r="IF7" s="286"/>
      <c r="IG7" s="286"/>
      <c r="IH7" s="286"/>
      <c r="II7" s="286"/>
      <c r="IJ7" s="286"/>
      <c r="IK7" s="286"/>
      <c r="IL7" s="286"/>
      <c r="IM7" s="286"/>
      <c r="IN7" s="286"/>
      <c r="IO7" s="286"/>
      <c r="IP7" s="286"/>
      <c r="IQ7" s="286"/>
      <c r="IR7" s="286"/>
      <c r="IS7" s="286"/>
      <c r="IT7" s="286"/>
      <c r="IU7" s="286"/>
      <c r="IV7" s="286"/>
    </row>
    <row r="8" spans="1:256" s="324" customFormat="1" ht="13.5" hidden="1" customHeight="1">
      <c r="A8" s="314" t="s">
        <v>177</v>
      </c>
      <c r="B8" s="315" t="s">
        <v>178</v>
      </c>
      <c r="C8" s="315"/>
      <c r="D8" s="316" t="s">
        <v>162</v>
      </c>
      <c r="E8" s="317">
        <f>I8+M8+Q8+U8+Y8+AC8+AG8+AK8+AO8+AS8+AW8+BA8+BE8+BI8+BM8+BQ8+BU8+BY8+CC8+CG8+CK8+CO8+CS8+CW8+DA8+DE8+DI8+DM8+DQ8+DU8+DY8+EC8+EG8+EK8+EO8+ES8+EW8+FA8+FE8+FI8+FM8+FQ8+FU8+FY8+GC8+GK8+GG8+GO8+GS8</f>
        <v>9235.7168899999997</v>
      </c>
      <c r="F8" s="317">
        <f>J8+N8+R8+V8+Z8+AD8+AH8+AL8+AP8+AT8+AX8+BB8+BF8+BJ8+BN8+BR8+BV8+BZ8+CD8+CH8+CL8+CP8+CT8+CX8+DB8+DF8+DJ8+DN8+DR8+DV8+DZ8+ED8+EH8+EL8+EP8+ET8+EX8+FB8+FF8+FJ8+FN8+FR8+FV8+FZ8+GD8+GL8+GH8+GP8+GT8</f>
        <v>94577.150479180011</v>
      </c>
      <c r="G8" s="317">
        <f>K8+O8+S8+W8+AA8+AE8+AI8+AM8+AQ8+AU8+AY8+BC8+BG8+BK8+BO8+BS8+BW8+CA8+CE8+CI8+CM8+CQ8+CU8+CY8+DC8+DG8+DK8+DO8+DS8+DW8+EA8+EE8+EI8+EM8+EQ8+EU8+EY8+FC8+FG8+FK8+FO8+FS8+FW8+GA8+GE8+GM8+GI8+GQ8+GU8</f>
        <v>94577.150479180011</v>
      </c>
      <c r="H8" s="317">
        <f>L8+P8+T8+X8+AB8+AF8+AJ8+AN8+AR8+AV8+AZ8+BD8+BH8+BL8+BP8+BT8+BX8+CB8+CF8+CJ8+CN8+CR8+CV8+CZ8+DD8+DH8+DL8+DP8+DT8+DX8+EB8+EF8+EJ8+EN8+ER8+EV8+EZ8+FD8+FH8+FL8+FP8+FT8+FX8+GB8+GF8+GN8+GJ8+GR8</f>
        <v>0</v>
      </c>
      <c r="I8" s="318">
        <f>I6</f>
        <v>49.756990000000002</v>
      </c>
      <c r="J8" s="318">
        <f>J6-J9-J24-J44</f>
        <v>659.02386160000003</v>
      </c>
      <c r="K8" s="318">
        <f>K6-K9-K24-K44</f>
        <v>659.02386160000003</v>
      </c>
      <c r="L8" s="318">
        <f t="shared" ref="L8:L99" si="25">K8-J8</f>
        <v>0</v>
      </c>
      <c r="M8" s="319">
        <f>M6</f>
        <v>4.4010400000000001</v>
      </c>
      <c r="N8" s="319">
        <f>N6-N9-N24-N44</f>
        <v>22.093769200000004</v>
      </c>
      <c r="O8" s="319">
        <f>O6-O9-O24-O44</f>
        <v>22.093769200000004</v>
      </c>
      <c r="P8" s="319">
        <f t="shared" ref="P8:P99" si="26">O8-N8</f>
        <v>0</v>
      </c>
      <c r="Q8" s="319">
        <f>Q6</f>
        <v>1292.8545699999997</v>
      </c>
      <c r="R8" s="319">
        <f>R6-R9-R24-R44</f>
        <v>9553.5611819000023</v>
      </c>
      <c r="S8" s="319">
        <f>S6-S9-S24-S44</f>
        <v>9553.5611819000023</v>
      </c>
      <c r="T8" s="319">
        <f t="shared" ref="T8:T99" si="27">S8-R8</f>
        <v>0</v>
      </c>
      <c r="U8" s="319">
        <f>U6</f>
        <v>716.33385000000033</v>
      </c>
      <c r="V8" s="319">
        <f>V6-V9-V24-V44</f>
        <v>7301.6870209999997</v>
      </c>
      <c r="W8" s="319">
        <f>W6-W9-W24-W44</f>
        <v>7301.6870209999997</v>
      </c>
      <c r="X8" s="319">
        <f t="shared" ref="X8:X99" si="28">W8-V8</f>
        <v>0</v>
      </c>
      <c r="Y8" s="319">
        <f>Y6</f>
        <v>415.37040999999999</v>
      </c>
      <c r="Z8" s="319">
        <f>Z6-Z9-Z24-Z44</f>
        <v>4962.4611929999983</v>
      </c>
      <c r="AA8" s="319">
        <f>AA6-AA9-AA24-AA44</f>
        <v>4962.4611929999983</v>
      </c>
      <c r="AB8" s="319">
        <f t="shared" ref="AB8:AB99" si="29">AA8-Z8</f>
        <v>0</v>
      </c>
      <c r="AC8" s="319">
        <f>AC6</f>
        <v>247.29827</v>
      </c>
      <c r="AD8" s="319">
        <f>AD6-AD9-AD24-AD44</f>
        <v>2730.6287668999998</v>
      </c>
      <c r="AE8" s="319">
        <f>AE6-AE9-AE24-AE44</f>
        <v>2730.6287668999998</v>
      </c>
      <c r="AF8" s="319">
        <f t="shared" ref="AF8:AF99" si="30">AE8-AD8</f>
        <v>0</v>
      </c>
      <c r="AG8" s="319">
        <f>AG6</f>
        <v>43.925539999999998</v>
      </c>
      <c r="AH8" s="319">
        <f>AH6-AH9-AH24-AH44</f>
        <v>792.85599700000012</v>
      </c>
      <c r="AI8" s="319">
        <f>AI6-AI9-AI24-AI44</f>
        <v>792.85599700000012</v>
      </c>
      <c r="AJ8" s="319">
        <f t="shared" ref="AJ8:AJ99" si="31">AI8-AH8</f>
        <v>0</v>
      </c>
      <c r="AK8" s="319">
        <f>AK6</f>
        <v>422.72202000000004</v>
      </c>
      <c r="AL8" s="319">
        <f>AL6-AL9-AL24-AL44</f>
        <v>5989.9865252</v>
      </c>
      <c r="AM8" s="319">
        <f>AM6-AM9-AM24-AM44</f>
        <v>5989.9865252</v>
      </c>
      <c r="AN8" s="319">
        <f t="shared" ref="AN8:AN99" si="32">AM8-AL8</f>
        <v>0</v>
      </c>
      <c r="AO8" s="319">
        <f>AO6</f>
        <v>1146.7660800000001</v>
      </c>
      <c r="AP8" s="319">
        <f>AP6-AP9-AP24-AP44</f>
        <v>12233.337610099999</v>
      </c>
      <c r="AQ8" s="319">
        <f>AQ6-AQ9-AQ24-AQ44</f>
        <v>12233.337610099999</v>
      </c>
      <c r="AR8" s="319">
        <f t="shared" ref="AR8:AR93" si="33">AQ8-AP8</f>
        <v>0</v>
      </c>
      <c r="AS8" s="319">
        <f>AS6</f>
        <v>230.98446999999999</v>
      </c>
      <c r="AT8" s="319">
        <f>AT6-AT9-AT24-AT44</f>
        <v>2403.9083101000001</v>
      </c>
      <c r="AU8" s="319">
        <f>AU6-AU9-AU24-AU44</f>
        <v>2403.9083101000001</v>
      </c>
      <c r="AV8" s="319">
        <f t="shared" ref="AV8:AV99" si="34">AU8-AT8</f>
        <v>0</v>
      </c>
      <c r="AW8" s="318">
        <f>AW6</f>
        <v>42.779980000000002</v>
      </c>
      <c r="AX8" s="318">
        <f>AX6-AX9-AX24-AX44</f>
        <v>761.05584420000002</v>
      </c>
      <c r="AY8" s="318">
        <f>AY6-AY9-AY24-AY44</f>
        <v>761.05584420000002</v>
      </c>
      <c r="AZ8" s="320">
        <f t="shared" ref="AZ8:AZ99" si="35">AY8-AX8</f>
        <v>0</v>
      </c>
      <c r="BA8" s="320">
        <f>BA6</f>
        <v>15.410690000000001</v>
      </c>
      <c r="BB8" s="320">
        <f>BB6-BB9-BB24-BB44</f>
        <v>260.59476790000002</v>
      </c>
      <c r="BC8" s="320">
        <f>BC6-BC9-BC24-BC44</f>
        <v>260.59476790000002</v>
      </c>
      <c r="BD8" s="320">
        <f t="shared" ref="BD8:BD99" si="36">BC8-BB8</f>
        <v>0</v>
      </c>
      <c r="BE8" s="318">
        <f>BE6</f>
        <v>12.374739999999999</v>
      </c>
      <c r="BF8" s="318">
        <f>BF6-BF9-BF24-BF44</f>
        <v>199.85205099999999</v>
      </c>
      <c r="BG8" s="318">
        <f>BG6-BG9-BG24-BG44</f>
        <v>199.85205099999999</v>
      </c>
      <c r="BH8" s="320">
        <f t="shared" ref="BH8:BH99" si="37">BG8-BF8</f>
        <v>0</v>
      </c>
      <c r="BI8" s="319">
        <f>BI6</f>
        <v>307.45878999999996</v>
      </c>
      <c r="BJ8" s="319">
        <f>BJ6-BJ9-BJ24-BJ44</f>
        <v>3803.7093234999988</v>
      </c>
      <c r="BK8" s="319">
        <f>BK6-BK9-BK24-BK44</f>
        <v>3803.7093234999988</v>
      </c>
      <c r="BL8" s="319">
        <f t="shared" ref="BL8:BL99" si="38">BK8-BJ8</f>
        <v>0</v>
      </c>
      <c r="BM8" s="319">
        <f>BM6</f>
        <v>52.514559999999996</v>
      </c>
      <c r="BN8" s="319">
        <f>BN6-BN9-BN24-BN44</f>
        <v>478.77746790000003</v>
      </c>
      <c r="BO8" s="319">
        <f>BO6-BO9-BO24-BO44</f>
        <v>478.77746790000003</v>
      </c>
      <c r="BP8" s="319">
        <f>BP6-BP9-BP24-BP44</f>
        <v>0</v>
      </c>
      <c r="BQ8" s="319">
        <f>BQ6</f>
        <v>66.750810000000001</v>
      </c>
      <c r="BR8" s="319">
        <f>BR6-BR9-BR24-BR44</f>
        <v>600.33771819999993</v>
      </c>
      <c r="BS8" s="319">
        <f>BS6-BS9-BS24-BS44</f>
        <v>600.33771819999993</v>
      </c>
      <c r="BT8" s="319">
        <f t="shared" ref="BT8:BT99" si="39">BS8-BR8</f>
        <v>0</v>
      </c>
      <c r="BU8" s="318">
        <f>BU6</f>
        <v>927.27217999999971</v>
      </c>
      <c r="BV8" s="318">
        <f>BV6-BV9-BV24-BV44</f>
        <v>6943.4314988999986</v>
      </c>
      <c r="BW8" s="318">
        <f>BW6-BW9-BW24-BW44</f>
        <v>6943.4314988999986</v>
      </c>
      <c r="BX8" s="318">
        <f t="shared" ref="BX8:BX99" si="40">BW8-BV8</f>
        <v>0</v>
      </c>
      <c r="BY8" s="319">
        <f>BY6</f>
        <v>1165.1320600000001</v>
      </c>
      <c r="BZ8" s="319">
        <f>BZ6-BZ9-BZ24-BZ44</f>
        <v>9134.5126504999989</v>
      </c>
      <c r="CA8" s="319">
        <f>CA6-CA9-CA24-CA44</f>
        <v>9134.5126504999989</v>
      </c>
      <c r="CB8" s="319">
        <f t="shared" ref="CB8:CB99" si="41">CA8-BZ8</f>
        <v>0</v>
      </c>
      <c r="CC8" s="319">
        <f>CC6</f>
        <v>9.7036899999999999</v>
      </c>
      <c r="CD8" s="319">
        <f>CD6-CD9-CD24-CD44</f>
        <v>160.21640600000001</v>
      </c>
      <c r="CE8" s="319">
        <f>CE6-CE9-CE24-CE44</f>
        <v>160.21640600000001</v>
      </c>
      <c r="CF8" s="319">
        <f>CE8-CD8</f>
        <v>0</v>
      </c>
      <c r="CG8" s="319">
        <f>CG6</f>
        <v>1100.11753</v>
      </c>
      <c r="CH8" s="319">
        <f>CH6-CH9-CH24-CH44</f>
        <v>14961.740038600003</v>
      </c>
      <c r="CI8" s="319">
        <f>CI6-CI9-CI24-CI44</f>
        <v>14961.740038600003</v>
      </c>
      <c r="CJ8" s="319">
        <f t="shared" si="0"/>
        <v>0</v>
      </c>
      <c r="CK8" s="319">
        <f>CK6</f>
        <v>52.980319999999999</v>
      </c>
      <c r="CL8" s="319">
        <f>CL6-CL9-CL24-CL44</f>
        <v>549.93572159999985</v>
      </c>
      <c r="CM8" s="319">
        <f>CM6-CM9-CM24-CM44</f>
        <v>549.93572159999985</v>
      </c>
      <c r="CN8" s="319">
        <f t="shared" si="1"/>
        <v>0</v>
      </c>
      <c r="CO8" s="319">
        <f>CO6</f>
        <v>17.561689999999999</v>
      </c>
      <c r="CP8" s="319">
        <f>CP6-CP9-CP24-CP44</f>
        <v>155.98547800000003</v>
      </c>
      <c r="CQ8" s="319">
        <f>CQ6-CQ9-CQ24-CQ44</f>
        <v>155.98547800000003</v>
      </c>
      <c r="CR8" s="319">
        <f t="shared" si="2"/>
        <v>0</v>
      </c>
      <c r="CS8" s="319">
        <f>CS6</f>
        <v>8.3820800000000002</v>
      </c>
      <c r="CT8" s="319">
        <f>CT6-CT9-CT24-CT44</f>
        <v>59.648252599999992</v>
      </c>
      <c r="CU8" s="319">
        <f>CU6-CU9-CU24-CU44</f>
        <v>59.648252599999992</v>
      </c>
      <c r="CV8" s="319">
        <f t="shared" si="3"/>
        <v>0</v>
      </c>
      <c r="CW8" s="319">
        <f>CW6</f>
        <v>34.971150000000002</v>
      </c>
      <c r="CX8" s="319">
        <f>CX6-CX9-CX24-CX44</f>
        <v>269.29712640000002</v>
      </c>
      <c r="CY8" s="319">
        <f>CY6-CY9-CY24-CY44</f>
        <v>269.29712640000002</v>
      </c>
      <c r="CZ8" s="319">
        <f t="shared" si="4"/>
        <v>0</v>
      </c>
      <c r="DA8" s="319">
        <f>DA6</f>
        <v>18.94933</v>
      </c>
      <c r="DB8" s="319">
        <f>DB6-DB9-DB24-DB44</f>
        <v>161.40010720000001</v>
      </c>
      <c r="DC8" s="319">
        <f>DC6-DC9-DC24-DC44</f>
        <v>161.40010720000001</v>
      </c>
      <c r="DD8" s="319">
        <f t="shared" si="5"/>
        <v>0</v>
      </c>
      <c r="DE8" s="319">
        <f>DE6</f>
        <v>31.217350000000003</v>
      </c>
      <c r="DF8" s="319">
        <f>DF6-DF9-DF24-DF44</f>
        <v>315.34898840000005</v>
      </c>
      <c r="DG8" s="319">
        <f>DG6-DG9-DG24-DG44</f>
        <v>315.34898840000005</v>
      </c>
      <c r="DH8" s="319">
        <f t="shared" si="6"/>
        <v>0</v>
      </c>
      <c r="DI8" s="319">
        <f>DI6</f>
        <v>22.186580000000003</v>
      </c>
      <c r="DJ8" s="319">
        <f>DJ6-DJ9-DJ24-DJ44</f>
        <v>250.93021980000006</v>
      </c>
      <c r="DK8" s="319">
        <f>DK6-DK9-DK24-DK44</f>
        <v>250.93021980000006</v>
      </c>
      <c r="DL8" s="319">
        <f>DK8-DJ8</f>
        <v>0</v>
      </c>
      <c r="DM8" s="319">
        <f>DM6</f>
        <v>267.49553000000003</v>
      </c>
      <c r="DN8" s="319">
        <f>DN6-DN9-DN24-DN44</f>
        <v>2263.3997952</v>
      </c>
      <c r="DO8" s="319">
        <f>DO6-DO9-DO24-DO44</f>
        <v>2263.3997952</v>
      </c>
      <c r="DP8" s="319">
        <f t="shared" si="7"/>
        <v>0</v>
      </c>
      <c r="DQ8" s="319">
        <f>DQ6</f>
        <v>0.17898</v>
      </c>
      <c r="DR8" s="319">
        <f>DR6-DR9-DR24-DR44</f>
        <v>0.51367260000000003</v>
      </c>
      <c r="DS8" s="319">
        <f>DS6-DS9-DS24-DS44</f>
        <v>0.51367260000000003</v>
      </c>
      <c r="DT8" s="319">
        <f t="shared" si="8"/>
        <v>0</v>
      </c>
      <c r="DU8" s="319">
        <f>DU6</f>
        <v>54.455589999999994</v>
      </c>
      <c r="DV8" s="319">
        <f>DV6-DV9-DV24-DV44</f>
        <v>759.8041434999999</v>
      </c>
      <c r="DW8" s="319">
        <f>DW6-DW9-DW24-DW44</f>
        <v>759.8041434999999</v>
      </c>
      <c r="DX8" s="319">
        <f t="shared" si="9"/>
        <v>0</v>
      </c>
      <c r="DY8" s="319">
        <f>DY6</f>
        <v>13.18249</v>
      </c>
      <c r="DZ8" s="319">
        <f>DZ6-DZ9-DZ24-DZ44</f>
        <v>222.91590590000001</v>
      </c>
      <c r="EA8" s="319">
        <f>EA6-EA9-EA24-EA44</f>
        <v>222.91590590000001</v>
      </c>
      <c r="EB8" s="319">
        <f t="shared" si="10"/>
        <v>0</v>
      </c>
      <c r="EC8" s="319">
        <f>EC6</f>
        <v>3.8118099999999995</v>
      </c>
      <c r="ED8" s="319">
        <f>ED6-ED9-ED24-ED44</f>
        <v>296.03308699999997</v>
      </c>
      <c r="EE8" s="319">
        <f>EE6-EE9-EE24-EE44</f>
        <v>296.03308699999997</v>
      </c>
      <c r="EF8" s="319">
        <f t="shared" si="11"/>
        <v>0</v>
      </c>
      <c r="EG8" s="319">
        <f>EG6</f>
        <v>178.29168999999999</v>
      </c>
      <c r="EH8" s="319">
        <f>EH6-EH9-EH24-EH44</f>
        <v>2359.1641553799996</v>
      </c>
      <c r="EI8" s="319">
        <f>EI6-EI9-EI24-EI44</f>
        <v>2359.1641553799996</v>
      </c>
      <c r="EJ8" s="319">
        <f t="shared" si="12"/>
        <v>0</v>
      </c>
      <c r="EK8" s="319">
        <f>EK6</f>
        <v>0.25645999999999997</v>
      </c>
      <c r="EL8" s="319">
        <f>EL6-EL9-EL24-EL44</f>
        <v>3.5135019999999995</v>
      </c>
      <c r="EM8" s="319">
        <f>EM6-EM9-EM24-EM44</f>
        <v>3.5135019999999995</v>
      </c>
      <c r="EN8" s="319">
        <f t="shared" si="13"/>
        <v>0</v>
      </c>
      <c r="EO8" s="319">
        <f>EO6</f>
        <v>16.84318</v>
      </c>
      <c r="EP8" s="319">
        <f>EP6-EP9-EP24-EP44</f>
        <v>172.03653590000002</v>
      </c>
      <c r="EQ8" s="319">
        <f>EQ6-EQ9-EQ24-EQ44</f>
        <v>172.03653590000002</v>
      </c>
      <c r="ER8" s="319">
        <f t="shared" si="14"/>
        <v>0</v>
      </c>
      <c r="ES8" s="319">
        <f>ES6</f>
        <v>7.8071500000000009</v>
      </c>
      <c r="ET8" s="319">
        <f>ET6-ET9-ET24-ET44</f>
        <v>85.514972300000011</v>
      </c>
      <c r="EU8" s="319">
        <f>EU6-EU9-EU24-EU44</f>
        <v>85.514972300000011</v>
      </c>
      <c r="EV8" s="319">
        <f t="shared" si="15"/>
        <v>0</v>
      </c>
      <c r="EW8" s="319">
        <f>EW6</f>
        <v>16.32809</v>
      </c>
      <c r="EX8" s="319">
        <f>EX6-EX9-EX24-EX44</f>
        <v>82.594356700000006</v>
      </c>
      <c r="EY8" s="319">
        <f>EY6-EY9-EY24-EY44</f>
        <v>82.594356700000006</v>
      </c>
      <c r="EZ8" s="319">
        <f t="shared" si="16"/>
        <v>0</v>
      </c>
      <c r="FA8" s="319">
        <f>FA6</f>
        <v>56.711769999999994</v>
      </c>
      <c r="FB8" s="319">
        <f>FB6-FB9-FB24-FB44</f>
        <v>816.12460920000001</v>
      </c>
      <c r="FC8" s="319">
        <f>FC6-FC9-FC24-FC44</f>
        <v>816.12460920000001</v>
      </c>
      <c r="FD8" s="319">
        <f t="shared" si="17"/>
        <v>0</v>
      </c>
      <c r="FE8" s="319">
        <f>FE6</f>
        <v>23.927109999999999</v>
      </c>
      <c r="FF8" s="319">
        <f>FF6-FF9-FF24-FF44</f>
        <v>201.39029360000001</v>
      </c>
      <c r="FG8" s="319">
        <f>FG6-FG9-FG24-FG44</f>
        <v>201.39029360000001</v>
      </c>
      <c r="FH8" s="319">
        <f t="shared" si="18"/>
        <v>0</v>
      </c>
      <c r="FI8" s="319">
        <f>FI6</f>
        <v>6.03599</v>
      </c>
      <c r="FJ8" s="319">
        <f>FJ6-FJ9-FJ24-FJ44</f>
        <v>64.404013299999988</v>
      </c>
      <c r="FK8" s="319">
        <f>FK6-FK9-FK24-FK44</f>
        <v>64.404013299999988</v>
      </c>
      <c r="FL8" s="319">
        <f t="shared" si="19"/>
        <v>0</v>
      </c>
      <c r="FM8" s="319">
        <f>FM6</f>
        <v>0</v>
      </c>
      <c r="FN8" s="319">
        <f>FN6-FN9-FN24-FN44</f>
        <v>0</v>
      </c>
      <c r="FO8" s="319">
        <f>FO6-FO9-FO24-FO44</f>
        <v>0</v>
      </c>
      <c r="FP8" s="319">
        <f t="shared" si="20"/>
        <v>0</v>
      </c>
      <c r="FQ8" s="319">
        <f>FQ6</f>
        <v>21.717160000000003</v>
      </c>
      <c r="FR8" s="319">
        <f>FR6-FR9-FR24-FR44</f>
        <v>398.79331349999995</v>
      </c>
      <c r="FS8" s="319">
        <f>FS6-FS9-FS24-FS44</f>
        <v>398.79331349999995</v>
      </c>
      <c r="FT8" s="319">
        <f t="shared" si="21"/>
        <v>0</v>
      </c>
      <c r="FU8" s="319">
        <f>FU6</f>
        <v>51.670550000000006</v>
      </c>
      <c r="FV8" s="319">
        <f>FV6-FV9-FV24-FV44</f>
        <v>478.22772399999991</v>
      </c>
      <c r="FW8" s="319">
        <f>FW6-FW9-FW24-FW44</f>
        <v>478.22772399999991</v>
      </c>
      <c r="FX8" s="319">
        <f t="shared" si="22"/>
        <v>0</v>
      </c>
      <c r="FY8" s="319">
        <f>FY6</f>
        <v>7.4838699999999996</v>
      </c>
      <c r="FZ8" s="319">
        <f>FZ6-FZ9-FZ24-FZ44</f>
        <v>90.105794799999998</v>
      </c>
      <c r="GA8" s="319">
        <f>GA6-GA9-GA24-GA44</f>
        <v>90.105794799999998</v>
      </c>
      <c r="GB8" s="319">
        <f t="shared" si="23"/>
        <v>0</v>
      </c>
      <c r="GC8" s="319">
        <f>GC6</f>
        <v>9.4540199999999999</v>
      </c>
      <c r="GD8" s="319">
        <f>GD6-GD9-GD24-GD44</f>
        <v>100.67836560000001</v>
      </c>
      <c r="GE8" s="319">
        <f>GE6-GE9-GE24-GE44</f>
        <v>100.67836560000001</v>
      </c>
      <c r="GF8" s="319">
        <f t="shared" si="24"/>
        <v>0</v>
      </c>
      <c r="GG8" s="319">
        <f>GG6</f>
        <v>2.9188299999999998</v>
      </c>
      <c r="GH8" s="319">
        <f>GH6-GH9-GH24-GH44</f>
        <v>31.231480999999999</v>
      </c>
      <c r="GI8" s="319">
        <f>GI6-GI9-GI24-GI44</f>
        <v>31.231480999999999</v>
      </c>
      <c r="GJ8" s="319">
        <f t="shared" ref="GJ8:GJ58" si="42">GI8-GH8</f>
        <v>0</v>
      </c>
      <c r="GK8" s="319">
        <f>GK6</f>
        <v>1.7033</v>
      </c>
      <c r="GL8" s="319">
        <f>GL6-GL9-GL24-GL44</f>
        <v>15.108270999999998</v>
      </c>
      <c r="GM8" s="319">
        <f>GM6-GM9-GM24-GM44</f>
        <v>15.108270999999998</v>
      </c>
      <c r="GN8" s="319">
        <f t="shared" ref="GN8:GN73" si="43">GM8-GL8</f>
        <v>0</v>
      </c>
      <c r="GO8" s="319">
        <f>GO6</f>
        <v>26.115449999999996</v>
      </c>
      <c r="GP8" s="319">
        <f>GP6-GP9-GP24-GP44</f>
        <v>224.90533199999999</v>
      </c>
      <c r="GQ8" s="319">
        <f>GQ6-GQ9-GQ24-GQ44</f>
        <v>224.90533199999999</v>
      </c>
      <c r="GR8" s="319">
        <f t="shared" ref="GR8:GR73" si="44">GQ8-GP8</f>
        <v>0</v>
      </c>
      <c r="GS8" s="319">
        <f>GS6</f>
        <v>13.1511</v>
      </c>
      <c r="GT8" s="319">
        <f>GT6-GT9-GT24-GT44</f>
        <v>194.37325799999999</v>
      </c>
      <c r="GU8" s="319">
        <f>GU6-GU9-GU24-GU44</f>
        <v>194.37325799999999</v>
      </c>
      <c r="GV8" s="319">
        <f t="shared" ref="GV8:GV73" si="45">GU8-GT8</f>
        <v>0</v>
      </c>
      <c r="GW8" s="319">
        <f>GW6</f>
        <v>0</v>
      </c>
      <c r="GX8" s="319">
        <f>GX6-GX9-GX24-GX44</f>
        <v>0</v>
      </c>
      <c r="GY8" s="319">
        <f>GY6-GY9-GY24-GY44</f>
        <v>0</v>
      </c>
      <c r="GZ8" s="319">
        <f t="shared" ref="GZ8:GZ73" si="46">GY8-GX8</f>
        <v>0</v>
      </c>
      <c r="HA8" s="321"/>
      <c r="HB8" s="322" t="s">
        <v>179</v>
      </c>
      <c r="HC8" s="323">
        <v>1299.6150200000002</v>
      </c>
      <c r="HD8" s="323">
        <v>1294.9322400000001</v>
      </c>
      <c r="HE8" s="323">
        <v>89.44941</v>
      </c>
      <c r="HF8" s="323">
        <v>1329.0241800000003</v>
      </c>
      <c r="HG8" s="323">
        <v>2142.3863900000006</v>
      </c>
      <c r="HH8" s="323">
        <v>1187.39663</v>
      </c>
      <c r="HI8" s="323">
        <v>230.96874000000003</v>
      </c>
      <c r="HJ8" s="323">
        <v>1146.9034000000001</v>
      </c>
      <c r="HK8" s="323">
        <v>463.18053999999995</v>
      </c>
      <c r="HL8" s="323">
        <v>5.8108699999999995</v>
      </c>
      <c r="HM8" s="323">
        <v>51.618109999999994</v>
      </c>
      <c r="HN8" s="313">
        <f>SUM(HC8:HM8)</f>
        <v>9241.285530000001</v>
      </c>
      <c r="HS8" s="321"/>
      <c r="HT8" s="321"/>
      <c r="HU8" s="321"/>
      <c r="HV8" s="321"/>
    </row>
    <row r="9" spans="1:256" s="324" customFormat="1" ht="13.5" hidden="1" customHeight="1">
      <c r="A9" s="325" t="s">
        <v>180</v>
      </c>
      <c r="B9" s="326" t="s">
        <v>181</v>
      </c>
      <c r="C9" s="326"/>
      <c r="D9" s="327" t="s">
        <v>162</v>
      </c>
      <c r="E9" s="320">
        <f t="shared" ref="E9:K9" si="47">SUM(E10:E23)</f>
        <v>5274.8411399999986</v>
      </c>
      <c r="F9" s="320">
        <f t="shared" si="47"/>
        <v>12714.837063299998</v>
      </c>
      <c r="G9" s="320">
        <f t="shared" si="47"/>
        <v>12714.837063299998</v>
      </c>
      <c r="H9" s="320">
        <f t="shared" si="47"/>
        <v>0</v>
      </c>
      <c r="I9" s="301">
        <f t="shared" si="47"/>
        <v>49.756989999999995</v>
      </c>
      <c r="J9" s="301">
        <f t="shared" si="47"/>
        <v>124.39247499999999</v>
      </c>
      <c r="K9" s="301">
        <f t="shared" si="47"/>
        <v>124.39247499999999</v>
      </c>
      <c r="L9" s="300">
        <f t="shared" si="25"/>
        <v>0</v>
      </c>
      <c r="M9" s="301">
        <f>SUM(M10:M23)</f>
        <v>0</v>
      </c>
      <c r="N9" s="301">
        <f>SUM(N10:N23)</f>
        <v>0</v>
      </c>
      <c r="O9" s="301">
        <f>SUM(O10:O23)</f>
        <v>0</v>
      </c>
      <c r="P9" s="300">
        <f t="shared" si="26"/>
        <v>0</v>
      </c>
      <c r="Q9" s="301">
        <f>SUM(Q10:Q23)</f>
        <v>300.93817999999999</v>
      </c>
      <c r="R9" s="301">
        <f>SUM(R10:R23)</f>
        <v>640.99832339999989</v>
      </c>
      <c r="S9" s="301">
        <f>SUM(S10:S23)</f>
        <v>640.99832339999989</v>
      </c>
      <c r="T9" s="300">
        <f t="shared" si="27"/>
        <v>0</v>
      </c>
      <c r="U9" s="301">
        <f>SUM(U10:U23)</f>
        <v>315.78325999999998</v>
      </c>
      <c r="V9" s="301">
        <f>SUM(V10:V23)</f>
        <v>675.77617640000005</v>
      </c>
      <c r="W9" s="301">
        <f>SUM(W10:W23)</f>
        <v>675.77617640000005</v>
      </c>
      <c r="X9" s="300">
        <f t="shared" si="28"/>
        <v>0</v>
      </c>
      <c r="Y9" s="301">
        <f>SUM(Y10:Y23)</f>
        <v>415.40178000000003</v>
      </c>
      <c r="Z9" s="301">
        <f>SUM(Z10:Z23)</f>
        <v>1142.3548949999999</v>
      </c>
      <c r="AA9" s="301">
        <f>SUM(AA10:AA23)</f>
        <v>1142.3548949999999</v>
      </c>
      <c r="AB9" s="300">
        <f t="shared" si="29"/>
        <v>0</v>
      </c>
      <c r="AC9" s="301">
        <f>SUM(AC10:AC23)</f>
        <v>488.43844000000001</v>
      </c>
      <c r="AD9" s="301">
        <f>SUM(AD10:AD23)</f>
        <v>1139.5201578000001</v>
      </c>
      <c r="AE9" s="301">
        <f>SUM(AE10:AE23)</f>
        <v>1139.5201578000001</v>
      </c>
      <c r="AF9" s="300">
        <f t="shared" si="30"/>
        <v>0</v>
      </c>
      <c r="AG9" s="301">
        <f>SUM(AG10:AG23)</f>
        <v>0</v>
      </c>
      <c r="AH9" s="301">
        <f>SUM(AH10:AH23)</f>
        <v>0</v>
      </c>
      <c r="AI9" s="301">
        <f>SUM(AI10:AI23)</f>
        <v>0</v>
      </c>
      <c r="AJ9" s="300">
        <f t="shared" si="31"/>
        <v>0</v>
      </c>
      <c r="AK9" s="301">
        <f>SUM(AK10:AK23)</f>
        <v>421.35140000000001</v>
      </c>
      <c r="AL9" s="301">
        <f>SUM(AL10:AL23)</f>
        <v>1039.5927260000001</v>
      </c>
      <c r="AM9" s="301">
        <f>SUM(AM10:AM23)</f>
        <v>1039.5927260000001</v>
      </c>
      <c r="AN9" s="300">
        <f t="shared" si="32"/>
        <v>0</v>
      </c>
      <c r="AO9" s="301">
        <f>SUM(AO10:AO23)</f>
        <v>882.49185999999997</v>
      </c>
      <c r="AP9" s="301">
        <f>SUM(AP10:AP23)</f>
        <v>2117.9804639999998</v>
      </c>
      <c r="AQ9" s="301">
        <f>SUM(AQ10:AQ23)</f>
        <v>2117.9804639999998</v>
      </c>
      <c r="AR9" s="300">
        <f t="shared" si="33"/>
        <v>0</v>
      </c>
      <c r="AS9" s="301">
        <f>SUM(AS10:AS23)</f>
        <v>223.47478000000001</v>
      </c>
      <c r="AT9" s="301">
        <f>SUM(AT10:AT23)</f>
        <v>466.11399380000006</v>
      </c>
      <c r="AU9" s="301">
        <f>SUM(AU10:AU23)</f>
        <v>466.11399380000006</v>
      </c>
      <c r="AV9" s="300">
        <f t="shared" si="34"/>
        <v>0</v>
      </c>
      <c r="AW9" s="301">
        <f>SUM(AW10:AW23)</f>
        <v>0</v>
      </c>
      <c r="AX9" s="301">
        <f>SUM(AX10:AX23)</f>
        <v>0</v>
      </c>
      <c r="AY9" s="301">
        <f>SUM(AY10:AY23)</f>
        <v>0</v>
      </c>
      <c r="AZ9" s="300">
        <f t="shared" si="35"/>
        <v>0</v>
      </c>
      <c r="BA9" s="301">
        <f>SUM(BA10:BA23)</f>
        <v>0</v>
      </c>
      <c r="BB9" s="301">
        <f>SUM(BB10:BB23)</f>
        <v>0</v>
      </c>
      <c r="BC9" s="301">
        <f>SUM(BC10:BC23)</f>
        <v>0</v>
      </c>
      <c r="BD9" s="300">
        <f t="shared" si="36"/>
        <v>0</v>
      </c>
      <c r="BE9" s="301">
        <f>SUM(BE10:BE23)</f>
        <v>0</v>
      </c>
      <c r="BF9" s="301">
        <f>SUM(BF10:BF23)</f>
        <v>0</v>
      </c>
      <c r="BG9" s="301">
        <f>SUM(BG10:BG23)</f>
        <v>0</v>
      </c>
      <c r="BH9" s="300">
        <f t="shared" si="37"/>
        <v>0</v>
      </c>
      <c r="BI9" s="301">
        <f>SUM(BI10:BI23)</f>
        <v>184.154</v>
      </c>
      <c r="BJ9" s="301">
        <f>SUM(BJ10:BJ23)</f>
        <v>306.00941159999996</v>
      </c>
      <c r="BK9" s="301">
        <f>SUM(BK10:BK23)</f>
        <v>306.00941159999996</v>
      </c>
      <c r="BL9" s="300">
        <f t="shared" si="38"/>
        <v>0</v>
      </c>
      <c r="BM9" s="301">
        <f>SUM(BM10:BM23)</f>
        <v>32.409750000000003</v>
      </c>
      <c r="BN9" s="301">
        <f>SUM(BN10:BN23)</f>
        <v>73.246034999999992</v>
      </c>
      <c r="BO9" s="301">
        <f>SUM(BO10:BO23)</f>
        <v>73.246034999999992</v>
      </c>
      <c r="BP9" s="300">
        <f>BO9-BN9</f>
        <v>0</v>
      </c>
      <c r="BQ9" s="301">
        <f>SUM(BQ10:BQ23)</f>
        <v>9.9175900000000006</v>
      </c>
      <c r="BR9" s="301">
        <f>SUM(BR10:BR23)</f>
        <v>23.802216000000001</v>
      </c>
      <c r="BS9" s="301">
        <f>SUM(BS10:BS23)</f>
        <v>23.802216000000001</v>
      </c>
      <c r="BT9" s="300">
        <f t="shared" si="39"/>
        <v>0</v>
      </c>
      <c r="BU9" s="301">
        <f>SUM(BU10:BU23)</f>
        <v>183.23320999999999</v>
      </c>
      <c r="BV9" s="301">
        <f>SUM(BV10:BV23)</f>
        <v>425.34887300000003</v>
      </c>
      <c r="BW9" s="301">
        <f>SUM(BW10:BW23)</f>
        <v>425.34887300000003</v>
      </c>
      <c r="BX9" s="300">
        <f t="shared" si="40"/>
        <v>0</v>
      </c>
      <c r="BY9" s="301">
        <f>SUM(BY10:BY23)</f>
        <v>372.14568000000003</v>
      </c>
      <c r="BZ9" s="301">
        <f>SUM(BZ10:BZ23)</f>
        <v>898.59827530000007</v>
      </c>
      <c r="CA9" s="301">
        <f>SUM(CA10:CA23)</f>
        <v>898.59827530000007</v>
      </c>
      <c r="CB9" s="300">
        <f t="shared" si="41"/>
        <v>0</v>
      </c>
      <c r="CC9" s="301">
        <f>SUM(CC10:CC23)</f>
        <v>0</v>
      </c>
      <c r="CD9" s="301">
        <f>SUM(CD10:CD23)</f>
        <v>0</v>
      </c>
      <c r="CE9" s="301">
        <f>SUM(CE10:CE23)</f>
        <v>0</v>
      </c>
      <c r="CF9" s="300">
        <f>CE9-CD9</f>
        <v>0</v>
      </c>
      <c r="CG9" s="301">
        <f>SUM(CG10:CG23)</f>
        <v>1078.21027</v>
      </c>
      <c r="CH9" s="301">
        <f>SUM(CH10:CH23)</f>
        <v>2958.4096147999999</v>
      </c>
      <c r="CI9" s="301">
        <f>SUM(CI10:CI23)</f>
        <v>2958.4096147999999</v>
      </c>
      <c r="CJ9" s="300">
        <f t="shared" si="0"/>
        <v>0</v>
      </c>
      <c r="CK9" s="301">
        <f>SUM(CK10:CK23)</f>
        <v>52.980319999999999</v>
      </c>
      <c r="CL9" s="301">
        <f>SUM(CL10:CL23)</f>
        <v>112.31827840000001</v>
      </c>
      <c r="CM9" s="301">
        <f>SUM(CM10:CM23)</f>
        <v>112.31827840000001</v>
      </c>
      <c r="CN9" s="300">
        <f t="shared" si="1"/>
        <v>0</v>
      </c>
      <c r="CO9" s="301">
        <f>SUM(CO10:CO23)</f>
        <v>0</v>
      </c>
      <c r="CP9" s="301">
        <f>SUM(CP10:CP23)</f>
        <v>0</v>
      </c>
      <c r="CQ9" s="301">
        <f>SUM(CQ10:CQ23)</f>
        <v>0</v>
      </c>
      <c r="CR9" s="300">
        <f t="shared" si="2"/>
        <v>0</v>
      </c>
      <c r="CS9" s="301">
        <f>SUM(CS10:CS23)</f>
        <v>0</v>
      </c>
      <c r="CT9" s="301">
        <f>SUM(CT10:CT23)</f>
        <v>0</v>
      </c>
      <c r="CU9" s="301">
        <f>SUM(CU10:CU23)</f>
        <v>0</v>
      </c>
      <c r="CV9" s="300">
        <f t="shared" si="3"/>
        <v>0</v>
      </c>
      <c r="CW9" s="301">
        <f>SUM(CW10:CW23)</f>
        <v>0</v>
      </c>
      <c r="CX9" s="301">
        <f>SUM(CX10:CX23)</f>
        <v>0</v>
      </c>
      <c r="CY9" s="301">
        <f>SUM(CY10:CY23)</f>
        <v>0</v>
      </c>
      <c r="CZ9" s="300">
        <f t="shared" si="4"/>
        <v>0</v>
      </c>
      <c r="DA9" s="301">
        <f>SUM(DA10:DA23)</f>
        <v>0</v>
      </c>
      <c r="DB9" s="301">
        <f>SUM(DB10:DB23)</f>
        <v>0</v>
      </c>
      <c r="DC9" s="301">
        <f>SUM(DC10:DC23)</f>
        <v>0</v>
      </c>
      <c r="DD9" s="300">
        <f t="shared" si="5"/>
        <v>0</v>
      </c>
      <c r="DE9" s="301">
        <f>SUM(DE10:DE23)</f>
        <v>0</v>
      </c>
      <c r="DF9" s="301">
        <f>SUM(DF10:DF23)</f>
        <v>0</v>
      </c>
      <c r="DG9" s="301">
        <f>SUM(DG10:DG23)</f>
        <v>0</v>
      </c>
      <c r="DH9" s="300">
        <f t="shared" si="6"/>
        <v>0</v>
      </c>
      <c r="DI9" s="301">
        <f>SUM(DI10:DI23)</f>
        <v>22.186580000000003</v>
      </c>
      <c r="DJ9" s="301">
        <f>SUM(DJ10:DJ23)</f>
        <v>46.591818000000004</v>
      </c>
      <c r="DK9" s="301">
        <f>SUM(DK10:DK23)</f>
        <v>46.591818000000004</v>
      </c>
      <c r="DL9" s="300">
        <f>DK9-DJ9</f>
        <v>0</v>
      </c>
      <c r="DM9" s="301">
        <f>SUM(DM10:DM23)</f>
        <v>78.194820000000007</v>
      </c>
      <c r="DN9" s="301">
        <f>SUM(DN10:DN23)</f>
        <v>187.66756799999999</v>
      </c>
      <c r="DO9" s="301">
        <f>SUM(DO10:DO23)</f>
        <v>187.66756799999999</v>
      </c>
      <c r="DP9" s="300">
        <f t="shared" si="7"/>
        <v>0</v>
      </c>
      <c r="DQ9" s="301">
        <f>SUM(DQ10:DQ23)</f>
        <v>0</v>
      </c>
      <c r="DR9" s="301">
        <f>SUM(DR10:DR23)</f>
        <v>0</v>
      </c>
      <c r="DS9" s="301">
        <f>SUM(DS10:DS23)</f>
        <v>0</v>
      </c>
      <c r="DT9" s="300">
        <f t="shared" si="8"/>
        <v>0</v>
      </c>
      <c r="DU9" s="301">
        <f>SUM(DU10:DU23)</f>
        <v>2.246</v>
      </c>
      <c r="DV9" s="301">
        <f>SUM(DV10:DV23)</f>
        <v>5.3903999999999996</v>
      </c>
      <c r="DW9" s="301">
        <f>SUM(DW10:DW23)</f>
        <v>5.3903999999999996</v>
      </c>
      <c r="DX9" s="300">
        <f t="shared" si="9"/>
        <v>0</v>
      </c>
      <c r="DY9" s="301">
        <f>SUM(DY10:DY23)</f>
        <v>0</v>
      </c>
      <c r="DZ9" s="301">
        <f>SUM(DZ10:DZ23)</f>
        <v>0</v>
      </c>
      <c r="EA9" s="301">
        <f>SUM(EA10:EA23)</f>
        <v>0</v>
      </c>
      <c r="EB9" s="300">
        <f t="shared" si="10"/>
        <v>0</v>
      </c>
      <c r="EC9" s="301">
        <f>SUM(EC10:EC23)</f>
        <v>0</v>
      </c>
      <c r="ED9" s="301">
        <f>SUM(ED10:ED23)</f>
        <v>0</v>
      </c>
      <c r="EE9" s="301">
        <f>SUM(EE10:EE23)</f>
        <v>0</v>
      </c>
      <c r="EF9" s="300">
        <f t="shared" si="11"/>
        <v>0</v>
      </c>
      <c r="EG9" s="301">
        <f>SUM(EG10:EG23)</f>
        <v>86.567830000000015</v>
      </c>
      <c r="EH9" s="301">
        <f>SUM(EH10:EH23)</f>
        <v>178.933583</v>
      </c>
      <c r="EI9" s="301">
        <f>SUM(EI10:EI23)</f>
        <v>178.933583</v>
      </c>
      <c r="EJ9" s="300">
        <f t="shared" si="12"/>
        <v>0</v>
      </c>
      <c r="EK9" s="301">
        <f>SUM(EK10:EK23)</f>
        <v>0</v>
      </c>
      <c r="EL9" s="301">
        <f>SUM(EL10:EL23)</f>
        <v>0</v>
      </c>
      <c r="EM9" s="301">
        <f>SUM(EM10:EM23)</f>
        <v>0</v>
      </c>
      <c r="EN9" s="300">
        <f t="shared" si="13"/>
        <v>0</v>
      </c>
      <c r="EO9" s="301">
        <f>SUM(EO10:EO23)</f>
        <v>0</v>
      </c>
      <c r="EP9" s="301">
        <f>SUM(EP10:EP23)</f>
        <v>0</v>
      </c>
      <c r="EQ9" s="301">
        <f>SUM(EQ10:EQ23)</f>
        <v>0</v>
      </c>
      <c r="ER9" s="300">
        <f t="shared" si="14"/>
        <v>0</v>
      </c>
      <c r="ES9" s="301">
        <f>SUM(ES10:ES23)</f>
        <v>2.03409</v>
      </c>
      <c r="ET9" s="301">
        <f>SUM(ET10:ET23)</f>
        <v>4.6784069999999991</v>
      </c>
      <c r="EU9" s="301">
        <f>SUM(EU10:EU23)</f>
        <v>4.6784069999999991</v>
      </c>
      <c r="EV9" s="300">
        <f t="shared" si="15"/>
        <v>0</v>
      </c>
      <c r="EW9" s="301">
        <f>SUM(EW10:EW23)</f>
        <v>0</v>
      </c>
      <c r="EX9" s="301">
        <f>SUM(EX10:EX23)</f>
        <v>0</v>
      </c>
      <c r="EY9" s="301">
        <f>SUM(EY10:EY23)</f>
        <v>0</v>
      </c>
      <c r="EZ9" s="300">
        <f t="shared" si="16"/>
        <v>0</v>
      </c>
      <c r="FA9" s="301">
        <f>SUM(FA10:FA23)</f>
        <v>0</v>
      </c>
      <c r="FB9" s="301">
        <f>SUM(FB10:FB23)</f>
        <v>0</v>
      </c>
      <c r="FC9" s="301">
        <f>SUM(FC10:FC23)</f>
        <v>0</v>
      </c>
      <c r="FD9" s="300">
        <f t="shared" si="17"/>
        <v>0</v>
      </c>
      <c r="FE9" s="301">
        <f>SUM(FE10:FE23)</f>
        <v>11.339690000000001</v>
      </c>
      <c r="FF9" s="301">
        <f>SUM(FF10:FF23)</f>
        <v>21.638829600000005</v>
      </c>
      <c r="FG9" s="301">
        <f>SUM(FG10:FG23)</f>
        <v>21.638829600000005</v>
      </c>
      <c r="FH9" s="300">
        <f t="shared" si="18"/>
        <v>0</v>
      </c>
      <c r="FI9" s="301">
        <f>SUM(FI10:FI23)</f>
        <v>6.03599</v>
      </c>
      <c r="FJ9" s="301">
        <f>SUM(FJ10:FJ23)</f>
        <v>14.788175500000001</v>
      </c>
      <c r="FK9" s="301">
        <f>SUM(FK10:FK23)</f>
        <v>14.788175500000001</v>
      </c>
      <c r="FL9" s="300">
        <f t="shared" si="19"/>
        <v>0</v>
      </c>
      <c r="FM9" s="301">
        <f>SUM(FM10:FM23)</f>
        <v>0</v>
      </c>
      <c r="FN9" s="301">
        <f>SUM(FN10:FN23)</f>
        <v>0</v>
      </c>
      <c r="FO9" s="301">
        <f>SUM(FO10:FO23)</f>
        <v>0</v>
      </c>
      <c r="FP9" s="300">
        <f t="shared" si="20"/>
        <v>0</v>
      </c>
      <c r="FQ9" s="301">
        <f>SUM(FQ10:FQ23)</f>
        <v>0</v>
      </c>
      <c r="FR9" s="301">
        <f>SUM(FR10:FR23)</f>
        <v>0</v>
      </c>
      <c r="FS9" s="301">
        <f>SUM(FS10:FS23)</f>
        <v>0</v>
      </c>
      <c r="FT9" s="300">
        <f t="shared" si="21"/>
        <v>0</v>
      </c>
      <c r="FU9" s="301">
        <f>SUM(FU10:FU23)</f>
        <v>51.670550000000006</v>
      </c>
      <c r="FV9" s="301">
        <f>SUM(FV10:FV23)</f>
        <v>101.99946750000001</v>
      </c>
      <c r="FW9" s="301">
        <f>SUM(FW10:FW23)</f>
        <v>101.99946750000001</v>
      </c>
      <c r="FX9" s="300">
        <f t="shared" si="22"/>
        <v>0</v>
      </c>
      <c r="FY9" s="301">
        <f>SUM(FY10:FY23)</f>
        <v>0</v>
      </c>
      <c r="FZ9" s="301">
        <f>SUM(FZ10:FZ23)</f>
        <v>0</v>
      </c>
      <c r="GA9" s="301">
        <f>SUM(GA10:GA23)</f>
        <v>0</v>
      </c>
      <c r="GB9" s="300">
        <f t="shared" si="23"/>
        <v>0</v>
      </c>
      <c r="GC9" s="301">
        <f>SUM(GC10:GC23)</f>
        <v>3.8780799999999997</v>
      </c>
      <c r="GD9" s="301">
        <f>SUM(GD10:GD23)</f>
        <v>8.6868991999999992</v>
      </c>
      <c r="GE9" s="301">
        <f>SUM(GE10:GE23)</f>
        <v>8.6868991999999992</v>
      </c>
      <c r="GF9" s="300">
        <f t="shared" si="24"/>
        <v>0</v>
      </c>
      <c r="GG9" s="301">
        <f>SUM(GG10:GG23)</f>
        <v>0</v>
      </c>
      <c r="GH9" s="301">
        <f>SUM(GH10:GH23)</f>
        <v>0</v>
      </c>
      <c r="GI9" s="301">
        <f>SUM(GI10:GI23)</f>
        <v>0</v>
      </c>
      <c r="GJ9" s="300">
        <f t="shared" si="42"/>
        <v>0</v>
      </c>
      <c r="GK9" s="301">
        <f>SUM(GK10:GK23)</f>
        <v>0</v>
      </c>
      <c r="GL9" s="301">
        <f>SUM(GL10:GL23)</f>
        <v>0</v>
      </c>
      <c r="GM9" s="301">
        <f>SUM(GM10:GM23)</f>
        <v>0</v>
      </c>
      <c r="GN9" s="300">
        <f t="shared" si="43"/>
        <v>0</v>
      </c>
      <c r="GO9" s="301">
        <f>SUM(GO10:GO23)</f>
        <v>0</v>
      </c>
      <c r="GP9" s="301">
        <f>SUM(GP10:GP23)</f>
        <v>0</v>
      </c>
      <c r="GQ9" s="301">
        <f>SUM(GQ10:GQ23)</f>
        <v>0</v>
      </c>
      <c r="GR9" s="300">
        <f t="shared" si="44"/>
        <v>0</v>
      </c>
      <c r="GS9" s="301">
        <f>SUM(GS10:GS23)</f>
        <v>0</v>
      </c>
      <c r="GT9" s="301">
        <f>SUM(GT10:GT23)</f>
        <v>0</v>
      </c>
      <c r="GU9" s="301">
        <f>SUM(GU10:GU23)</f>
        <v>0</v>
      </c>
      <c r="GV9" s="300">
        <f t="shared" si="45"/>
        <v>0</v>
      </c>
      <c r="GW9" s="301">
        <f>SUM(GW10:GW23)</f>
        <v>0</v>
      </c>
      <c r="GX9" s="301">
        <f>SUM(GX10:GX23)</f>
        <v>0</v>
      </c>
      <c r="GY9" s="301">
        <f>SUM(GY10:GY23)</f>
        <v>0</v>
      </c>
      <c r="GZ9" s="300">
        <f t="shared" si="46"/>
        <v>0</v>
      </c>
      <c r="HA9" s="328"/>
      <c r="HB9" s="329" t="s">
        <v>182</v>
      </c>
      <c r="HC9" s="330">
        <f>HC8-HC7</f>
        <v>-0.26814999999942302</v>
      </c>
      <c r="HD9" s="330">
        <f t="shared" ref="HD9:HI9" si="48">HD8-HD7</f>
        <v>2.077670000000353</v>
      </c>
      <c r="HE9" s="330">
        <f t="shared" si="48"/>
        <v>-10.900719999999993</v>
      </c>
      <c r="HF9" s="330">
        <f t="shared" si="48"/>
        <v>-0.61728000000016436</v>
      </c>
      <c r="HG9" s="330">
        <f t="shared" si="48"/>
        <v>7.9400000000077853E-2</v>
      </c>
      <c r="HH9" s="330">
        <f t="shared" si="48"/>
        <v>7.7989999999772408E-2</v>
      </c>
      <c r="HI9" s="330">
        <f t="shared" si="48"/>
        <v>-1.5729999999962274E-2</v>
      </c>
      <c r="HJ9" s="331">
        <f>HJ8-HJ7</f>
        <v>0.13732000000004518</v>
      </c>
      <c r="HK9" s="331">
        <f>HK8-HK7</f>
        <v>13.640749999999969</v>
      </c>
      <c r="HL9" s="332">
        <f>HL8-HL7</f>
        <v>1.4098299999999995</v>
      </c>
      <c r="HM9" s="332">
        <f>HM8-HM7</f>
        <v>-5.2440000000011366E-2</v>
      </c>
      <c r="HN9" s="333">
        <f>SUM(HC9:HM9)</f>
        <v>5.5686400000006628</v>
      </c>
      <c r="HO9" s="334" t="s">
        <v>183</v>
      </c>
      <c r="HS9" s="306"/>
      <c r="HT9" s="306"/>
      <c r="HU9" s="306"/>
      <c r="HV9" s="306"/>
    </row>
    <row r="10" spans="1:256" s="338" customFormat="1" ht="13.5" hidden="1" customHeight="1">
      <c r="A10" s="909"/>
      <c r="B10" s="335" t="s">
        <v>175</v>
      </c>
      <c r="C10" s="336" t="s">
        <v>184</v>
      </c>
      <c r="D10" s="337" t="s">
        <v>162</v>
      </c>
      <c r="E10" s="299">
        <f>I10+M10+Q10+U10+Y10+AC10+AG10+AK10+AO10+AS10+AW10+BA10+BE10+BI10+BM10+BQ10+BU10+BY10+CC10+CG10+CK10+CO10+CS10+CW10+DA10+DE10+DI10+DM10+DQ10+DU10+DY10+EC10+EG10+EK10+EO10+ES10+EW10+FA10+FE10+FI10+FM10+FQ10+FU10+FY10+GC10+GK10+GG10+GO10+GS10+GW10</f>
        <v>114.88466000000001</v>
      </c>
      <c r="F10" s="299">
        <f>J10+N10+R10+V10+Z10+AD10+AH10+AL10+AP10+AT10+AX10+BB10+BF10+BJ10+BN10+BR10+BV10+BZ10+CD10+CH10+CL10+CP10+CT10+CX10+DB10+DF10+DJ10+DN10+DR10+DV10+DZ10+ED10+EH10+EL10+EP10+ET10+EX10+FB10+FF10+FJ10+FN10+FR10+FV10+FZ10+GD10+GL10+GH10+GP10+GT10+GX10</f>
        <v>270.98240999999996</v>
      </c>
      <c r="G10" s="299">
        <f>K10+O10+S10+W10+AA10+AE10+AI10+AM10+AQ10+AU10+AY10+BC10+BG10+BK10+BO10+BS10+BW10+CA10+CE10+CI10+CM10+CQ10+CU10+CY10+DC10+DG10+DK10+DO10+DS10+DW10+EA10+EE10+EI10+EM10+EQ10+EU10+EY10+FC10+FG10+FK10+FO10+FS10+FW10+GA10+GE10+GM10+GI10+GQ10+GU10+GY10</f>
        <v>270.98240999999996</v>
      </c>
      <c r="H10" s="299">
        <f>L10+P10+T10+X10+AB10+AF10+AJ10+AN10+AR10+AV10+AZ10+BD10+BH10+BL10+BP10+BT10+BX10+CB10+CF10+CJ10+CN10+CR10+CV10+CZ10+DD10+DH10+DL10+DP10+DT10+DX10+EB10+EF10+EJ10+EN10+ER10+EV10+EZ10+FD10+FH10+FL10+FP10+FT10+FX10+GB10+GF10+GN10+GJ10+GR10+GV10+GZ10</f>
        <v>0</v>
      </c>
      <c r="L10" s="300">
        <f t="shared" si="25"/>
        <v>0</v>
      </c>
      <c r="P10" s="301">
        <f t="shared" si="26"/>
        <v>0</v>
      </c>
      <c r="T10" s="301">
        <f t="shared" si="27"/>
        <v>0</v>
      </c>
      <c r="X10" s="301">
        <f t="shared" si="28"/>
        <v>0</v>
      </c>
      <c r="AB10" s="301">
        <f t="shared" si="29"/>
        <v>0</v>
      </c>
      <c r="AF10" s="300">
        <f t="shared" si="30"/>
        <v>0</v>
      </c>
      <c r="AJ10" s="300">
        <f t="shared" si="31"/>
        <v>0</v>
      </c>
      <c r="AN10" s="301">
        <f t="shared" si="32"/>
        <v>0</v>
      </c>
      <c r="AR10" s="300">
        <f t="shared" si="33"/>
        <v>0</v>
      </c>
      <c r="AV10" s="301">
        <f t="shared" si="34"/>
        <v>0</v>
      </c>
      <c r="AZ10" s="301">
        <f t="shared" si="35"/>
        <v>0</v>
      </c>
      <c r="BD10" s="301">
        <f t="shared" si="36"/>
        <v>0</v>
      </c>
      <c r="BH10" s="301">
        <f t="shared" si="37"/>
        <v>0</v>
      </c>
      <c r="BL10" s="301">
        <f t="shared" si="38"/>
        <v>0</v>
      </c>
      <c r="BM10" s="338">
        <f>'[1]Евро-Строй-Сервис'!K117/1000</f>
        <v>32.409750000000003</v>
      </c>
      <c r="BN10" s="338">
        <f>'[1]Евро-Строй-Сервис'!L117/1000</f>
        <v>73.246034999999992</v>
      </c>
      <c r="BO10" s="338">
        <f>'[1]Евро-Строй-Сервис'!M117/1000</f>
        <v>73.246034999999992</v>
      </c>
      <c r="BP10" s="301">
        <f>BO10-BN10</f>
        <v>0</v>
      </c>
      <c r="BT10" s="301">
        <f t="shared" si="39"/>
        <v>0</v>
      </c>
      <c r="BX10" s="301">
        <f t="shared" si="40"/>
        <v>0</v>
      </c>
      <c r="CB10" s="301">
        <f t="shared" si="41"/>
        <v>0</v>
      </c>
      <c r="CF10" s="300">
        <f t="shared" ref="CF10:CF75" si="49">CE10-CD10</f>
        <v>0</v>
      </c>
      <c r="CJ10" s="301">
        <f t="shared" si="0"/>
        <v>0</v>
      </c>
      <c r="CN10" s="301">
        <f t="shared" si="1"/>
        <v>0</v>
      </c>
      <c r="CR10" s="301">
        <f t="shared" si="2"/>
        <v>0</v>
      </c>
      <c r="CV10" s="301">
        <f t="shared" si="3"/>
        <v>0</v>
      </c>
      <c r="CZ10" s="301">
        <f t="shared" si="4"/>
        <v>0</v>
      </c>
      <c r="DD10" s="300">
        <f t="shared" si="5"/>
        <v>0</v>
      </c>
      <c r="DH10" s="301">
        <f t="shared" si="6"/>
        <v>0</v>
      </c>
      <c r="DL10" s="301">
        <f t="shared" ref="DL10:DL99" si="50">DK10-DJ10</f>
        <v>0</v>
      </c>
      <c r="DM10" s="338">
        <f>'[1]Альфаком-У'!K169/1000</f>
        <v>78.194820000000007</v>
      </c>
      <c r="DN10" s="338">
        <f>'[1]Альфаком-У'!L169/1000</f>
        <v>187.66756799999999</v>
      </c>
      <c r="DO10" s="338">
        <f>'[1]Альфаком-У'!M169/1000</f>
        <v>187.66756799999999</v>
      </c>
      <c r="DP10" s="301">
        <f t="shared" si="7"/>
        <v>0</v>
      </c>
      <c r="DT10" s="300">
        <f t="shared" si="8"/>
        <v>0</v>
      </c>
      <c r="DU10" s="338">
        <f>'[1]Альфаком-У-ТСЖ З-2'!K154/1000</f>
        <v>2.246</v>
      </c>
      <c r="DV10" s="338">
        <f>'[1]Альфаком-У-ТСЖ З-2'!L154/1000</f>
        <v>5.3903999999999996</v>
      </c>
      <c r="DW10" s="338">
        <f>'[1]Альфаком-У-ТСЖ З-2'!M154/1000</f>
        <v>5.3903999999999996</v>
      </c>
      <c r="DX10" s="301">
        <f t="shared" si="9"/>
        <v>0</v>
      </c>
      <c r="EB10" s="301">
        <f t="shared" si="10"/>
        <v>0</v>
      </c>
      <c r="EF10" s="301">
        <f t="shared" si="11"/>
        <v>0</v>
      </c>
      <c r="EJ10" s="301">
        <f t="shared" si="12"/>
        <v>0</v>
      </c>
      <c r="EN10" s="301">
        <f t="shared" si="13"/>
        <v>0</v>
      </c>
      <c r="ER10" s="300">
        <f t="shared" si="14"/>
        <v>0</v>
      </c>
      <c r="ES10" s="338">
        <f>'[1]УК ЖКХ Симбирск'!K319/1000</f>
        <v>2.03409</v>
      </c>
      <c r="ET10" s="338">
        <f>'[1]УК ЖКХ Симбирск'!L319/1000</f>
        <v>4.6784069999999991</v>
      </c>
      <c r="EU10" s="338">
        <f>'[1]УК ЖКХ Симбирск'!M319/1000</f>
        <v>4.6784069999999991</v>
      </c>
      <c r="EV10" s="300">
        <f t="shared" si="15"/>
        <v>0</v>
      </c>
      <c r="EW10" s="338">
        <f>'[1]ООО Наш Дом 010212'!K155/1000</f>
        <v>0</v>
      </c>
      <c r="EX10" s="338">
        <f>'[1]ООО Наш Дом 010212'!L155/1000</f>
        <v>0</v>
      </c>
      <c r="EY10" s="338">
        <f>'[1]ООО Наш Дом 010212'!M155/1000</f>
        <v>0</v>
      </c>
      <c r="EZ10" s="301">
        <f t="shared" si="16"/>
        <v>0</v>
      </c>
      <c r="FA10" s="338">
        <f>'[1]ООО Истоки+'!K154/1000</f>
        <v>0</v>
      </c>
      <c r="FB10" s="338">
        <f>'[1]ООО Истоки+'!L154/1000</f>
        <v>0</v>
      </c>
      <c r="FC10" s="338">
        <f>'[1]ООО Истоки+'!M154/1000</f>
        <v>0</v>
      </c>
      <c r="FD10" s="301">
        <f t="shared" si="17"/>
        <v>0</v>
      </c>
      <c r="FH10" s="300">
        <f t="shared" si="18"/>
        <v>0</v>
      </c>
      <c r="FL10" s="301">
        <f t="shared" si="19"/>
        <v>0</v>
      </c>
      <c r="FP10" s="301">
        <f t="shared" si="20"/>
        <v>0</v>
      </c>
      <c r="FQ10" s="338">
        <f>'[1]ООО ЖКХ Лен-го района'!K268/1000</f>
        <v>0</v>
      </c>
      <c r="FR10" s="338">
        <f>'[1]ООО ЖКХ Лен-го района'!L268/1000</f>
        <v>0</v>
      </c>
      <c r="FS10" s="338">
        <f>'[1]ООО ЖКХ Лен-го района'!M268/1000</f>
        <v>0</v>
      </c>
      <c r="FT10" s="301">
        <f t="shared" si="21"/>
        <v>0</v>
      </c>
      <c r="FX10" s="301">
        <f t="shared" si="22"/>
        <v>0</v>
      </c>
      <c r="GB10" s="301">
        <f t="shared" si="23"/>
        <v>0</v>
      </c>
      <c r="GF10" s="301">
        <f t="shared" si="24"/>
        <v>0</v>
      </c>
      <c r="GJ10" s="301">
        <f t="shared" si="42"/>
        <v>0</v>
      </c>
      <c r="GN10" s="301">
        <f t="shared" si="43"/>
        <v>0</v>
      </c>
      <c r="GR10" s="301">
        <f t="shared" si="44"/>
        <v>0</v>
      </c>
      <c r="GV10" s="301">
        <f t="shared" si="45"/>
        <v>0</v>
      </c>
      <c r="GZ10" s="301">
        <f t="shared" si="46"/>
        <v>0</v>
      </c>
      <c r="HA10" s="328"/>
      <c r="HB10" s="339"/>
      <c r="HC10" s="339"/>
      <c r="HD10" s="339"/>
      <c r="HE10" s="339"/>
      <c r="HF10" s="339"/>
      <c r="HG10" s="339"/>
      <c r="HH10" s="339"/>
      <c r="HI10" s="339"/>
      <c r="HJ10" s="339"/>
      <c r="HK10" s="339"/>
      <c r="HL10" s="339"/>
      <c r="HM10" s="340"/>
      <c r="HN10" s="340"/>
      <c r="HO10" s="286"/>
      <c r="HP10" s="286"/>
      <c r="HQ10" s="286"/>
      <c r="HR10" s="286"/>
      <c r="HS10" s="306"/>
      <c r="HT10" s="306"/>
      <c r="HU10" s="306"/>
      <c r="HV10" s="306"/>
      <c r="HW10" s="286"/>
      <c r="HX10" s="286"/>
      <c r="HY10" s="286"/>
      <c r="HZ10" s="286"/>
      <c r="IA10" s="286"/>
      <c r="IB10" s="286"/>
      <c r="IC10" s="286"/>
      <c r="ID10" s="286"/>
      <c r="IE10" s="286"/>
      <c r="IF10" s="286"/>
      <c r="IG10" s="286"/>
      <c r="IH10" s="286"/>
      <c r="II10" s="286"/>
      <c r="IJ10" s="286"/>
      <c r="IK10" s="286"/>
      <c r="IL10" s="286"/>
      <c r="IM10" s="286"/>
      <c r="IN10" s="286"/>
      <c r="IO10" s="286"/>
      <c r="IP10" s="286"/>
      <c r="IQ10" s="286"/>
      <c r="IR10" s="286"/>
      <c r="IS10" s="286"/>
      <c r="IT10" s="286"/>
      <c r="IU10" s="286"/>
      <c r="IV10" s="286"/>
    </row>
    <row r="11" spans="1:256" s="338" customFormat="1" ht="13.5" hidden="1" customHeight="1">
      <c r="A11" s="909"/>
      <c r="B11" s="341"/>
      <c r="C11" s="342" t="s">
        <v>185</v>
      </c>
      <c r="D11" s="337" t="s">
        <v>162</v>
      </c>
      <c r="E11" s="299">
        <f t="shared" ref="E11:H26" si="51">I11+M11+Q11+U11+Y11+AC11+AG11+AK11+AO11+AS11+AW11+BA11+BE11+BI11+BM11+BQ11+BU11+BY11+CC11+CG11+CK11+CO11+CS11+CW11+DA11+DE11+DI11+DM11+DQ11+DU11+DY11+EC11+EG11+EK11+EO11+ES11+EW11+FA11+FE11+FI11+FM11+FQ11+FU11+FY11+GC11+GK11+GG11+GO11+GS11+GW11</f>
        <v>300.00137000000001</v>
      </c>
      <c r="F11" s="299">
        <f t="shared" si="51"/>
        <v>691.03718379999998</v>
      </c>
      <c r="G11" s="299">
        <f t="shared" si="51"/>
        <v>691.03718379999998</v>
      </c>
      <c r="H11" s="299">
        <f t="shared" si="51"/>
        <v>0</v>
      </c>
      <c r="L11" s="300">
        <f t="shared" si="25"/>
        <v>0</v>
      </c>
      <c r="P11" s="301">
        <f t="shared" si="26"/>
        <v>0</v>
      </c>
      <c r="T11" s="301">
        <f t="shared" si="27"/>
        <v>0</v>
      </c>
      <c r="U11" s="338">
        <f>'[1]ОАО ДК Заволж р-на'!K348/1000</f>
        <v>49.693460000000002</v>
      </c>
      <c r="V11" s="338">
        <f>'[1]ОАО ДК Заволж р-на'!L348/1000</f>
        <v>106.3440044</v>
      </c>
      <c r="W11" s="338">
        <f>'[1]ОАО ДК Заволж р-на'!M348/1000</f>
        <v>106.3440044</v>
      </c>
      <c r="X11" s="301">
        <f t="shared" si="28"/>
        <v>0</v>
      </c>
      <c r="Y11" s="338">
        <f>'[1]ООО ЖСС'!K121/1000</f>
        <v>5.2700000000000004E-2</v>
      </c>
      <c r="Z11" s="338">
        <f>'[1]ООО ЖСС'!L121/1000</f>
        <v>0.144925</v>
      </c>
      <c r="AA11" s="338">
        <f>'[1]ООО ЖСС'!M121/1000</f>
        <v>0.144925</v>
      </c>
      <c r="AB11" s="301">
        <f t="shared" si="29"/>
        <v>0</v>
      </c>
      <c r="AC11" s="338">
        <f>[1]МегаЛинк!K117/1000</f>
        <v>244.21922000000001</v>
      </c>
      <c r="AD11" s="338">
        <f>[1]МегаЛинк!L117/1000</f>
        <v>569.76007890000005</v>
      </c>
      <c r="AE11" s="338">
        <f>[1]МегаЛинк!M117/1000</f>
        <v>569.76007890000005</v>
      </c>
      <c r="AF11" s="300">
        <f t="shared" si="30"/>
        <v>0</v>
      </c>
      <c r="AJ11" s="300">
        <f t="shared" si="31"/>
        <v>0</v>
      </c>
      <c r="AN11" s="301">
        <f t="shared" si="32"/>
        <v>0</v>
      </c>
      <c r="AR11" s="300">
        <f t="shared" si="33"/>
        <v>0</v>
      </c>
      <c r="AV11" s="301">
        <f t="shared" si="34"/>
        <v>0</v>
      </c>
      <c r="AZ11" s="301">
        <f t="shared" si="35"/>
        <v>0</v>
      </c>
      <c r="BA11" s="338">
        <f>'[1]ДоМ ТСЖ'!K60/1000</f>
        <v>0</v>
      </c>
      <c r="BB11" s="338">
        <f>'[1]ДоМ ТСЖ'!L60/1000</f>
        <v>0</v>
      </c>
      <c r="BC11" s="338">
        <f>'[1]ДоМ ТСЖ'!M60/1000</f>
        <v>0</v>
      </c>
      <c r="BD11" s="301">
        <f t="shared" si="36"/>
        <v>0</v>
      </c>
      <c r="BH11" s="301">
        <f t="shared" si="37"/>
        <v>0</v>
      </c>
      <c r="BL11" s="301">
        <f t="shared" si="38"/>
        <v>0</v>
      </c>
      <c r="BP11" s="301">
        <f t="shared" ref="BP11:BP99" si="52">BO11-BN11</f>
        <v>0</v>
      </c>
      <c r="BT11" s="301">
        <f t="shared" si="39"/>
        <v>0</v>
      </c>
      <c r="BX11" s="301">
        <f t="shared" si="40"/>
        <v>0</v>
      </c>
      <c r="CB11" s="301">
        <f t="shared" si="41"/>
        <v>0</v>
      </c>
      <c r="CC11" s="338">
        <f>[1]СУК!K61/1000</f>
        <v>0</v>
      </c>
      <c r="CD11" s="338">
        <f>[1]СУК!L61/1000</f>
        <v>0</v>
      </c>
      <c r="CE11" s="338">
        <f>[1]СУК!M61/1000</f>
        <v>0</v>
      </c>
      <c r="CF11" s="300">
        <f t="shared" si="49"/>
        <v>0</v>
      </c>
      <c r="CJ11" s="301">
        <f t="shared" si="0"/>
        <v>0</v>
      </c>
      <c r="CN11" s="301">
        <f t="shared" si="1"/>
        <v>0</v>
      </c>
      <c r="CO11" s="338">
        <f>'[1]Север-1'!K297/1000</f>
        <v>0</v>
      </c>
      <c r="CP11" s="338">
        <f>'[1]Север-1'!L297/1000</f>
        <v>0</v>
      </c>
      <c r="CQ11" s="338">
        <f>'[1]Север-1'!M297/1000</f>
        <v>0</v>
      </c>
      <c r="CR11" s="301">
        <f t="shared" si="2"/>
        <v>0</v>
      </c>
      <c r="CS11" s="338">
        <f>'[1]МостОтряд №51'!K61/1000</f>
        <v>0</v>
      </c>
      <c r="CT11" s="338">
        <f>'[1]МостОтряд №51'!L61/1000</f>
        <v>0</v>
      </c>
      <c r="CU11" s="338">
        <f>'[1]МостОтряд №51'!M61/1000</f>
        <v>0</v>
      </c>
      <c r="CV11" s="301">
        <f t="shared" si="3"/>
        <v>0</v>
      </c>
      <c r="CW11" s="338">
        <f>'[1]Пр-т Гая'!K259/1000</f>
        <v>0</v>
      </c>
      <c r="CX11" s="338">
        <f>'[1]Пр-т Гая'!L259/1000</f>
        <v>0</v>
      </c>
      <c r="CY11" s="338">
        <f>'[1]Пр-т Гая'!M259/1000</f>
        <v>0</v>
      </c>
      <c r="CZ11" s="301">
        <f t="shared" si="4"/>
        <v>0</v>
      </c>
      <c r="DA11" s="338">
        <f>[1]Стасова!K141/1000</f>
        <v>0</v>
      </c>
      <c r="DB11" s="338">
        <f>[1]Стасова!L141/1000</f>
        <v>0</v>
      </c>
      <c r="DC11" s="338">
        <f>[1]Стасова!M141/1000</f>
        <v>0</v>
      </c>
      <c r="DD11" s="300">
        <f t="shared" si="5"/>
        <v>0</v>
      </c>
      <c r="DE11" s="338">
        <f>'[1]Мегаполис ТСЖ'!K61/1000</f>
        <v>0</v>
      </c>
      <c r="DF11" s="338">
        <f>'[1]Мегаполис ТСЖ'!L61/1000</f>
        <v>0</v>
      </c>
      <c r="DG11" s="338">
        <f>'[1]Мегаполис ТСЖ'!M61/1000</f>
        <v>0</v>
      </c>
      <c r="DH11" s="301">
        <f t="shared" si="6"/>
        <v>0</v>
      </c>
      <c r="DL11" s="301">
        <f t="shared" si="50"/>
        <v>0</v>
      </c>
      <c r="DP11" s="301">
        <f t="shared" si="7"/>
        <v>0</v>
      </c>
      <c r="DQ11" s="338">
        <f>'[1]ТСЖ Дачный'!K141/1000</f>
        <v>0</v>
      </c>
      <c r="DR11" s="338">
        <f>'[1]ТСЖ Дачный'!L141/1000</f>
        <v>0</v>
      </c>
      <c r="DS11" s="338">
        <f>'[1]ТСЖ Дачный'!M141/1000</f>
        <v>0</v>
      </c>
      <c r="DT11" s="300">
        <f t="shared" si="8"/>
        <v>0</v>
      </c>
      <c r="DX11" s="301">
        <f t="shared" si="9"/>
        <v>0</v>
      </c>
      <c r="DY11" s="338">
        <f>'[1]ЖСК Электромаш'!K61/1000</f>
        <v>0</v>
      </c>
      <c r="DZ11" s="338">
        <f>'[1]ЖСК Электромаш'!L61/1000</f>
        <v>0</v>
      </c>
      <c r="EA11" s="338">
        <f>'[1]ЖСК Электромаш'!M61/1000</f>
        <v>0</v>
      </c>
      <c r="EB11" s="301">
        <f t="shared" si="10"/>
        <v>0</v>
      </c>
      <c r="EC11" s="338">
        <f>'[1]ЗАО Авиастар-СП'!K61/1000</f>
        <v>0</v>
      </c>
      <c r="ED11" s="338">
        <f>'[1]ЗАО Авиастар-СП'!L61/1000</f>
        <v>0</v>
      </c>
      <c r="EE11" s="338">
        <f>'[1]ЗАО Авиастар-СП'!M61/1000</f>
        <v>0</v>
      </c>
      <c r="EF11" s="301">
        <f t="shared" si="11"/>
        <v>0</v>
      </c>
      <c r="EJ11" s="301">
        <f t="shared" si="12"/>
        <v>0</v>
      </c>
      <c r="EK11" s="338">
        <f>'[1]ТСЖ Форт'!K61/1000</f>
        <v>0</v>
      </c>
      <c r="EL11" s="338">
        <f>'[1]ТСЖ Форт'!L61/1000</f>
        <v>0</v>
      </c>
      <c r="EM11" s="338">
        <f>'[1]ТСЖ Форт'!M61/1000</f>
        <v>0</v>
      </c>
      <c r="EN11" s="301">
        <f t="shared" si="13"/>
        <v>0</v>
      </c>
      <c r="ER11" s="300">
        <f t="shared" si="14"/>
        <v>0</v>
      </c>
      <c r="EV11" s="300">
        <f t="shared" si="15"/>
        <v>0</v>
      </c>
      <c r="EZ11" s="301">
        <f t="shared" si="16"/>
        <v>0</v>
      </c>
      <c r="FD11" s="301">
        <f t="shared" si="17"/>
        <v>0</v>
      </c>
      <c r="FH11" s="300">
        <f t="shared" si="18"/>
        <v>0</v>
      </c>
      <c r="FI11" s="338">
        <f>'[1]ТСЖ Малахит'!K59/1000</f>
        <v>6.03599</v>
      </c>
      <c r="FJ11" s="338">
        <f>'[1]ТСЖ Малахит'!L59/1000</f>
        <v>14.788175500000001</v>
      </c>
      <c r="FK11" s="338">
        <f>'[1]ТСЖ Малахит'!M59/1000</f>
        <v>14.788175500000001</v>
      </c>
      <c r="FL11" s="301">
        <f t="shared" si="19"/>
        <v>0</v>
      </c>
      <c r="FP11" s="301">
        <f t="shared" si="20"/>
        <v>0</v>
      </c>
      <c r="FT11" s="301">
        <f t="shared" si="21"/>
        <v>0</v>
      </c>
      <c r="FX11" s="301">
        <f t="shared" si="22"/>
        <v>0</v>
      </c>
      <c r="GB11" s="301">
        <f t="shared" si="23"/>
        <v>0</v>
      </c>
      <c r="GF11" s="301">
        <f t="shared" si="24"/>
        <v>0</v>
      </c>
      <c r="GJ11" s="301">
        <f t="shared" si="42"/>
        <v>0</v>
      </c>
      <c r="GN11" s="301">
        <f t="shared" si="43"/>
        <v>0</v>
      </c>
      <c r="GR11" s="301">
        <f t="shared" si="44"/>
        <v>0</v>
      </c>
      <c r="GV11" s="301">
        <f t="shared" si="45"/>
        <v>0</v>
      </c>
      <c r="GZ11" s="301">
        <f t="shared" si="46"/>
        <v>0</v>
      </c>
      <c r="HA11" s="328"/>
      <c r="HB11" s="339"/>
      <c r="HC11" s="343"/>
      <c r="HD11" s="343"/>
      <c r="HE11" s="339"/>
      <c r="HF11" s="339"/>
      <c r="HG11" s="339"/>
      <c r="HH11" s="339"/>
      <c r="HI11" s="339"/>
      <c r="HJ11" s="339"/>
      <c r="HK11" s="339"/>
      <c r="HL11" s="339"/>
      <c r="HM11" s="340"/>
      <c r="HN11" s="286"/>
      <c r="HO11" s="286"/>
      <c r="HP11" s="286"/>
      <c r="HQ11" s="286"/>
      <c r="HR11" s="286"/>
      <c r="HS11" s="306"/>
      <c r="HT11" s="306"/>
      <c r="HU11" s="306"/>
      <c r="HV11" s="306"/>
      <c r="HW11" s="286"/>
      <c r="HX11" s="286"/>
      <c r="HY11" s="286"/>
      <c r="HZ11" s="286"/>
      <c r="IA11" s="286"/>
      <c r="IB11" s="286"/>
      <c r="IC11" s="286"/>
      <c r="ID11" s="286"/>
      <c r="IE11" s="286"/>
      <c r="IF11" s="286"/>
      <c r="IG11" s="286"/>
      <c r="IH11" s="286"/>
      <c r="II11" s="286"/>
      <c r="IJ11" s="286"/>
      <c r="IK11" s="286"/>
      <c r="IL11" s="286"/>
      <c r="IM11" s="286"/>
      <c r="IN11" s="286"/>
      <c r="IO11" s="286"/>
      <c r="IP11" s="286"/>
      <c r="IQ11" s="286"/>
      <c r="IR11" s="286"/>
      <c r="IS11" s="286"/>
      <c r="IT11" s="286"/>
      <c r="IU11" s="286"/>
      <c r="IV11" s="286"/>
    </row>
    <row r="12" spans="1:256" s="338" customFormat="1" ht="13.5" hidden="1" customHeight="1">
      <c r="A12" s="909"/>
      <c r="B12" s="341"/>
      <c r="C12" s="342" t="s">
        <v>186</v>
      </c>
      <c r="D12" s="337" t="s">
        <v>162</v>
      </c>
      <c r="E12" s="299">
        <f t="shared" si="51"/>
        <v>596.1046399999999</v>
      </c>
      <c r="F12" s="299">
        <f t="shared" si="51"/>
        <v>1299.2722546</v>
      </c>
      <c r="G12" s="299">
        <f t="shared" si="51"/>
        <v>1299.2722546</v>
      </c>
      <c r="H12" s="299">
        <f t="shared" si="51"/>
        <v>0</v>
      </c>
      <c r="L12" s="300">
        <f t="shared" si="25"/>
        <v>0</v>
      </c>
      <c r="P12" s="301">
        <f t="shared" si="26"/>
        <v>0</v>
      </c>
      <c r="T12" s="301">
        <f t="shared" si="27"/>
        <v>0</v>
      </c>
      <c r="U12" s="338">
        <f>('[1]ОАО ДК Заволж р-на'!K347+'[1]ОАО ДК Заволж р-на'!K349)/1000</f>
        <v>266.08979999999997</v>
      </c>
      <c r="V12" s="338">
        <f>('[1]ОАО ДК Заволж р-на'!L347+'[1]ОАО ДК Заволж р-на'!L349)/1000</f>
        <v>569.43217200000004</v>
      </c>
      <c r="W12" s="338">
        <f>('[1]ОАО ДК Заволж р-на'!M347+'[1]ОАО ДК Заволж р-на'!M349)/1000</f>
        <v>569.43217200000004</v>
      </c>
      <c r="X12" s="301">
        <f t="shared" si="28"/>
        <v>0</v>
      </c>
      <c r="AB12" s="301">
        <f t="shared" si="29"/>
        <v>0</v>
      </c>
      <c r="AF12" s="300">
        <f t="shared" si="30"/>
        <v>0</v>
      </c>
      <c r="AJ12" s="300">
        <f t="shared" si="31"/>
        <v>0</v>
      </c>
      <c r="AN12" s="301">
        <f t="shared" si="32"/>
        <v>0</v>
      </c>
      <c r="AR12" s="300">
        <f t="shared" si="33"/>
        <v>0</v>
      </c>
      <c r="AV12" s="301">
        <f t="shared" si="34"/>
        <v>0</v>
      </c>
      <c r="AZ12" s="301">
        <f t="shared" si="35"/>
        <v>0</v>
      </c>
      <c r="BD12" s="301">
        <f t="shared" si="36"/>
        <v>0</v>
      </c>
      <c r="BH12" s="301">
        <f t="shared" si="37"/>
        <v>0</v>
      </c>
      <c r="BL12" s="301">
        <f t="shared" si="38"/>
        <v>0</v>
      </c>
      <c r="BP12" s="301">
        <f t="shared" si="52"/>
        <v>0</v>
      </c>
      <c r="BT12" s="301">
        <f t="shared" si="39"/>
        <v>0</v>
      </c>
      <c r="BU12" s="338">
        <f>'[1]ОАО ДК Лен р-на'!K452/1000</f>
        <v>183.23320999999999</v>
      </c>
      <c r="BV12" s="338">
        <f>'[1]ОАО ДК Лен р-на'!L452/1000</f>
        <v>425.34887300000003</v>
      </c>
      <c r="BW12" s="338">
        <f>'[1]ОАО ДК Лен р-на'!M452/1000</f>
        <v>425.34887300000003</v>
      </c>
      <c r="BX12" s="301">
        <f t="shared" si="40"/>
        <v>0</v>
      </c>
      <c r="CB12" s="301">
        <f t="shared" si="41"/>
        <v>0</v>
      </c>
      <c r="CF12" s="300">
        <f t="shared" si="49"/>
        <v>0</v>
      </c>
      <c r="CJ12" s="301">
        <f t="shared" si="0"/>
        <v>0</v>
      </c>
      <c r="CK12" s="338">
        <f>'[1]ТСЖ Народ контроль R'!K61/1000</f>
        <v>52.980319999999999</v>
      </c>
      <c r="CL12" s="338">
        <f>'[1]ТСЖ Народ контроль R'!L61/1000</f>
        <v>112.31827840000001</v>
      </c>
      <c r="CM12" s="338">
        <f>'[1]ТСЖ Народ контроль R'!M61/1000</f>
        <v>112.31827840000001</v>
      </c>
      <c r="CN12" s="301">
        <f t="shared" si="1"/>
        <v>0</v>
      </c>
      <c r="CR12" s="301">
        <f t="shared" si="2"/>
        <v>0</v>
      </c>
      <c r="CV12" s="301">
        <f t="shared" si="3"/>
        <v>0</v>
      </c>
      <c r="CZ12" s="301">
        <f t="shared" si="4"/>
        <v>0</v>
      </c>
      <c r="DD12" s="300">
        <f t="shared" si="5"/>
        <v>0</v>
      </c>
      <c r="DH12" s="301">
        <f t="shared" si="6"/>
        <v>0</v>
      </c>
      <c r="DL12" s="301">
        <f t="shared" si="50"/>
        <v>0</v>
      </c>
      <c r="DP12" s="301">
        <f t="shared" si="7"/>
        <v>0</v>
      </c>
      <c r="DT12" s="300">
        <f t="shared" si="8"/>
        <v>0</v>
      </c>
      <c r="DX12" s="301">
        <f t="shared" si="9"/>
        <v>0</v>
      </c>
      <c r="EB12" s="301">
        <f t="shared" si="10"/>
        <v>0</v>
      </c>
      <c r="EF12" s="301">
        <f t="shared" si="11"/>
        <v>0</v>
      </c>
      <c r="EG12" s="338">
        <f>('[1]ООО ЦЭТ'!K307+'[1]ООО ЦЭТ'!K309+'[1]ООО ЦЭТ'!K310+'[1]ООО ЦЭТ'!K313+'[1]ООО ЦЭТ'!K311+'[1]ООО ЦЭТ'!K314)/1000</f>
        <v>78.583540000000013</v>
      </c>
      <c r="EH12" s="338">
        <f>('[1]ООО ЦЭТ'!L307+'[1]ООО ЦЭТ'!L309+'[1]ООО ЦЭТ'!L310+'[1]ООО ЦЭТ'!L313+'[1]ООО ЦЭТ'!L311+'[1]ООО ЦЭТ'!L314)/1000</f>
        <v>161.84720239999999</v>
      </c>
      <c r="EI12" s="338">
        <f>('[1]ООО ЦЭТ'!M307+'[1]ООО ЦЭТ'!M309+'[1]ООО ЦЭТ'!M310+'[1]ООО ЦЭТ'!M313+'[1]ООО ЦЭТ'!M311+'[1]ООО ЦЭТ'!M314)/1000</f>
        <v>161.84720239999999</v>
      </c>
      <c r="EJ12" s="301">
        <f t="shared" si="12"/>
        <v>0</v>
      </c>
      <c r="EN12" s="301">
        <f t="shared" si="13"/>
        <v>0</v>
      </c>
      <c r="ER12" s="300">
        <f t="shared" si="14"/>
        <v>0</v>
      </c>
      <c r="EV12" s="300">
        <f t="shared" si="15"/>
        <v>0</v>
      </c>
      <c r="EZ12" s="301">
        <f t="shared" si="16"/>
        <v>0</v>
      </c>
      <c r="FD12" s="301">
        <f t="shared" si="17"/>
        <v>0</v>
      </c>
      <c r="FE12" s="338">
        <f>'[1]ООО ЖКиСР УправДом'!K194/1000</f>
        <v>11.339690000000001</v>
      </c>
      <c r="FF12" s="338">
        <f>'[1]ООО ЖКиСР УправДом'!L194/1000</f>
        <v>21.638829600000005</v>
      </c>
      <c r="FG12" s="338">
        <f>'[1]ООО ЖКиСР УправДом'!M194/1000</f>
        <v>21.638829600000005</v>
      </c>
      <c r="FH12" s="300">
        <f t="shared" si="18"/>
        <v>0</v>
      </c>
      <c r="FL12" s="301">
        <f t="shared" si="19"/>
        <v>0</v>
      </c>
      <c r="FP12" s="301">
        <f t="shared" si="20"/>
        <v>0</v>
      </c>
      <c r="FT12" s="301">
        <f t="shared" si="21"/>
        <v>0</v>
      </c>
      <c r="FX12" s="301">
        <f t="shared" si="22"/>
        <v>0</v>
      </c>
      <c r="GB12" s="301">
        <f t="shared" si="23"/>
        <v>0</v>
      </c>
      <c r="GC12" s="338">
        <f>('[1]ООО УК ЦЭТ'!K282+'[1]ООО УК ЦЭТ'!K283+'[1]ООО УК ЦЭТ'!K284+'[1]ООО УК ЦЭТ'!K285+'[1]ООО УК ЦЭТ'!K287)/1000</f>
        <v>3.8780799999999997</v>
      </c>
      <c r="GD12" s="338">
        <f>('[1]ООО УК ЦЭТ'!L282+'[1]ООО УК ЦЭТ'!L283+'[1]ООО УК ЦЭТ'!L284+'[1]ООО УК ЦЭТ'!L285+'[1]ООО УК ЦЭТ'!L287)/1000</f>
        <v>8.6868991999999992</v>
      </c>
      <c r="GE12" s="338">
        <f>('[1]ООО УК ЦЭТ'!M282+'[1]ООО УК ЦЭТ'!M283+'[1]ООО УК ЦЭТ'!M284+'[1]ООО УК ЦЭТ'!M285+'[1]ООО УК ЦЭТ'!M287)/1000</f>
        <v>8.6868991999999992</v>
      </c>
      <c r="GF12" s="301">
        <f t="shared" si="24"/>
        <v>0</v>
      </c>
      <c r="GJ12" s="301">
        <f t="shared" si="42"/>
        <v>0</v>
      </c>
      <c r="GN12" s="301">
        <f t="shared" si="43"/>
        <v>0</v>
      </c>
      <c r="GR12" s="301">
        <f t="shared" si="44"/>
        <v>0</v>
      </c>
      <c r="GV12" s="301">
        <f t="shared" si="45"/>
        <v>0</v>
      </c>
      <c r="GZ12" s="301">
        <f t="shared" si="46"/>
        <v>0</v>
      </c>
      <c r="HA12" s="328"/>
      <c r="HB12" s="339"/>
      <c r="HC12" s="343"/>
      <c r="HD12" s="343"/>
      <c r="HE12" s="339"/>
      <c r="HF12" s="339"/>
      <c r="HG12" s="339"/>
      <c r="HH12" s="339"/>
      <c r="HI12" s="339"/>
      <c r="HJ12" s="339"/>
      <c r="HK12" s="339"/>
      <c r="HL12" s="339"/>
      <c r="HM12" s="340"/>
      <c r="HN12" s="286"/>
      <c r="HO12" s="286"/>
      <c r="HP12" s="286"/>
      <c r="HQ12" s="286"/>
      <c r="HR12" s="286"/>
      <c r="HS12" s="306"/>
      <c r="HT12" s="306"/>
      <c r="HU12" s="306"/>
      <c r="HV12" s="306"/>
      <c r="HW12" s="286"/>
      <c r="HX12" s="286"/>
      <c r="HY12" s="286"/>
      <c r="HZ12" s="286"/>
      <c r="IA12" s="286"/>
      <c r="IB12" s="286"/>
      <c r="IC12" s="286"/>
      <c r="ID12" s="286"/>
      <c r="IE12" s="286"/>
      <c r="IF12" s="286"/>
      <c r="IG12" s="286"/>
      <c r="IH12" s="286"/>
      <c r="II12" s="286"/>
      <c r="IJ12" s="286"/>
      <c r="IK12" s="286"/>
      <c r="IL12" s="286"/>
      <c r="IM12" s="286"/>
      <c r="IN12" s="286"/>
      <c r="IO12" s="286"/>
      <c r="IP12" s="286"/>
      <c r="IQ12" s="286"/>
      <c r="IR12" s="286"/>
      <c r="IS12" s="286"/>
      <c r="IT12" s="286"/>
      <c r="IU12" s="286"/>
      <c r="IV12" s="286"/>
    </row>
    <row r="13" spans="1:256" s="338" customFormat="1" ht="13.5" hidden="1" customHeight="1">
      <c r="A13" s="909"/>
      <c r="B13" s="341"/>
      <c r="C13" s="342" t="s">
        <v>187</v>
      </c>
      <c r="D13" s="337" t="s">
        <v>162</v>
      </c>
      <c r="E13" s="299">
        <f t="shared" si="51"/>
        <v>184.154</v>
      </c>
      <c r="F13" s="299">
        <f t="shared" si="51"/>
        <v>306.00941159999996</v>
      </c>
      <c r="G13" s="299">
        <f t="shared" si="51"/>
        <v>306.00941159999996</v>
      </c>
      <c r="H13" s="299">
        <f t="shared" si="51"/>
        <v>0</v>
      </c>
      <c r="L13" s="300">
        <f t="shared" si="25"/>
        <v>0</v>
      </c>
      <c r="P13" s="301">
        <f t="shared" si="26"/>
        <v>0</v>
      </c>
      <c r="T13" s="301">
        <f t="shared" si="27"/>
        <v>0</v>
      </c>
      <c r="X13" s="301">
        <f t="shared" si="28"/>
        <v>0</v>
      </c>
      <c r="AB13" s="301">
        <f t="shared" si="29"/>
        <v>0</v>
      </c>
      <c r="AF13" s="300">
        <f t="shared" si="30"/>
        <v>0</v>
      </c>
      <c r="AJ13" s="300">
        <f t="shared" si="31"/>
        <v>0</v>
      </c>
      <c r="AN13" s="301">
        <f t="shared" si="32"/>
        <v>0</v>
      </c>
      <c r="AR13" s="300">
        <f t="shared" si="33"/>
        <v>0</v>
      </c>
      <c r="AV13" s="301">
        <f t="shared" si="34"/>
        <v>0</v>
      </c>
      <c r="AZ13" s="301">
        <f t="shared" si="35"/>
        <v>0</v>
      </c>
      <c r="BD13" s="301">
        <f t="shared" si="36"/>
        <v>0</v>
      </c>
      <c r="BH13" s="301">
        <f t="shared" si="37"/>
        <v>0</v>
      </c>
      <c r="BI13" s="338">
        <f>[1]СМУ!K240/1000</f>
        <v>184.154</v>
      </c>
      <c r="BJ13" s="338">
        <f>[1]СМУ!L240/1000</f>
        <v>306.00941159999996</v>
      </c>
      <c r="BK13" s="338">
        <f>[1]СМУ!M240/1000</f>
        <v>306.00941159999996</v>
      </c>
      <c r="BL13" s="301">
        <f t="shared" si="38"/>
        <v>0</v>
      </c>
      <c r="BP13" s="301">
        <f t="shared" si="52"/>
        <v>0</v>
      </c>
      <c r="BT13" s="301">
        <f t="shared" si="39"/>
        <v>0</v>
      </c>
      <c r="BX13" s="301">
        <f t="shared" si="40"/>
        <v>0</v>
      </c>
      <c r="CB13" s="301">
        <f t="shared" si="41"/>
        <v>0</v>
      </c>
      <c r="CF13" s="300">
        <f t="shared" si="49"/>
        <v>0</v>
      </c>
      <c r="CJ13" s="301">
        <f t="shared" si="0"/>
        <v>0</v>
      </c>
      <c r="CN13" s="301">
        <f t="shared" si="1"/>
        <v>0</v>
      </c>
      <c r="CR13" s="301">
        <f t="shared" si="2"/>
        <v>0</v>
      </c>
      <c r="CV13" s="301">
        <f t="shared" si="3"/>
        <v>0</v>
      </c>
      <c r="CZ13" s="301">
        <f t="shared" si="4"/>
        <v>0</v>
      </c>
      <c r="DD13" s="300">
        <f t="shared" si="5"/>
        <v>0</v>
      </c>
      <c r="DH13" s="301">
        <f t="shared" si="6"/>
        <v>0</v>
      </c>
      <c r="DL13" s="301">
        <f t="shared" si="50"/>
        <v>0</v>
      </c>
      <c r="DP13" s="301">
        <f t="shared" si="7"/>
        <v>0</v>
      </c>
      <c r="DT13" s="300">
        <f t="shared" si="8"/>
        <v>0</v>
      </c>
      <c r="DX13" s="301">
        <f t="shared" si="9"/>
        <v>0</v>
      </c>
      <c r="EB13" s="301">
        <f t="shared" si="10"/>
        <v>0</v>
      </c>
      <c r="EF13" s="301">
        <f t="shared" si="11"/>
        <v>0</v>
      </c>
      <c r="EJ13" s="301">
        <f t="shared" si="12"/>
        <v>0</v>
      </c>
      <c r="EN13" s="301">
        <f t="shared" si="13"/>
        <v>0</v>
      </c>
      <c r="ER13" s="300">
        <f t="shared" si="14"/>
        <v>0</v>
      </c>
      <c r="EV13" s="300">
        <f t="shared" si="15"/>
        <v>0</v>
      </c>
      <c r="EZ13" s="301">
        <f t="shared" si="16"/>
        <v>0</v>
      </c>
      <c r="FD13" s="301">
        <f t="shared" si="17"/>
        <v>0</v>
      </c>
      <c r="FH13" s="300">
        <f t="shared" si="18"/>
        <v>0</v>
      </c>
      <c r="FL13" s="301">
        <f t="shared" si="19"/>
        <v>0</v>
      </c>
      <c r="FP13" s="301">
        <f t="shared" si="20"/>
        <v>0</v>
      </c>
      <c r="FT13" s="301">
        <f t="shared" si="21"/>
        <v>0</v>
      </c>
      <c r="FX13" s="301">
        <f t="shared" si="22"/>
        <v>0</v>
      </c>
      <c r="GB13" s="301">
        <f t="shared" si="23"/>
        <v>0</v>
      </c>
      <c r="GF13" s="301">
        <f t="shared" si="24"/>
        <v>0</v>
      </c>
      <c r="GJ13" s="301">
        <f t="shared" si="42"/>
        <v>0</v>
      </c>
      <c r="GN13" s="301">
        <f t="shared" si="43"/>
        <v>0</v>
      </c>
      <c r="GR13" s="301">
        <f t="shared" si="44"/>
        <v>0</v>
      </c>
      <c r="GV13" s="301">
        <f t="shared" si="45"/>
        <v>0</v>
      </c>
      <c r="GZ13" s="301">
        <f t="shared" si="46"/>
        <v>0</v>
      </c>
      <c r="HA13" s="328"/>
      <c r="HB13" s="339"/>
      <c r="HC13" s="343"/>
      <c r="HD13" s="343"/>
      <c r="HE13" s="339"/>
      <c r="HF13" s="339"/>
      <c r="HG13" s="339"/>
      <c r="HH13" s="339"/>
      <c r="HI13" s="339"/>
      <c r="HJ13" s="339"/>
      <c r="HK13" s="339"/>
      <c r="HL13" s="339"/>
      <c r="HM13" s="340"/>
      <c r="HN13" s="286"/>
      <c r="HO13" s="286"/>
      <c r="HP13" s="286"/>
      <c r="HQ13" s="286"/>
      <c r="HR13" s="286"/>
      <c r="HS13" s="306"/>
      <c r="HT13" s="306"/>
      <c r="HU13" s="306"/>
      <c r="HV13" s="306"/>
      <c r="HW13" s="286"/>
      <c r="HX13" s="286"/>
      <c r="HY13" s="286"/>
      <c r="HZ13" s="286"/>
      <c r="IA13" s="286"/>
      <c r="IB13" s="286"/>
      <c r="IC13" s="286"/>
      <c r="ID13" s="286"/>
      <c r="IE13" s="286"/>
      <c r="IF13" s="286"/>
      <c r="IG13" s="286"/>
      <c r="IH13" s="286"/>
      <c r="II13" s="286"/>
      <c r="IJ13" s="286"/>
      <c r="IK13" s="286"/>
      <c r="IL13" s="286"/>
      <c r="IM13" s="286"/>
      <c r="IN13" s="286"/>
      <c r="IO13" s="286"/>
      <c r="IP13" s="286"/>
      <c r="IQ13" s="286"/>
      <c r="IR13" s="286"/>
      <c r="IS13" s="286"/>
      <c r="IT13" s="286"/>
      <c r="IU13" s="286"/>
      <c r="IV13" s="286"/>
    </row>
    <row r="14" spans="1:256" s="338" customFormat="1" ht="13.5" hidden="1" customHeight="1">
      <c r="A14" s="909"/>
      <c r="B14" s="341"/>
      <c r="C14" s="342" t="s">
        <v>188</v>
      </c>
      <c r="D14" s="337" t="s">
        <v>162</v>
      </c>
      <c r="E14" s="299">
        <f t="shared" si="51"/>
        <v>298.01598000000001</v>
      </c>
      <c r="F14" s="299">
        <f t="shared" si="51"/>
        <v>630.74908550000009</v>
      </c>
      <c r="G14" s="299">
        <f t="shared" si="51"/>
        <v>630.74908550000009</v>
      </c>
      <c r="H14" s="299">
        <f t="shared" si="51"/>
        <v>0</v>
      </c>
      <c r="L14" s="300">
        <f t="shared" si="25"/>
        <v>0</v>
      </c>
      <c r="P14" s="301">
        <f t="shared" si="26"/>
        <v>0</v>
      </c>
      <c r="Q14" s="338">
        <f>'[1]ОАО ДК Засвияжье 1'!K227/1000</f>
        <v>45.140269999999994</v>
      </c>
      <c r="R14" s="338">
        <f>'[1]ОАО ДК Засвияжье 1'!L227/1000</f>
        <v>96.14877509999998</v>
      </c>
      <c r="S14" s="338">
        <f>'[1]ОАО ДК Засвияжье 1'!M227/1000</f>
        <v>96.14877509999998</v>
      </c>
      <c r="T14" s="301">
        <f t="shared" si="27"/>
        <v>0</v>
      </c>
      <c r="X14" s="301">
        <f t="shared" si="28"/>
        <v>0</v>
      </c>
      <c r="AB14" s="301">
        <f t="shared" si="29"/>
        <v>0</v>
      </c>
      <c r="AF14" s="300">
        <f t="shared" si="30"/>
        <v>0</v>
      </c>
      <c r="AJ14" s="300">
        <f t="shared" si="31"/>
        <v>0</v>
      </c>
      <c r="AN14" s="301">
        <f t="shared" si="32"/>
        <v>0</v>
      </c>
      <c r="AO14" s="338">
        <f>'[1]ЗАО ГК Аметист'!K320/1000</f>
        <v>11.499049999999999</v>
      </c>
      <c r="AP14" s="338">
        <f>'[1]ЗАО ГК Аметист'!L320/1000</f>
        <v>27.597719999999999</v>
      </c>
      <c r="AQ14" s="338">
        <f>'[1]ЗАО ГК Аметист'!M320/1000</f>
        <v>27.597719999999999</v>
      </c>
      <c r="AR14" s="300">
        <f t="shared" si="33"/>
        <v>0</v>
      </c>
      <c r="AS14" s="338">
        <f>'[1]Фундамент СК ООО'!K136/1000</f>
        <v>223.47478000000001</v>
      </c>
      <c r="AT14" s="338">
        <f>'[1]Фундамент СК ООО'!L136/1000</f>
        <v>466.11399380000006</v>
      </c>
      <c r="AU14" s="338">
        <f>'[1]Фундамент СК ООО'!M136/1000</f>
        <v>466.11399380000006</v>
      </c>
      <c r="AV14" s="301">
        <f t="shared" si="34"/>
        <v>0</v>
      </c>
      <c r="AZ14" s="301">
        <f t="shared" si="35"/>
        <v>0</v>
      </c>
      <c r="BD14" s="301">
        <f t="shared" si="36"/>
        <v>0</v>
      </c>
      <c r="BH14" s="301">
        <f t="shared" si="37"/>
        <v>0</v>
      </c>
      <c r="BL14" s="301">
        <f t="shared" si="38"/>
        <v>0</v>
      </c>
      <c r="BP14" s="301">
        <f t="shared" si="52"/>
        <v>0</v>
      </c>
      <c r="BQ14" s="338">
        <f>'[1]ОАО ДК Засвияжье 2'!K242/1000</f>
        <v>9.9175900000000006</v>
      </c>
      <c r="BR14" s="338">
        <f>'[1]ОАО ДК Засвияжье 2'!L242/1000</f>
        <v>23.802216000000001</v>
      </c>
      <c r="BS14" s="338">
        <f>'[1]ОАО ДК Засвияжье 2'!M242/1000</f>
        <v>23.802216000000001</v>
      </c>
      <c r="BT14" s="301">
        <f t="shared" si="39"/>
        <v>0</v>
      </c>
      <c r="BX14" s="301">
        <f t="shared" si="40"/>
        <v>0</v>
      </c>
      <c r="CB14" s="301">
        <f t="shared" si="41"/>
        <v>0</v>
      </c>
      <c r="CF14" s="300">
        <f t="shared" si="49"/>
        <v>0</v>
      </c>
      <c r="CJ14" s="301">
        <f t="shared" si="0"/>
        <v>0</v>
      </c>
      <c r="CN14" s="301">
        <f t="shared" si="1"/>
        <v>0</v>
      </c>
      <c r="CR14" s="301">
        <f t="shared" si="2"/>
        <v>0</v>
      </c>
      <c r="CV14" s="301">
        <f t="shared" si="3"/>
        <v>0</v>
      </c>
      <c r="CZ14" s="301">
        <f t="shared" si="4"/>
        <v>0</v>
      </c>
      <c r="DD14" s="300">
        <f t="shared" si="5"/>
        <v>0</v>
      </c>
      <c r="DH14" s="301">
        <f t="shared" si="6"/>
        <v>0</v>
      </c>
      <c r="DL14" s="301">
        <f t="shared" si="50"/>
        <v>0</v>
      </c>
      <c r="DP14" s="301">
        <f t="shared" si="7"/>
        <v>0</v>
      </c>
      <c r="DT14" s="300">
        <f t="shared" si="8"/>
        <v>0</v>
      </c>
      <c r="DX14" s="301">
        <f t="shared" si="9"/>
        <v>0</v>
      </c>
      <c r="EB14" s="301">
        <f t="shared" si="10"/>
        <v>0</v>
      </c>
      <c r="EF14" s="301">
        <f t="shared" si="11"/>
        <v>0</v>
      </c>
      <c r="EG14" s="338">
        <f>'[1]ООО ЦЭТ'!K316/1000</f>
        <v>7.9842899999999997</v>
      </c>
      <c r="EH14" s="338">
        <f>'[1]ООО ЦЭТ'!L316/1000</f>
        <v>17.086380600000002</v>
      </c>
      <c r="EI14" s="338">
        <f>'[1]ООО ЦЭТ'!M316/1000</f>
        <v>17.086380600000002</v>
      </c>
      <c r="EJ14" s="301">
        <f t="shared" si="12"/>
        <v>0</v>
      </c>
      <c r="EN14" s="301">
        <f t="shared" si="13"/>
        <v>0</v>
      </c>
      <c r="ER14" s="300">
        <f t="shared" si="14"/>
        <v>0</v>
      </c>
      <c r="EV14" s="300">
        <f t="shared" si="15"/>
        <v>0</v>
      </c>
      <c r="EZ14" s="301">
        <f t="shared" si="16"/>
        <v>0</v>
      </c>
      <c r="FD14" s="301">
        <f t="shared" si="17"/>
        <v>0</v>
      </c>
      <c r="FH14" s="300">
        <f t="shared" si="18"/>
        <v>0</v>
      </c>
      <c r="FL14" s="301">
        <f t="shared" si="19"/>
        <v>0</v>
      </c>
      <c r="FP14" s="301">
        <f t="shared" si="20"/>
        <v>0</v>
      </c>
      <c r="FT14" s="301">
        <f t="shared" si="21"/>
        <v>0</v>
      </c>
      <c r="FX14" s="301">
        <f t="shared" si="22"/>
        <v>0</v>
      </c>
      <c r="GB14" s="301">
        <f t="shared" si="23"/>
        <v>0</v>
      </c>
      <c r="GF14" s="301">
        <f t="shared" si="24"/>
        <v>0</v>
      </c>
      <c r="GJ14" s="301">
        <f t="shared" si="42"/>
        <v>0</v>
      </c>
      <c r="GN14" s="301">
        <f t="shared" si="43"/>
        <v>0</v>
      </c>
      <c r="GR14" s="301">
        <f t="shared" si="44"/>
        <v>0</v>
      </c>
      <c r="GV14" s="301">
        <f t="shared" si="45"/>
        <v>0</v>
      </c>
      <c r="GZ14" s="301">
        <f t="shared" si="46"/>
        <v>0</v>
      </c>
      <c r="HA14" s="328"/>
      <c r="HB14" s="339"/>
      <c r="HC14" s="343"/>
      <c r="HD14" s="343"/>
      <c r="HE14" s="344"/>
      <c r="HF14" s="339"/>
      <c r="HG14" s="339"/>
      <c r="HH14" s="339"/>
      <c r="HI14" s="339"/>
      <c r="HJ14" s="339"/>
      <c r="HK14" s="339"/>
      <c r="HL14" s="339"/>
      <c r="HM14" s="340"/>
      <c r="HN14" s="286"/>
      <c r="HO14" s="286"/>
      <c r="HP14" s="286"/>
      <c r="HQ14" s="286"/>
      <c r="HR14" s="286"/>
      <c r="HS14" s="306"/>
      <c r="HT14" s="306"/>
      <c r="HU14" s="306"/>
      <c r="HV14" s="306"/>
      <c r="HW14" s="286"/>
      <c r="HX14" s="286"/>
      <c r="HY14" s="286"/>
      <c r="HZ14" s="286"/>
      <c r="IA14" s="286"/>
      <c r="IB14" s="286"/>
      <c r="IC14" s="286"/>
      <c r="ID14" s="286"/>
      <c r="IE14" s="286"/>
      <c r="IF14" s="286"/>
      <c r="IG14" s="286"/>
      <c r="IH14" s="286"/>
      <c r="II14" s="286"/>
      <c r="IJ14" s="286"/>
      <c r="IK14" s="286"/>
      <c r="IL14" s="286"/>
      <c r="IM14" s="286"/>
      <c r="IN14" s="286"/>
      <c r="IO14" s="286"/>
      <c r="IP14" s="286"/>
      <c r="IQ14" s="286"/>
      <c r="IR14" s="286"/>
      <c r="IS14" s="286"/>
      <c r="IT14" s="286"/>
      <c r="IU14" s="286"/>
      <c r="IV14" s="286"/>
    </row>
    <row r="15" spans="1:256" s="338" customFormat="1" ht="13.5" hidden="1" customHeight="1">
      <c r="A15" s="909"/>
      <c r="B15" s="341"/>
      <c r="C15" s="342" t="s">
        <v>189</v>
      </c>
      <c r="D15" s="337" t="s">
        <v>162</v>
      </c>
      <c r="E15" s="299">
        <f t="shared" si="51"/>
        <v>244.21922000000001</v>
      </c>
      <c r="F15" s="299">
        <f t="shared" si="51"/>
        <v>569.76007890000005</v>
      </c>
      <c r="G15" s="299">
        <f t="shared" si="51"/>
        <v>569.76007890000005</v>
      </c>
      <c r="H15" s="299">
        <f t="shared" si="51"/>
        <v>0</v>
      </c>
      <c r="L15" s="300">
        <f t="shared" si="25"/>
        <v>0</v>
      </c>
      <c r="P15" s="301">
        <f t="shared" si="26"/>
        <v>0</v>
      </c>
      <c r="T15" s="301">
        <f t="shared" si="27"/>
        <v>0</v>
      </c>
      <c r="X15" s="301">
        <f t="shared" si="28"/>
        <v>0</v>
      </c>
      <c r="AB15" s="301">
        <f t="shared" si="29"/>
        <v>0</v>
      </c>
      <c r="AC15" s="338">
        <f>[1]МегаЛинк!K117/1000</f>
        <v>244.21922000000001</v>
      </c>
      <c r="AD15" s="338">
        <f>[1]МегаЛинк!L117/1000</f>
        <v>569.76007890000005</v>
      </c>
      <c r="AE15" s="338">
        <f>[1]МегаЛинк!M117/1000</f>
        <v>569.76007890000005</v>
      </c>
      <c r="AF15" s="300">
        <f t="shared" si="30"/>
        <v>0</v>
      </c>
      <c r="AJ15" s="300">
        <f t="shared" si="31"/>
        <v>0</v>
      </c>
      <c r="AN15" s="301">
        <f t="shared" si="32"/>
        <v>0</v>
      </c>
      <c r="AR15" s="300">
        <f t="shared" si="33"/>
        <v>0</v>
      </c>
      <c r="AV15" s="301">
        <f t="shared" si="34"/>
        <v>0</v>
      </c>
      <c r="AZ15" s="301">
        <f t="shared" si="35"/>
        <v>0</v>
      </c>
      <c r="BD15" s="301">
        <f t="shared" si="36"/>
        <v>0</v>
      </c>
      <c r="BH15" s="301">
        <f t="shared" si="37"/>
        <v>0</v>
      </c>
      <c r="BL15" s="301">
        <f t="shared" si="38"/>
        <v>0</v>
      </c>
      <c r="BP15" s="301">
        <f t="shared" si="52"/>
        <v>0</v>
      </c>
      <c r="BT15" s="301">
        <f t="shared" si="39"/>
        <v>0</v>
      </c>
      <c r="BX15" s="301">
        <f t="shared" si="40"/>
        <v>0</v>
      </c>
      <c r="CB15" s="301">
        <f t="shared" si="41"/>
        <v>0</v>
      </c>
      <c r="CF15" s="300">
        <f t="shared" si="49"/>
        <v>0</v>
      </c>
      <c r="CJ15" s="301">
        <f t="shared" si="0"/>
        <v>0</v>
      </c>
      <c r="CN15" s="301">
        <f t="shared" si="1"/>
        <v>0</v>
      </c>
      <c r="CR15" s="301">
        <f t="shared" si="2"/>
        <v>0</v>
      </c>
      <c r="CV15" s="301">
        <f t="shared" si="3"/>
        <v>0</v>
      </c>
      <c r="CZ15" s="301">
        <f t="shared" si="4"/>
        <v>0</v>
      </c>
      <c r="DD15" s="300">
        <f t="shared" si="5"/>
        <v>0</v>
      </c>
      <c r="DH15" s="301">
        <f t="shared" si="6"/>
        <v>0</v>
      </c>
      <c r="DL15" s="301">
        <f t="shared" si="50"/>
        <v>0</v>
      </c>
      <c r="DP15" s="301">
        <f t="shared" si="7"/>
        <v>0</v>
      </c>
      <c r="DT15" s="300">
        <f t="shared" si="8"/>
        <v>0</v>
      </c>
      <c r="DX15" s="301">
        <f t="shared" si="9"/>
        <v>0</v>
      </c>
      <c r="EB15" s="301">
        <f t="shared" si="10"/>
        <v>0</v>
      </c>
      <c r="EF15" s="301">
        <f t="shared" si="11"/>
        <v>0</v>
      </c>
      <c r="EJ15" s="301">
        <f t="shared" si="12"/>
        <v>0</v>
      </c>
      <c r="EN15" s="301">
        <f t="shared" si="13"/>
        <v>0</v>
      </c>
      <c r="ER15" s="300">
        <f t="shared" si="14"/>
        <v>0</v>
      </c>
      <c r="EV15" s="300">
        <f t="shared" si="15"/>
        <v>0</v>
      </c>
      <c r="EZ15" s="301">
        <f t="shared" si="16"/>
        <v>0</v>
      </c>
      <c r="FD15" s="301">
        <f t="shared" si="17"/>
        <v>0</v>
      </c>
      <c r="FH15" s="300">
        <f t="shared" si="18"/>
        <v>0</v>
      </c>
      <c r="FL15" s="301">
        <f t="shared" si="19"/>
        <v>0</v>
      </c>
      <c r="FP15" s="301">
        <f t="shared" si="20"/>
        <v>0</v>
      </c>
      <c r="FT15" s="301">
        <f t="shared" si="21"/>
        <v>0</v>
      </c>
      <c r="FX15" s="301">
        <f t="shared" si="22"/>
        <v>0</v>
      </c>
      <c r="GB15" s="301">
        <f t="shared" si="23"/>
        <v>0</v>
      </c>
      <c r="GF15" s="301">
        <f t="shared" si="24"/>
        <v>0</v>
      </c>
      <c r="GJ15" s="301">
        <f t="shared" si="42"/>
        <v>0</v>
      </c>
      <c r="GN15" s="301">
        <f t="shared" si="43"/>
        <v>0</v>
      </c>
      <c r="GR15" s="301">
        <f t="shared" si="44"/>
        <v>0</v>
      </c>
      <c r="GV15" s="301">
        <f t="shared" si="45"/>
        <v>0</v>
      </c>
      <c r="GZ15" s="301">
        <f t="shared" si="46"/>
        <v>0</v>
      </c>
      <c r="HA15" s="328"/>
      <c r="HB15" s="339"/>
      <c r="HC15" s="343"/>
      <c r="HD15" s="343"/>
      <c r="HE15" s="344"/>
      <c r="HF15" s="339"/>
      <c r="HG15" s="339"/>
      <c r="HH15" s="339"/>
      <c r="HI15" s="339"/>
      <c r="HJ15" s="339"/>
      <c r="HK15" s="339"/>
      <c r="HL15" s="339"/>
      <c r="HM15" s="340"/>
      <c r="HN15" s="286"/>
      <c r="HO15" s="286"/>
      <c r="HP15" s="286"/>
      <c r="HQ15" s="286"/>
      <c r="HR15" s="286"/>
      <c r="HS15" s="306"/>
      <c r="HT15" s="306"/>
      <c r="HU15" s="306"/>
      <c r="HV15" s="306"/>
      <c r="HW15" s="286"/>
      <c r="HX15" s="286"/>
      <c r="HY15" s="286"/>
      <c r="HZ15" s="286"/>
      <c r="IA15" s="286"/>
      <c r="IB15" s="286"/>
      <c r="IC15" s="286"/>
      <c r="ID15" s="286"/>
      <c r="IE15" s="286"/>
      <c r="IF15" s="286"/>
      <c r="IG15" s="286"/>
      <c r="IH15" s="286"/>
      <c r="II15" s="286"/>
      <c r="IJ15" s="286"/>
      <c r="IK15" s="286"/>
      <c r="IL15" s="286"/>
      <c r="IM15" s="286"/>
      <c r="IN15" s="286"/>
      <c r="IO15" s="286"/>
      <c r="IP15" s="286"/>
      <c r="IQ15" s="286"/>
      <c r="IR15" s="286"/>
      <c r="IS15" s="286"/>
      <c r="IT15" s="286"/>
      <c r="IU15" s="286"/>
      <c r="IV15" s="286"/>
    </row>
    <row r="16" spans="1:256" s="338" customFormat="1" ht="13.5" hidden="1" customHeight="1">
      <c r="A16" s="909"/>
      <c r="B16" s="341"/>
      <c r="C16" s="342" t="s">
        <v>190</v>
      </c>
      <c r="D16" s="337" t="s">
        <v>162</v>
      </c>
      <c r="E16" s="299">
        <f t="shared" si="51"/>
        <v>471.10838999999999</v>
      </c>
      <c r="F16" s="299">
        <f t="shared" si="51"/>
        <v>1163.985201</v>
      </c>
      <c r="G16" s="299">
        <f t="shared" si="51"/>
        <v>1163.985201</v>
      </c>
      <c r="H16" s="299">
        <f t="shared" si="51"/>
        <v>0</v>
      </c>
      <c r="I16" s="338">
        <f>'[1]ГК РЭС'!K73/1000</f>
        <v>49.756989999999995</v>
      </c>
      <c r="J16" s="338">
        <f>'[1]ГК РЭС'!L73/1000</f>
        <v>124.39247499999999</v>
      </c>
      <c r="K16" s="338">
        <f>'[1]ГК РЭС'!M73/1000</f>
        <v>124.39247499999999</v>
      </c>
      <c r="L16" s="300">
        <f t="shared" si="25"/>
        <v>0</v>
      </c>
      <c r="P16" s="301">
        <f t="shared" si="26"/>
        <v>0</v>
      </c>
      <c r="T16" s="301">
        <f t="shared" si="27"/>
        <v>0</v>
      </c>
      <c r="X16" s="301">
        <f t="shared" si="28"/>
        <v>0</v>
      </c>
      <c r="AB16" s="301">
        <f t="shared" si="29"/>
        <v>0</v>
      </c>
      <c r="AF16" s="300">
        <f t="shared" si="30"/>
        <v>0</v>
      </c>
      <c r="AJ16" s="300">
        <f t="shared" si="31"/>
        <v>0</v>
      </c>
      <c r="AK16" s="338">
        <f>('[1]ООО РЭС'!K123+'[1]ООО РЭС'!K125)/1000</f>
        <v>421.35140000000001</v>
      </c>
      <c r="AL16" s="338">
        <f>('[1]ООО РЭС'!L123+'[1]ООО РЭС'!L125)/1000</f>
        <v>1039.5927260000001</v>
      </c>
      <c r="AM16" s="338">
        <f>('[1]ООО РЭС'!M123+'[1]ООО РЭС'!M125)/1000</f>
        <v>1039.5927260000001</v>
      </c>
      <c r="AN16" s="301">
        <f t="shared" si="32"/>
        <v>0</v>
      </c>
      <c r="AR16" s="300">
        <f t="shared" si="33"/>
        <v>0</v>
      </c>
      <c r="AV16" s="301">
        <f t="shared" si="34"/>
        <v>0</v>
      </c>
      <c r="AZ16" s="301">
        <f t="shared" si="35"/>
        <v>0</v>
      </c>
      <c r="BD16" s="301">
        <f t="shared" si="36"/>
        <v>0</v>
      </c>
      <c r="BH16" s="301">
        <f t="shared" si="37"/>
        <v>0</v>
      </c>
      <c r="BL16" s="301">
        <f t="shared" si="38"/>
        <v>0</v>
      </c>
      <c r="BP16" s="301">
        <f t="shared" si="52"/>
        <v>0</v>
      </c>
      <c r="BT16" s="301">
        <f t="shared" si="39"/>
        <v>0</v>
      </c>
      <c r="BX16" s="301">
        <f t="shared" si="40"/>
        <v>0</v>
      </c>
      <c r="CB16" s="301">
        <f t="shared" si="41"/>
        <v>0</v>
      </c>
      <c r="CF16" s="300">
        <f t="shared" si="49"/>
        <v>0</v>
      </c>
      <c r="CJ16" s="301">
        <f t="shared" si="0"/>
        <v>0</v>
      </c>
      <c r="CN16" s="301">
        <f t="shared" si="1"/>
        <v>0</v>
      </c>
      <c r="CR16" s="301">
        <f t="shared" si="2"/>
        <v>0</v>
      </c>
      <c r="CV16" s="301">
        <f t="shared" si="3"/>
        <v>0</v>
      </c>
      <c r="CZ16" s="301">
        <f t="shared" si="4"/>
        <v>0</v>
      </c>
      <c r="DD16" s="300">
        <f t="shared" si="5"/>
        <v>0</v>
      </c>
      <c r="DH16" s="301">
        <f t="shared" si="6"/>
        <v>0</v>
      </c>
      <c r="DL16" s="301">
        <f t="shared" si="50"/>
        <v>0</v>
      </c>
      <c r="DP16" s="301">
        <f t="shared" si="7"/>
        <v>0</v>
      </c>
      <c r="DT16" s="300">
        <f t="shared" si="8"/>
        <v>0</v>
      </c>
      <c r="DX16" s="301">
        <f t="shared" si="9"/>
        <v>0</v>
      </c>
      <c r="EB16" s="301">
        <f t="shared" si="10"/>
        <v>0</v>
      </c>
      <c r="EF16" s="301">
        <f t="shared" si="11"/>
        <v>0</v>
      </c>
      <c r="EJ16" s="301">
        <f t="shared" si="12"/>
        <v>0</v>
      </c>
      <c r="EN16" s="301">
        <f t="shared" si="13"/>
        <v>0</v>
      </c>
      <c r="ER16" s="300">
        <f t="shared" si="14"/>
        <v>0</v>
      </c>
      <c r="EV16" s="300">
        <f t="shared" si="15"/>
        <v>0</v>
      </c>
      <c r="EZ16" s="301">
        <f t="shared" si="16"/>
        <v>0</v>
      </c>
      <c r="FD16" s="301">
        <f t="shared" si="17"/>
        <v>0</v>
      </c>
      <c r="FH16" s="300">
        <f t="shared" si="18"/>
        <v>0</v>
      </c>
      <c r="FL16" s="301">
        <f t="shared" si="19"/>
        <v>0</v>
      </c>
      <c r="FP16" s="301">
        <f t="shared" si="20"/>
        <v>0</v>
      </c>
      <c r="FT16" s="301">
        <f t="shared" si="21"/>
        <v>0</v>
      </c>
      <c r="FX16" s="301">
        <f t="shared" si="22"/>
        <v>0</v>
      </c>
      <c r="GB16" s="301">
        <f t="shared" si="23"/>
        <v>0</v>
      </c>
      <c r="GF16" s="301">
        <f t="shared" si="24"/>
        <v>0</v>
      </c>
      <c r="GJ16" s="301">
        <f t="shared" si="42"/>
        <v>0</v>
      </c>
      <c r="GN16" s="301">
        <f t="shared" si="43"/>
        <v>0</v>
      </c>
      <c r="GR16" s="301">
        <f t="shared" si="44"/>
        <v>0</v>
      </c>
      <c r="GV16" s="301">
        <f t="shared" si="45"/>
        <v>0</v>
      </c>
      <c r="GZ16" s="301">
        <f t="shared" si="46"/>
        <v>0</v>
      </c>
      <c r="HA16" s="328"/>
      <c r="HB16" s="339"/>
      <c r="HC16" s="343"/>
      <c r="HD16" s="343"/>
      <c r="HE16" s="339"/>
      <c r="HF16" s="339"/>
      <c r="HG16" s="344"/>
      <c r="HH16" s="339"/>
      <c r="HI16" s="339"/>
      <c r="HJ16" s="339"/>
      <c r="HK16" s="339"/>
      <c r="HL16" s="339"/>
      <c r="HM16" s="340"/>
      <c r="HN16" s="286"/>
      <c r="HO16" s="286"/>
      <c r="HP16" s="286"/>
      <c r="HQ16" s="286"/>
      <c r="HR16" s="286"/>
      <c r="HS16" s="306"/>
      <c r="HT16" s="306"/>
      <c r="HU16" s="306"/>
      <c r="HV16" s="306"/>
      <c r="HW16" s="286"/>
      <c r="HX16" s="286"/>
      <c r="HY16" s="286"/>
      <c r="HZ16" s="286"/>
      <c r="IA16" s="286"/>
      <c r="IB16" s="286"/>
      <c r="IC16" s="286"/>
      <c r="ID16" s="286"/>
      <c r="IE16" s="286"/>
      <c r="IF16" s="286"/>
      <c r="IG16" s="286"/>
      <c r="IH16" s="286"/>
      <c r="II16" s="286"/>
      <c r="IJ16" s="286"/>
      <c r="IK16" s="286"/>
      <c r="IL16" s="286"/>
      <c r="IM16" s="286"/>
      <c r="IN16" s="286"/>
      <c r="IO16" s="286"/>
      <c r="IP16" s="286"/>
      <c r="IQ16" s="286"/>
      <c r="IR16" s="286"/>
      <c r="IS16" s="286"/>
      <c r="IT16" s="286"/>
      <c r="IU16" s="286"/>
      <c r="IV16" s="286"/>
    </row>
    <row r="17" spans="1:256" s="338" customFormat="1" ht="13.5" hidden="1" customHeight="1">
      <c r="A17" s="909"/>
      <c r="B17" s="341"/>
      <c r="C17" s="342" t="s">
        <v>191</v>
      </c>
      <c r="D17" s="337" t="s">
        <v>162</v>
      </c>
      <c r="E17" s="299">
        <f t="shared" si="51"/>
        <v>22.186580000000003</v>
      </c>
      <c r="F17" s="299">
        <f t="shared" si="51"/>
        <v>46.591818000000004</v>
      </c>
      <c r="G17" s="299">
        <f t="shared" si="51"/>
        <v>46.591818000000004</v>
      </c>
      <c r="H17" s="299">
        <f t="shared" si="51"/>
        <v>0</v>
      </c>
      <c r="L17" s="300">
        <f t="shared" si="25"/>
        <v>0</v>
      </c>
      <c r="P17" s="301">
        <f t="shared" si="26"/>
        <v>0</v>
      </c>
      <c r="T17" s="301">
        <f t="shared" si="27"/>
        <v>0</v>
      </c>
      <c r="X17" s="301">
        <f t="shared" si="28"/>
        <v>0</v>
      </c>
      <c r="AB17" s="301">
        <f t="shared" si="29"/>
        <v>0</v>
      </c>
      <c r="AF17" s="300">
        <f t="shared" si="30"/>
        <v>0</v>
      </c>
      <c r="AJ17" s="300">
        <f t="shared" si="31"/>
        <v>0</v>
      </c>
      <c r="AN17" s="301">
        <f t="shared" si="32"/>
        <v>0</v>
      </c>
      <c r="AR17" s="300">
        <f t="shared" si="33"/>
        <v>0</v>
      </c>
      <c r="AV17" s="301">
        <f t="shared" si="34"/>
        <v>0</v>
      </c>
      <c r="AZ17" s="301">
        <f t="shared" si="35"/>
        <v>0</v>
      </c>
      <c r="BD17" s="301">
        <f t="shared" si="36"/>
        <v>0</v>
      </c>
      <c r="BH17" s="301">
        <f t="shared" si="37"/>
        <v>0</v>
      </c>
      <c r="BL17" s="301">
        <f t="shared" si="38"/>
        <v>0</v>
      </c>
      <c r="BP17" s="301">
        <f t="shared" si="52"/>
        <v>0</v>
      </c>
      <c r="BT17" s="301">
        <f t="shared" si="39"/>
        <v>0</v>
      </c>
      <c r="BX17" s="301">
        <f t="shared" si="40"/>
        <v>0</v>
      </c>
      <c r="CB17" s="301">
        <f t="shared" si="41"/>
        <v>0</v>
      </c>
      <c r="CF17" s="300">
        <f t="shared" si="49"/>
        <v>0</v>
      </c>
      <c r="CJ17" s="301">
        <f t="shared" si="0"/>
        <v>0</v>
      </c>
      <c r="CN17" s="301">
        <f t="shared" si="1"/>
        <v>0</v>
      </c>
      <c r="CR17" s="301">
        <f t="shared" si="2"/>
        <v>0</v>
      </c>
      <c r="CV17" s="301">
        <f t="shared" si="3"/>
        <v>0</v>
      </c>
      <c r="CZ17" s="301">
        <f t="shared" si="4"/>
        <v>0</v>
      </c>
      <c r="DD17" s="300">
        <f t="shared" si="5"/>
        <v>0</v>
      </c>
      <c r="DH17" s="301">
        <f t="shared" si="6"/>
        <v>0</v>
      </c>
      <c r="DI17" s="338">
        <f>'[1]ООО УК Инвестстрой М'!K61/1000</f>
        <v>22.186580000000003</v>
      </c>
      <c r="DJ17" s="338">
        <f>'[1]ООО УК Инвестстрой М'!L61/1000</f>
        <v>46.591818000000004</v>
      </c>
      <c r="DK17" s="338">
        <f>'[1]ООО УК Инвестстрой М'!M61/1000</f>
        <v>46.591818000000004</v>
      </c>
      <c r="DL17" s="301">
        <f t="shared" si="50"/>
        <v>0</v>
      </c>
      <c r="DP17" s="301">
        <f t="shared" si="7"/>
        <v>0</v>
      </c>
      <c r="DT17" s="300">
        <f t="shared" si="8"/>
        <v>0</v>
      </c>
      <c r="DX17" s="301">
        <f t="shared" si="9"/>
        <v>0</v>
      </c>
      <c r="EB17" s="301">
        <f t="shared" si="10"/>
        <v>0</v>
      </c>
      <c r="EF17" s="301">
        <f t="shared" si="11"/>
        <v>0</v>
      </c>
      <c r="EJ17" s="301">
        <f t="shared" si="12"/>
        <v>0</v>
      </c>
      <c r="EN17" s="301">
        <f t="shared" si="13"/>
        <v>0</v>
      </c>
      <c r="ER17" s="300">
        <f t="shared" si="14"/>
        <v>0</v>
      </c>
      <c r="EV17" s="300">
        <f t="shared" si="15"/>
        <v>0</v>
      </c>
      <c r="EZ17" s="301">
        <f t="shared" si="16"/>
        <v>0</v>
      </c>
      <c r="FD17" s="301">
        <f t="shared" si="17"/>
        <v>0</v>
      </c>
      <c r="FH17" s="300">
        <f t="shared" si="18"/>
        <v>0</v>
      </c>
      <c r="FL17" s="301">
        <f t="shared" si="19"/>
        <v>0</v>
      </c>
      <c r="FP17" s="301">
        <f t="shared" si="20"/>
        <v>0</v>
      </c>
      <c r="FT17" s="301">
        <f t="shared" si="21"/>
        <v>0</v>
      </c>
      <c r="FX17" s="301">
        <f t="shared" si="22"/>
        <v>0</v>
      </c>
      <c r="GB17" s="301">
        <f t="shared" si="23"/>
        <v>0</v>
      </c>
      <c r="GF17" s="301">
        <f t="shared" si="24"/>
        <v>0</v>
      </c>
      <c r="GJ17" s="301">
        <f t="shared" si="42"/>
        <v>0</v>
      </c>
      <c r="GN17" s="301">
        <f t="shared" si="43"/>
        <v>0</v>
      </c>
      <c r="GR17" s="301">
        <f t="shared" si="44"/>
        <v>0</v>
      </c>
      <c r="GV17" s="301">
        <f t="shared" si="45"/>
        <v>0</v>
      </c>
      <c r="GZ17" s="301">
        <f t="shared" si="46"/>
        <v>0</v>
      </c>
      <c r="HA17" s="328"/>
      <c r="HB17" s="339"/>
      <c r="HC17" s="343"/>
      <c r="HD17" s="343"/>
      <c r="HE17" s="339"/>
      <c r="HF17" s="339"/>
      <c r="HG17" s="344"/>
      <c r="HH17" s="339"/>
      <c r="HI17" s="339"/>
      <c r="HJ17" s="339"/>
      <c r="HK17" s="339"/>
      <c r="HL17" s="339"/>
      <c r="HM17" s="340"/>
      <c r="HN17" s="286"/>
      <c r="HO17" s="286"/>
      <c r="HP17" s="286"/>
      <c r="HQ17" s="286"/>
      <c r="HR17" s="286"/>
      <c r="HS17" s="306"/>
      <c r="HT17" s="306"/>
      <c r="HU17" s="306"/>
      <c r="HV17" s="306"/>
      <c r="HW17" s="286"/>
      <c r="HX17" s="286"/>
      <c r="HY17" s="286"/>
      <c r="HZ17" s="286"/>
      <c r="IA17" s="286"/>
      <c r="IB17" s="286"/>
      <c r="IC17" s="286"/>
      <c r="ID17" s="286"/>
      <c r="IE17" s="286"/>
      <c r="IF17" s="286"/>
      <c r="IG17" s="286"/>
      <c r="IH17" s="286"/>
      <c r="II17" s="286"/>
      <c r="IJ17" s="286"/>
      <c r="IK17" s="286"/>
      <c r="IL17" s="286"/>
      <c r="IM17" s="286"/>
      <c r="IN17" s="286"/>
      <c r="IO17" s="286"/>
      <c r="IP17" s="286"/>
      <c r="IQ17" s="286"/>
      <c r="IR17" s="286"/>
      <c r="IS17" s="286"/>
      <c r="IT17" s="286"/>
      <c r="IU17" s="286"/>
      <c r="IV17" s="286"/>
    </row>
    <row r="18" spans="1:256" s="338" customFormat="1" ht="13.5" hidden="1" customHeight="1">
      <c r="A18" s="909"/>
      <c r="B18" s="341"/>
      <c r="C18" s="342" t="s">
        <v>192</v>
      </c>
      <c r="D18" s="337" t="s">
        <v>162</v>
      </c>
      <c r="E18" s="299">
        <f t="shared" si="51"/>
        <v>870.99280999999996</v>
      </c>
      <c r="F18" s="299">
        <f t="shared" si="51"/>
        <v>2090.3827439999995</v>
      </c>
      <c r="G18" s="299">
        <f t="shared" si="51"/>
        <v>2090.3827439999995</v>
      </c>
      <c r="H18" s="299">
        <f t="shared" si="51"/>
        <v>0</v>
      </c>
      <c r="L18" s="300">
        <f t="shared" si="25"/>
        <v>0</v>
      </c>
      <c r="P18" s="301">
        <f t="shared" si="26"/>
        <v>0</v>
      </c>
      <c r="T18" s="301">
        <f t="shared" si="27"/>
        <v>0</v>
      </c>
      <c r="X18" s="301">
        <f t="shared" si="28"/>
        <v>0</v>
      </c>
      <c r="AB18" s="301">
        <f t="shared" si="29"/>
        <v>0</v>
      </c>
      <c r="AF18" s="300">
        <f t="shared" si="30"/>
        <v>0</v>
      </c>
      <c r="AJ18" s="300">
        <f t="shared" si="31"/>
        <v>0</v>
      </c>
      <c r="AN18" s="301">
        <f t="shared" si="32"/>
        <v>0</v>
      </c>
      <c r="AO18" s="338">
        <f>'[1]ЗАО ГК Аметист'!K324/1000</f>
        <v>870.99280999999996</v>
      </c>
      <c r="AP18" s="338">
        <f>'[1]ЗАО ГК Аметист'!L324/1000</f>
        <v>2090.3827439999995</v>
      </c>
      <c r="AQ18" s="338">
        <f>'[1]ЗАО ГК Аметист'!M324/1000</f>
        <v>2090.3827439999995</v>
      </c>
      <c r="AR18" s="300">
        <f t="shared" si="33"/>
        <v>0</v>
      </c>
      <c r="AV18" s="301">
        <f t="shared" si="34"/>
        <v>0</v>
      </c>
      <c r="AZ18" s="301">
        <f t="shared" si="35"/>
        <v>0</v>
      </c>
      <c r="BD18" s="301">
        <f t="shared" si="36"/>
        <v>0</v>
      </c>
      <c r="BH18" s="301">
        <f t="shared" si="37"/>
        <v>0</v>
      </c>
      <c r="BL18" s="301">
        <f t="shared" si="38"/>
        <v>0</v>
      </c>
      <c r="BP18" s="301">
        <f t="shared" si="52"/>
        <v>0</v>
      </c>
      <c r="BT18" s="301">
        <f t="shared" si="39"/>
        <v>0</v>
      </c>
      <c r="BX18" s="301">
        <f t="shared" si="40"/>
        <v>0</v>
      </c>
      <c r="CB18" s="301">
        <f t="shared" si="41"/>
        <v>0</v>
      </c>
      <c r="CF18" s="300">
        <f t="shared" si="49"/>
        <v>0</v>
      </c>
      <c r="CJ18" s="301">
        <f t="shared" si="0"/>
        <v>0</v>
      </c>
      <c r="CN18" s="301">
        <f t="shared" si="1"/>
        <v>0</v>
      </c>
      <c r="CR18" s="301">
        <f t="shared" si="2"/>
        <v>0</v>
      </c>
      <c r="CV18" s="301">
        <f t="shared" si="3"/>
        <v>0</v>
      </c>
      <c r="CZ18" s="301">
        <f t="shared" si="4"/>
        <v>0</v>
      </c>
      <c r="DD18" s="300">
        <f t="shared" si="5"/>
        <v>0</v>
      </c>
      <c r="DH18" s="301">
        <f t="shared" si="6"/>
        <v>0</v>
      </c>
      <c r="DL18" s="301">
        <f t="shared" si="50"/>
        <v>0</v>
      </c>
      <c r="DP18" s="301">
        <f t="shared" si="7"/>
        <v>0</v>
      </c>
      <c r="DT18" s="300">
        <f t="shared" si="8"/>
        <v>0</v>
      </c>
      <c r="DX18" s="301">
        <f t="shared" si="9"/>
        <v>0</v>
      </c>
      <c r="EB18" s="301">
        <f t="shared" si="10"/>
        <v>0</v>
      </c>
      <c r="EF18" s="301">
        <f t="shared" si="11"/>
        <v>0</v>
      </c>
      <c r="EJ18" s="301">
        <f t="shared" si="12"/>
        <v>0</v>
      </c>
      <c r="EN18" s="301">
        <f t="shared" si="13"/>
        <v>0</v>
      </c>
      <c r="ER18" s="300">
        <f t="shared" si="14"/>
        <v>0</v>
      </c>
      <c r="EV18" s="300">
        <f t="shared" si="15"/>
        <v>0</v>
      </c>
      <c r="EZ18" s="301">
        <f t="shared" si="16"/>
        <v>0</v>
      </c>
      <c r="FD18" s="301">
        <f t="shared" si="17"/>
        <v>0</v>
      </c>
      <c r="FH18" s="300">
        <f t="shared" si="18"/>
        <v>0</v>
      </c>
      <c r="FL18" s="301">
        <f t="shared" si="19"/>
        <v>0</v>
      </c>
      <c r="FP18" s="301">
        <f t="shared" si="20"/>
        <v>0</v>
      </c>
      <c r="FT18" s="301">
        <f t="shared" si="21"/>
        <v>0</v>
      </c>
      <c r="FX18" s="301">
        <f t="shared" si="22"/>
        <v>0</v>
      </c>
      <c r="GB18" s="301">
        <f t="shared" si="23"/>
        <v>0</v>
      </c>
      <c r="GF18" s="301">
        <f t="shared" si="24"/>
        <v>0</v>
      </c>
      <c r="GJ18" s="301">
        <f t="shared" si="42"/>
        <v>0</v>
      </c>
      <c r="GN18" s="301">
        <f t="shared" si="43"/>
        <v>0</v>
      </c>
      <c r="GR18" s="301">
        <f t="shared" si="44"/>
        <v>0</v>
      </c>
      <c r="GV18" s="301">
        <f t="shared" si="45"/>
        <v>0</v>
      </c>
      <c r="GZ18" s="301">
        <f t="shared" si="46"/>
        <v>0</v>
      </c>
      <c r="HA18" s="328"/>
      <c r="HB18" s="339"/>
      <c r="HC18" s="343"/>
      <c r="HD18" s="343"/>
      <c r="HE18" s="339"/>
      <c r="HF18" s="339"/>
      <c r="HG18" s="344"/>
      <c r="HH18" s="339"/>
      <c r="HI18" s="339"/>
      <c r="HJ18" s="339"/>
      <c r="HK18" s="339"/>
      <c r="HL18" s="339"/>
      <c r="HM18" s="340"/>
      <c r="HN18" s="286"/>
      <c r="HO18" s="286"/>
      <c r="HP18" s="286"/>
      <c r="HQ18" s="286"/>
      <c r="HR18" s="286"/>
      <c r="HS18" s="306"/>
      <c r="HT18" s="306"/>
      <c r="HU18" s="306"/>
      <c r="HV18" s="30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  <c r="IR18" s="286"/>
      <c r="IS18" s="286"/>
      <c r="IT18" s="286"/>
      <c r="IU18" s="286"/>
      <c r="IV18" s="286"/>
    </row>
    <row r="19" spans="1:256" s="338" customFormat="1" ht="13.5" hidden="1" customHeight="1">
      <c r="A19" s="909"/>
      <c r="B19" s="345"/>
      <c r="C19" s="342" t="s">
        <v>193</v>
      </c>
      <c r="D19" s="337" t="s">
        <v>162</v>
      </c>
      <c r="E19" s="299">
        <f t="shared" si="51"/>
        <v>0</v>
      </c>
      <c r="F19" s="299">
        <f t="shared" si="51"/>
        <v>0</v>
      </c>
      <c r="G19" s="299">
        <f t="shared" si="51"/>
        <v>0</v>
      </c>
      <c r="H19" s="299">
        <f t="shared" si="51"/>
        <v>0</v>
      </c>
      <c r="L19" s="300">
        <f t="shared" si="25"/>
        <v>0</v>
      </c>
      <c r="M19" s="338">
        <f>'[1]УМУП УК ЖКХ г.Ульяновска'!K206/1000</f>
        <v>0</v>
      </c>
      <c r="N19" s="338">
        <f>'[1]УМУП УК ЖКХ г.Ульяновска'!L206/1000</f>
        <v>0</v>
      </c>
      <c r="O19" s="338">
        <f>'[1]УМУП УК ЖКХ г.Ульяновска'!M206/1000</f>
        <v>0</v>
      </c>
      <c r="P19" s="301">
        <f t="shared" si="26"/>
        <v>0</v>
      </c>
      <c r="T19" s="301">
        <f t="shared" si="27"/>
        <v>0</v>
      </c>
      <c r="X19" s="301">
        <f t="shared" si="28"/>
        <v>0</v>
      </c>
      <c r="AB19" s="301">
        <f t="shared" si="29"/>
        <v>0</v>
      </c>
      <c r="AF19" s="300">
        <f t="shared" si="30"/>
        <v>0</v>
      </c>
      <c r="AJ19" s="300">
        <f t="shared" si="31"/>
        <v>0</v>
      </c>
      <c r="AN19" s="301">
        <f t="shared" si="32"/>
        <v>0</v>
      </c>
      <c r="AR19" s="300">
        <f t="shared" si="33"/>
        <v>0</v>
      </c>
      <c r="AV19" s="301">
        <f t="shared" si="34"/>
        <v>0</v>
      </c>
      <c r="AZ19" s="301">
        <f t="shared" si="35"/>
        <v>0</v>
      </c>
      <c r="BD19" s="301">
        <f t="shared" si="36"/>
        <v>0</v>
      </c>
      <c r="BH19" s="301">
        <f t="shared" si="37"/>
        <v>0</v>
      </c>
      <c r="BL19" s="301">
        <f t="shared" si="38"/>
        <v>0</v>
      </c>
      <c r="BP19" s="301">
        <f t="shared" si="52"/>
        <v>0</v>
      </c>
      <c r="BT19" s="301">
        <f t="shared" si="39"/>
        <v>0</v>
      </c>
      <c r="BX19" s="301">
        <f t="shared" si="40"/>
        <v>0</v>
      </c>
      <c r="CB19" s="301">
        <f t="shared" si="41"/>
        <v>0</v>
      </c>
      <c r="CF19" s="300">
        <f t="shared" si="49"/>
        <v>0</v>
      </c>
      <c r="CJ19" s="301">
        <f t="shared" si="0"/>
        <v>0</v>
      </c>
      <c r="CN19" s="301">
        <f t="shared" si="1"/>
        <v>0</v>
      </c>
      <c r="CR19" s="301">
        <f t="shared" si="2"/>
        <v>0</v>
      </c>
      <c r="CV19" s="301">
        <f t="shared" si="3"/>
        <v>0</v>
      </c>
      <c r="CZ19" s="301">
        <f t="shared" si="4"/>
        <v>0</v>
      </c>
      <c r="DD19" s="300">
        <f t="shared" si="5"/>
        <v>0</v>
      </c>
      <c r="DH19" s="301">
        <f t="shared" si="6"/>
        <v>0</v>
      </c>
      <c r="DL19" s="301">
        <f t="shared" si="50"/>
        <v>0</v>
      </c>
      <c r="DP19" s="301">
        <f t="shared" si="7"/>
        <v>0</v>
      </c>
      <c r="DT19" s="300">
        <f t="shared" si="8"/>
        <v>0</v>
      </c>
      <c r="DX19" s="301">
        <f t="shared" si="9"/>
        <v>0</v>
      </c>
      <c r="EB19" s="301">
        <f t="shared" si="10"/>
        <v>0</v>
      </c>
      <c r="EF19" s="301">
        <f t="shared" si="11"/>
        <v>0</v>
      </c>
      <c r="EJ19" s="301">
        <f t="shared" si="12"/>
        <v>0</v>
      </c>
      <c r="EN19" s="301">
        <f t="shared" si="13"/>
        <v>0</v>
      </c>
      <c r="ER19" s="300">
        <f t="shared" si="14"/>
        <v>0</v>
      </c>
      <c r="EV19" s="300">
        <f t="shared" si="15"/>
        <v>0</v>
      </c>
      <c r="EZ19" s="301">
        <f t="shared" si="16"/>
        <v>0</v>
      </c>
      <c r="FD19" s="301">
        <f t="shared" si="17"/>
        <v>0</v>
      </c>
      <c r="FH19" s="300">
        <f t="shared" si="18"/>
        <v>0</v>
      </c>
      <c r="FL19" s="301">
        <f t="shared" si="19"/>
        <v>0</v>
      </c>
      <c r="FP19" s="301">
        <f t="shared" si="20"/>
        <v>0</v>
      </c>
      <c r="FT19" s="301">
        <f t="shared" si="21"/>
        <v>0</v>
      </c>
      <c r="FX19" s="301">
        <f t="shared" si="22"/>
        <v>0</v>
      </c>
      <c r="GB19" s="301">
        <f t="shared" si="23"/>
        <v>0</v>
      </c>
      <c r="GF19" s="301">
        <f t="shared" si="24"/>
        <v>0</v>
      </c>
      <c r="GJ19" s="301">
        <f t="shared" si="42"/>
        <v>0</v>
      </c>
      <c r="GN19" s="301">
        <f t="shared" si="43"/>
        <v>0</v>
      </c>
      <c r="GR19" s="301">
        <f t="shared" si="44"/>
        <v>0</v>
      </c>
      <c r="GV19" s="301">
        <f t="shared" si="45"/>
        <v>0</v>
      </c>
      <c r="GZ19" s="301">
        <f t="shared" si="46"/>
        <v>0</v>
      </c>
      <c r="HA19" s="328"/>
      <c r="HB19" s="339"/>
      <c r="HC19" s="343"/>
      <c r="HD19" s="343"/>
      <c r="HE19" s="339"/>
      <c r="HF19" s="339"/>
      <c r="HG19" s="344"/>
      <c r="HH19" s="339"/>
      <c r="HI19" s="339"/>
      <c r="HJ19" s="339"/>
      <c r="HK19" s="339"/>
      <c r="HL19" s="339"/>
      <c r="HM19" s="340"/>
      <c r="HN19" s="286"/>
      <c r="HO19" s="286"/>
      <c r="HP19" s="286"/>
      <c r="HQ19" s="286"/>
      <c r="HR19" s="286"/>
      <c r="HS19" s="306"/>
      <c r="HT19" s="306"/>
      <c r="HU19" s="306"/>
      <c r="HV19" s="306"/>
      <c r="HW19" s="286"/>
      <c r="HX19" s="286"/>
      <c r="HY19" s="286"/>
      <c r="HZ19" s="286"/>
      <c r="IA19" s="286"/>
      <c r="IB19" s="286"/>
      <c r="IC19" s="286"/>
      <c r="ID19" s="286"/>
      <c r="IE19" s="286"/>
      <c r="IF19" s="286"/>
      <c r="IG19" s="286"/>
      <c r="IH19" s="286"/>
      <c r="II19" s="286"/>
      <c r="IJ19" s="286"/>
      <c r="IK19" s="286"/>
      <c r="IL19" s="286"/>
      <c r="IM19" s="286"/>
      <c r="IN19" s="286"/>
      <c r="IO19" s="286"/>
      <c r="IP19" s="286"/>
      <c r="IQ19" s="286"/>
      <c r="IR19" s="286"/>
      <c r="IS19" s="286"/>
      <c r="IT19" s="286"/>
      <c r="IU19" s="286"/>
      <c r="IV19" s="286"/>
    </row>
    <row r="20" spans="1:256" s="338" customFormat="1" ht="13.5" hidden="1" customHeight="1">
      <c r="A20" s="909"/>
      <c r="B20" s="346"/>
      <c r="C20" s="342" t="s">
        <v>194</v>
      </c>
      <c r="D20" s="337" t="s">
        <v>162</v>
      </c>
      <c r="E20" s="299">
        <f t="shared" si="51"/>
        <v>627.94358999999997</v>
      </c>
      <c r="F20" s="299">
        <f t="shared" si="51"/>
        <v>1443.4478236</v>
      </c>
      <c r="G20" s="299">
        <f t="shared" si="51"/>
        <v>1443.4478236</v>
      </c>
      <c r="H20" s="299">
        <f t="shared" si="51"/>
        <v>0</v>
      </c>
      <c r="L20" s="300">
        <f t="shared" si="25"/>
        <v>0</v>
      </c>
      <c r="P20" s="301">
        <f t="shared" si="26"/>
        <v>0</v>
      </c>
      <c r="Q20" s="338">
        <f>'[1]ОАО ДК Засвияжье 1'!K234/1000</f>
        <v>255.79790999999997</v>
      </c>
      <c r="R20" s="338">
        <f>'[1]ОАО ДК Засвияжье 1'!L234/1000</f>
        <v>544.84954829999992</v>
      </c>
      <c r="S20" s="338">
        <f>'[1]ОАО ДК Засвияжье 1'!M234/1000</f>
        <v>544.84954829999992</v>
      </c>
      <c r="T20" s="301">
        <f t="shared" si="27"/>
        <v>0</v>
      </c>
      <c r="X20" s="301">
        <f t="shared" si="28"/>
        <v>0</v>
      </c>
      <c r="AB20" s="301">
        <f t="shared" si="29"/>
        <v>0</v>
      </c>
      <c r="AF20" s="300">
        <f t="shared" si="30"/>
        <v>0</v>
      </c>
      <c r="AJ20" s="300">
        <f t="shared" si="31"/>
        <v>0</v>
      </c>
      <c r="AN20" s="301">
        <f t="shared" si="32"/>
        <v>0</v>
      </c>
      <c r="AR20" s="300">
        <f t="shared" si="33"/>
        <v>0</v>
      </c>
      <c r="AV20" s="301">
        <f t="shared" si="34"/>
        <v>0</v>
      </c>
      <c r="AZ20" s="301">
        <f t="shared" si="35"/>
        <v>0</v>
      </c>
      <c r="BD20" s="301">
        <f t="shared" si="36"/>
        <v>0</v>
      </c>
      <c r="BH20" s="301">
        <f t="shared" si="37"/>
        <v>0</v>
      </c>
      <c r="BL20" s="301">
        <f t="shared" si="38"/>
        <v>0</v>
      </c>
      <c r="BP20" s="301">
        <f t="shared" si="52"/>
        <v>0</v>
      </c>
      <c r="BT20" s="301">
        <f t="shared" si="39"/>
        <v>0</v>
      </c>
      <c r="BX20" s="301">
        <f t="shared" si="40"/>
        <v>0</v>
      </c>
      <c r="BY20" s="338">
        <f>'[1]ОАО ДК ЖД р-на'!K590/1000</f>
        <v>372.14568000000003</v>
      </c>
      <c r="BZ20" s="338">
        <f>'[1]ОАО ДК ЖД р-на'!L590/1000</f>
        <v>898.59827530000007</v>
      </c>
      <c r="CA20" s="338">
        <f>'[1]ОАО ДК ЖД р-на'!M590/1000</f>
        <v>898.59827530000007</v>
      </c>
      <c r="CB20" s="301">
        <f t="shared" si="41"/>
        <v>0</v>
      </c>
      <c r="CF20" s="300">
        <f t="shared" si="49"/>
        <v>0</v>
      </c>
      <c r="CJ20" s="301">
        <f t="shared" si="0"/>
        <v>0</v>
      </c>
      <c r="CN20" s="301">
        <f t="shared" si="1"/>
        <v>0</v>
      </c>
      <c r="CR20" s="301">
        <f t="shared" si="2"/>
        <v>0</v>
      </c>
      <c r="CV20" s="301">
        <f t="shared" si="3"/>
        <v>0</v>
      </c>
      <c r="CZ20" s="301">
        <f t="shared" si="4"/>
        <v>0</v>
      </c>
      <c r="DD20" s="300">
        <f t="shared" si="5"/>
        <v>0</v>
      </c>
      <c r="DH20" s="301">
        <f t="shared" si="6"/>
        <v>0</v>
      </c>
      <c r="DL20" s="301">
        <f t="shared" si="50"/>
        <v>0</v>
      </c>
      <c r="DP20" s="301">
        <f t="shared" si="7"/>
        <v>0</v>
      </c>
      <c r="DT20" s="300">
        <f t="shared" si="8"/>
        <v>0</v>
      </c>
      <c r="DX20" s="301">
        <f t="shared" si="9"/>
        <v>0</v>
      </c>
      <c r="EB20" s="301">
        <f t="shared" si="10"/>
        <v>0</v>
      </c>
      <c r="EF20" s="301">
        <f t="shared" si="11"/>
        <v>0</v>
      </c>
      <c r="EJ20" s="301">
        <f t="shared" si="12"/>
        <v>0</v>
      </c>
      <c r="EN20" s="301">
        <f t="shared" si="13"/>
        <v>0</v>
      </c>
      <c r="ER20" s="300">
        <f t="shared" si="14"/>
        <v>0</v>
      </c>
      <c r="EV20" s="300">
        <f t="shared" si="15"/>
        <v>0</v>
      </c>
      <c r="EZ20" s="301">
        <f t="shared" si="16"/>
        <v>0</v>
      </c>
      <c r="FD20" s="301">
        <f t="shared" si="17"/>
        <v>0</v>
      </c>
      <c r="FH20" s="300">
        <f t="shared" si="18"/>
        <v>0</v>
      </c>
      <c r="FL20" s="301">
        <f t="shared" si="19"/>
        <v>0</v>
      </c>
      <c r="FP20" s="301">
        <f t="shared" si="20"/>
        <v>0</v>
      </c>
      <c r="FT20" s="301">
        <f t="shared" si="21"/>
        <v>0</v>
      </c>
      <c r="FX20" s="301">
        <f t="shared" si="22"/>
        <v>0</v>
      </c>
      <c r="GB20" s="301">
        <f t="shared" si="23"/>
        <v>0</v>
      </c>
      <c r="GF20" s="301">
        <f t="shared" si="24"/>
        <v>0</v>
      </c>
      <c r="GJ20" s="301">
        <f t="shared" si="42"/>
        <v>0</v>
      </c>
      <c r="GN20" s="301">
        <f t="shared" si="43"/>
        <v>0</v>
      </c>
      <c r="GR20" s="301">
        <f t="shared" si="44"/>
        <v>0</v>
      </c>
      <c r="GV20" s="301">
        <f t="shared" si="45"/>
        <v>0</v>
      </c>
      <c r="GZ20" s="301">
        <f t="shared" si="46"/>
        <v>0</v>
      </c>
      <c r="HA20" s="328"/>
      <c r="HB20" s="339"/>
      <c r="HC20" s="343"/>
      <c r="HD20" s="343"/>
      <c r="HE20" s="339"/>
      <c r="HF20" s="339"/>
      <c r="HG20" s="344"/>
      <c r="HH20" s="339"/>
      <c r="HI20" s="339"/>
      <c r="HJ20" s="339"/>
      <c r="HK20" s="339"/>
      <c r="HL20" s="339"/>
      <c r="HM20" s="340"/>
      <c r="HN20" s="286"/>
      <c r="HO20" s="286"/>
      <c r="HP20" s="286"/>
      <c r="HQ20" s="286"/>
      <c r="HR20" s="286"/>
      <c r="HS20" s="306"/>
      <c r="HT20" s="306"/>
      <c r="HU20" s="306"/>
      <c r="HV20" s="306"/>
      <c r="HW20" s="286"/>
      <c r="HX20" s="286"/>
      <c r="HY20" s="286"/>
      <c r="HZ20" s="286"/>
      <c r="IA20" s="286"/>
      <c r="IB20" s="286"/>
      <c r="IC20" s="286"/>
      <c r="ID20" s="286"/>
      <c r="IE20" s="286"/>
      <c r="IF20" s="286"/>
      <c r="IG20" s="286"/>
      <c r="IH20" s="286"/>
      <c r="II20" s="286"/>
      <c r="IJ20" s="286"/>
      <c r="IK20" s="286"/>
      <c r="IL20" s="286"/>
      <c r="IM20" s="286"/>
      <c r="IN20" s="286"/>
      <c r="IO20" s="286"/>
      <c r="IP20" s="286"/>
      <c r="IQ20" s="286"/>
      <c r="IR20" s="286"/>
      <c r="IS20" s="286"/>
      <c r="IT20" s="286"/>
      <c r="IU20" s="286"/>
      <c r="IV20" s="286"/>
    </row>
    <row r="21" spans="1:256" s="338" customFormat="1" ht="13.5" hidden="1" customHeight="1">
      <c r="A21" s="909"/>
      <c r="B21" s="346"/>
      <c r="C21" s="342" t="s">
        <v>19</v>
      </c>
      <c r="D21" s="337" t="s">
        <v>162</v>
      </c>
      <c r="E21" s="299">
        <f t="shared" si="51"/>
        <v>51.670550000000006</v>
      </c>
      <c r="F21" s="299">
        <f t="shared" si="51"/>
        <v>101.99946750000001</v>
      </c>
      <c r="G21" s="299">
        <f t="shared" si="51"/>
        <v>101.99946750000001</v>
      </c>
      <c r="H21" s="299">
        <f t="shared" si="51"/>
        <v>0</v>
      </c>
      <c r="L21" s="300">
        <f t="shared" si="25"/>
        <v>0</v>
      </c>
      <c r="P21" s="301">
        <f t="shared" si="26"/>
        <v>0</v>
      </c>
      <c r="T21" s="301">
        <f t="shared" si="27"/>
        <v>0</v>
      </c>
      <c r="X21" s="301">
        <f t="shared" si="28"/>
        <v>0</v>
      </c>
      <c r="AB21" s="301">
        <f t="shared" si="29"/>
        <v>0</v>
      </c>
      <c r="AF21" s="300">
        <f t="shared" si="30"/>
        <v>0</v>
      </c>
      <c r="AJ21" s="300">
        <f t="shared" si="31"/>
        <v>0</v>
      </c>
      <c r="AN21" s="301">
        <f t="shared" si="32"/>
        <v>0</v>
      </c>
      <c r="AR21" s="300">
        <f t="shared" si="33"/>
        <v>0</v>
      </c>
      <c r="AV21" s="301">
        <f t="shared" si="34"/>
        <v>0</v>
      </c>
      <c r="AZ21" s="301">
        <f t="shared" si="35"/>
        <v>0</v>
      </c>
      <c r="BD21" s="301">
        <f t="shared" si="36"/>
        <v>0</v>
      </c>
      <c r="BH21" s="301">
        <f t="shared" si="37"/>
        <v>0</v>
      </c>
      <c r="BL21" s="301">
        <f t="shared" si="38"/>
        <v>0</v>
      </c>
      <c r="BP21" s="301">
        <f t="shared" si="52"/>
        <v>0</v>
      </c>
      <c r="BT21" s="301">
        <f t="shared" si="39"/>
        <v>0</v>
      </c>
      <c r="BX21" s="301">
        <f t="shared" si="40"/>
        <v>0</v>
      </c>
      <c r="CB21" s="301">
        <f t="shared" si="41"/>
        <v>0</v>
      </c>
      <c r="CF21" s="300">
        <f t="shared" si="49"/>
        <v>0</v>
      </c>
      <c r="CJ21" s="301">
        <f t="shared" si="0"/>
        <v>0</v>
      </c>
      <c r="CN21" s="301">
        <f t="shared" si="1"/>
        <v>0</v>
      </c>
      <c r="CR21" s="301">
        <f t="shared" si="2"/>
        <v>0</v>
      </c>
      <c r="CV21" s="301">
        <f t="shared" si="3"/>
        <v>0</v>
      </c>
      <c r="CZ21" s="301">
        <f t="shared" si="4"/>
        <v>0</v>
      </c>
      <c r="DD21" s="300">
        <f t="shared" si="5"/>
        <v>0</v>
      </c>
      <c r="DH21" s="301">
        <f t="shared" si="6"/>
        <v>0</v>
      </c>
      <c r="DL21" s="301">
        <f t="shared" si="50"/>
        <v>0</v>
      </c>
      <c r="DP21" s="301">
        <f t="shared" si="7"/>
        <v>0</v>
      </c>
      <c r="DT21" s="300">
        <f t="shared" si="8"/>
        <v>0</v>
      </c>
      <c r="DX21" s="301">
        <f t="shared" si="9"/>
        <v>0</v>
      </c>
      <c r="EB21" s="301">
        <f t="shared" si="10"/>
        <v>0</v>
      </c>
      <c r="EF21" s="301">
        <f t="shared" si="11"/>
        <v>0</v>
      </c>
      <c r="EJ21" s="301">
        <f t="shared" si="12"/>
        <v>0</v>
      </c>
      <c r="EN21" s="301">
        <f t="shared" si="13"/>
        <v>0</v>
      </c>
      <c r="ER21" s="300">
        <f t="shared" si="14"/>
        <v>0</v>
      </c>
      <c r="EV21" s="300">
        <f t="shared" si="15"/>
        <v>0</v>
      </c>
      <c r="EZ21" s="301">
        <f t="shared" si="16"/>
        <v>0</v>
      </c>
      <c r="FD21" s="301">
        <f t="shared" si="17"/>
        <v>0</v>
      </c>
      <c r="FH21" s="300">
        <f t="shared" si="18"/>
        <v>0</v>
      </c>
      <c r="FL21" s="301">
        <f t="shared" si="19"/>
        <v>0</v>
      </c>
      <c r="FP21" s="301">
        <f t="shared" si="20"/>
        <v>0</v>
      </c>
      <c r="FT21" s="301">
        <f t="shared" si="21"/>
        <v>0</v>
      </c>
      <c r="FU21" s="338">
        <f>'[1]ООО УК КПД-1'!K85/1000</f>
        <v>51.670550000000006</v>
      </c>
      <c r="FV21" s="338">
        <f>'[1]ООО УК КПД-1'!L85/1000</f>
        <v>101.99946750000001</v>
      </c>
      <c r="FW21" s="338">
        <f>'[1]ООО УК КПД-1'!M85/1000</f>
        <v>101.99946750000001</v>
      </c>
      <c r="FX21" s="301">
        <f t="shared" si="22"/>
        <v>0</v>
      </c>
      <c r="GB21" s="301">
        <f t="shared" si="23"/>
        <v>0</v>
      </c>
      <c r="GF21" s="301">
        <f t="shared" si="24"/>
        <v>0</v>
      </c>
      <c r="GJ21" s="301">
        <f t="shared" si="42"/>
        <v>0</v>
      </c>
      <c r="GN21" s="301">
        <f t="shared" si="43"/>
        <v>0</v>
      </c>
      <c r="GR21" s="301">
        <f t="shared" si="44"/>
        <v>0</v>
      </c>
      <c r="GV21" s="301">
        <f t="shared" si="45"/>
        <v>0</v>
      </c>
      <c r="GZ21" s="301">
        <f t="shared" si="46"/>
        <v>0</v>
      </c>
      <c r="HA21" s="328"/>
      <c r="HB21" s="339"/>
      <c r="HC21" s="343"/>
      <c r="HD21" s="343"/>
      <c r="HE21" s="339"/>
      <c r="HF21" s="339"/>
      <c r="HG21" s="344"/>
      <c r="HH21" s="339"/>
      <c r="HI21" s="339"/>
      <c r="HJ21" s="339"/>
      <c r="HK21" s="339"/>
      <c r="HL21" s="339"/>
      <c r="HM21" s="340"/>
      <c r="HN21" s="286"/>
      <c r="HO21" s="286"/>
      <c r="HP21" s="286"/>
      <c r="HQ21" s="286"/>
      <c r="HR21" s="286"/>
      <c r="HS21" s="306"/>
      <c r="HT21" s="306"/>
      <c r="HU21" s="306"/>
      <c r="HV21" s="306"/>
      <c r="HW21" s="286"/>
      <c r="HX21" s="286"/>
      <c r="HY21" s="286"/>
      <c r="HZ21" s="286"/>
      <c r="IA21" s="286"/>
      <c r="IB21" s="286"/>
      <c r="IC21" s="286"/>
      <c r="ID21" s="286"/>
      <c r="IE21" s="286"/>
      <c r="IF21" s="286"/>
      <c r="IG21" s="286"/>
      <c r="IH21" s="286"/>
      <c r="II21" s="286"/>
      <c r="IJ21" s="286"/>
      <c r="IK21" s="286"/>
      <c r="IL21" s="286"/>
      <c r="IM21" s="286"/>
      <c r="IN21" s="286"/>
      <c r="IO21" s="286"/>
      <c r="IP21" s="286"/>
      <c r="IQ21" s="286"/>
      <c r="IR21" s="286"/>
      <c r="IS21" s="286"/>
      <c r="IT21" s="286"/>
      <c r="IU21" s="286"/>
      <c r="IV21" s="286"/>
    </row>
    <row r="22" spans="1:256" s="338" customFormat="1" ht="13.5" hidden="1" customHeight="1">
      <c r="A22" s="909"/>
      <c r="B22" s="346"/>
      <c r="C22" s="342" t="s">
        <v>195</v>
      </c>
      <c r="D22" s="337" t="s">
        <v>162</v>
      </c>
      <c r="E22" s="299">
        <f t="shared" si="51"/>
        <v>1493.55935</v>
      </c>
      <c r="F22" s="299">
        <f t="shared" si="51"/>
        <v>4100.6195847999998</v>
      </c>
      <c r="G22" s="299">
        <f t="shared" si="51"/>
        <v>4100.6195847999998</v>
      </c>
      <c r="H22" s="299">
        <f t="shared" si="51"/>
        <v>0</v>
      </c>
      <c r="L22" s="300">
        <f t="shared" si="25"/>
        <v>0</v>
      </c>
      <c r="P22" s="301">
        <f t="shared" si="26"/>
        <v>0</v>
      </c>
      <c r="T22" s="301">
        <f t="shared" si="27"/>
        <v>0</v>
      </c>
      <c r="X22" s="301">
        <f t="shared" si="28"/>
        <v>0</v>
      </c>
      <c r="Y22" s="338">
        <f>'[1]ООО ЖСС'!K116/1000</f>
        <v>415.34908000000001</v>
      </c>
      <c r="Z22" s="338">
        <f>'[1]ООО ЖСС'!L116/1000</f>
        <v>1142.2099699999999</v>
      </c>
      <c r="AA22" s="338">
        <f>'[1]ООО ЖСС'!M116/1000</f>
        <v>1142.2099699999999</v>
      </c>
      <c r="AB22" s="301">
        <f t="shared" si="29"/>
        <v>0</v>
      </c>
      <c r="AF22" s="300">
        <f t="shared" si="30"/>
        <v>0</v>
      </c>
      <c r="AJ22" s="300">
        <f t="shared" si="31"/>
        <v>0</v>
      </c>
      <c r="AN22" s="301">
        <f t="shared" si="32"/>
        <v>0</v>
      </c>
      <c r="AR22" s="300">
        <f t="shared" si="33"/>
        <v>0</v>
      </c>
      <c r="AV22" s="301">
        <f t="shared" si="34"/>
        <v>0</v>
      </c>
      <c r="AZ22" s="301">
        <f t="shared" si="35"/>
        <v>0</v>
      </c>
      <c r="BD22" s="301">
        <f t="shared" si="36"/>
        <v>0</v>
      </c>
      <c r="BH22" s="301">
        <f t="shared" si="37"/>
        <v>0</v>
      </c>
      <c r="BL22" s="301">
        <f t="shared" si="38"/>
        <v>0</v>
      </c>
      <c r="BP22" s="301">
        <f t="shared" si="52"/>
        <v>0</v>
      </c>
      <c r="BT22" s="301">
        <f t="shared" si="39"/>
        <v>0</v>
      </c>
      <c r="BX22" s="301">
        <f t="shared" si="40"/>
        <v>0</v>
      </c>
      <c r="CB22" s="301">
        <f t="shared" si="41"/>
        <v>0</v>
      </c>
      <c r="CF22" s="300">
        <f t="shared" si="49"/>
        <v>0</v>
      </c>
      <c r="CG22" s="338">
        <f>'[1]УК ЖСС'!K148/1000</f>
        <v>1078.21027</v>
      </c>
      <c r="CH22" s="338">
        <f>'[1]УК ЖСС'!L148/1000</f>
        <v>2958.4096147999999</v>
      </c>
      <c r="CI22" s="338">
        <f>'[1]УК ЖСС'!M148/1000</f>
        <v>2958.4096147999999</v>
      </c>
      <c r="CJ22" s="301">
        <f t="shared" si="0"/>
        <v>0</v>
      </c>
      <c r="CN22" s="301">
        <f t="shared" si="1"/>
        <v>0</v>
      </c>
      <c r="CR22" s="301">
        <f t="shared" si="2"/>
        <v>0</v>
      </c>
      <c r="CV22" s="301">
        <f t="shared" si="3"/>
        <v>0</v>
      </c>
      <c r="CZ22" s="301">
        <f t="shared" si="4"/>
        <v>0</v>
      </c>
      <c r="DD22" s="300">
        <f t="shared" si="5"/>
        <v>0</v>
      </c>
      <c r="DH22" s="301">
        <f t="shared" si="6"/>
        <v>0</v>
      </c>
      <c r="DL22" s="301">
        <f t="shared" si="50"/>
        <v>0</v>
      </c>
      <c r="DP22" s="301">
        <f t="shared" si="7"/>
        <v>0</v>
      </c>
      <c r="DT22" s="300">
        <f t="shared" si="8"/>
        <v>0</v>
      </c>
      <c r="DX22" s="301">
        <f t="shared" si="9"/>
        <v>0</v>
      </c>
      <c r="EB22" s="301">
        <f t="shared" si="10"/>
        <v>0</v>
      </c>
      <c r="EF22" s="301">
        <f t="shared" si="11"/>
        <v>0</v>
      </c>
      <c r="EJ22" s="301">
        <f t="shared" si="12"/>
        <v>0</v>
      </c>
      <c r="EN22" s="301">
        <f t="shared" si="13"/>
        <v>0</v>
      </c>
      <c r="ER22" s="300">
        <f t="shared" si="14"/>
        <v>0</v>
      </c>
      <c r="EV22" s="300">
        <f t="shared" si="15"/>
        <v>0</v>
      </c>
      <c r="EZ22" s="301">
        <f t="shared" si="16"/>
        <v>0</v>
      </c>
      <c r="FD22" s="301">
        <f t="shared" si="17"/>
        <v>0</v>
      </c>
      <c r="FH22" s="300">
        <f t="shared" si="18"/>
        <v>0</v>
      </c>
      <c r="FL22" s="301">
        <f t="shared" si="19"/>
        <v>0</v>
      </c>
      <c r="FP22" s="301">
        <f t="shared" si="20"/>
        <v>0</v>
      </c>
      <c r="FT22" s="301">
        <f t="shared" si="21"/>
        <v>0</v>
      </c>
      <c r="FX22" s="301">
        <f t="shared" si="22"/>
        <v>0</v>
      </c>
      <c r="FY22" s="338">
        <f>'[1]ООО КПД-2 Жилсервис'!K69/1000</f>
        <v>0</v>
      </c>
      <c r="FZ22" s="338">
        <f>'[1]ООО КПД-2 Жилсервис'!L69/1000</f>
        <v>0</v>
      </c>
      <c r="GA22" s="338">
        <f>'[1]ООО КПД-2 Жилсервис'!M69/1000</f>
        <v>0</v>
      </c>
      <c r="GB22" s="301">
        <f t="shared" si="23"/>
        <v>0</v>
      </c>
      <c r="GF22" s="301">
        <f t="shared" si="24"/>
        <v>0</v>
      </c>
      <c r="GJ22" s="301">
        <f t="shared" si="42"/>
        <v>0</v>
      </c>
      <c r="GN22" s="301">
        <f t="shared" si="43"/>
        <v>0</v>
      </c>
      <c r="GR22" s="301">
        <f t="shared" si="44"/>
        <v>0</v>
      </c>
      <c r="GV22" s="301">
        <f t="shared" si="45"/>
        <v>0</v>
      </c>
      <c r="GZ22" s="301">
        <f t="shared" si="46"/>
        <v>0</v>
      </c>
      <c r="HA22" s="328"/>
      <c r="HB22" s="339"/>
      <c r="HC22" s="343"/>
      <c r="HD22" s="343"/>
      <c r="HE22" s="339"/>
      <c r="HF22" s="339"/>
      <c r="HG22" s="344"/>
      <c r="HH22" s="339"/>
      <c r="HI22" s="339"/>
      <c r="HJ22" s="339"/>
      <c r="HK22" s="339"/>
      <c r="HL22" s="339"/>
      <c r="HM22" s="340"/>
      <c r="HN22" s="286"/>
      <c r="HO22" s="286"/>
      <c r="HP22" s="286"/>
      <c r="HQ22" s="286"/>
      <c r="HR22" s="286"/>
      <c r="HS22" s="306"/>
      <c r="HT22" s="306"/>
      <c r="HU22" s="306"/>
      <c r="HV22" s="306"/>
      <c r="HW22" s="286"/>
      <c r="HX22" s="286"/>
      <c r="HY22" s="286"/>
      <c r="HZ22" s="286"/>
      <c r="IA22" s="286"/>
      <c r="IB22" s="286"/>
      <c r="IC22" s="286"/>
      <c r="ID22" s="286"/>
      <c r="IE22" s="286"/>
      <c r="IF22" s="286"/>
      <c r="IG22" s="286"/>
      <c r="IH22" s="286"/>
      <c r="II22" s="286"/>
      <c r="IJ22" s="286"/>
      <c r="IK22" s="286"/>
      <c r="IL22" s="286"/>
      <c r="IM22" s="286"/>
      <c r="IN22" s="286"/>
      <c r="IO22" s="286"/>
      <c r="IP22" s="286"/>
      <c r="IQ22" s="286"/>
      <c r="IR22" s="286"/>
      <c r="IS22" s="286"/>
      <c r="IT22" s="286"/>
      <c r="IU22" s="286"/>
      <c r="IV22" s="286"/>
    </row>
    <row r="23" spans="1:256" s="338" customFormat="1" ht="13.5" hidden="1" customHeight="1">
      <c r="A23" s="909"/>
      <c r="B23" s="347"/>
      <c r="C23" s="348" t="s">
        <v>196</v>
      </c>
      <c r="D23" s="337" t="s">
        <v>162</v>
      </c>
      <c r="E23" s="299">
        <f t="shared" si="51"/>
        <v>0</v>
      </c>
      <c r="F23" s="299">
        <f t="shared" si="51"/>
        <v>0</v>
      </c>
      <c r="G23" s="299">
        <f t="shared" si="51"/>
        <v>0</v>
      </c>
      <c r="H23" s="299">
        <f t="shared" si="51"/>
        <v>0</v>
      </c>
      <c r="L23" s="300">
        <f t="shared" si="25"/>
        <v>0</v>
      </c>
      <c r="P23" s="301">
        <f t="shared" si="26"/>
        <v>0</v>
      </c>
      <c r="T23" s="301">
        <f t="shared" si="27"/>
        <v>0</v>
      </c>
      <c r="X23" s="301">
        <f t="shared" si="28"/>
        <v>0</v>
      </c>
      <c r="AB23" s="301">
        <f t="shared" si="29"/>
        <v>0</v>
      </c>
      <c r="AF23" s="300">
        <f t="shared" si="30"/>
        <v>0</v>
      </c>
      <c r="AJ23" s="300">
        <f t="shared" si="31"/>
        <v>0</v>
      </c>
      <c r="AN23" s="301">
        <f t="shared" si="32"/>
        <v>0</v>
      </c>
      <c r="AR23" s="300">
        <f t="shared" si="33"/>
        <v>0</v>
      </c>
      <c r="AV23" s="301">
        <f t="shared" si="34"/>
        <v>0</v>
      </c>
      <c r="AZ23" s="301">
        <f t="shared" si="35"/>
        <v>0</v>
      </c>
      <c r="BD23" s="301">
        <f t="shared" si="36"/>
        <v>0</v>
      </c>
      <c r="BH23" s="301">
        <f t="shared" si="37"/>
        <v>0</v>
      </c>
      <c r="BL23" s="301">
        <f t="shared" si="38"/>
        <v>0</v>
      </c>
      <c r="BP23" s="301">
        <f t="shared" si="52"/>
        <v>0</v>
      </c>
      <c r="BT23" s="301">
        <f t="shared" si="39"/>
        <v>0</v>
      </c>
      <c r="BX23" s="301">
        <f t="shared" si="40"/>
        <v>0</v>
      </c>
      <c r="CB23" s="301">
        <f t="shared" si="41"/>
        <v>0</v>
      </c>
      <c r="CF23" s="300">
        <f t="shared" si="49"/>
        <v>0</v>
      </c>
      <c r="CJ23" s="301">
        <f t="shared" si="0"/>
        <v>0</v>
      </c>
      <c r="CN23" s="301">
        <f t="shared" si="1"/>
        <v>0</v>
      </c>
      <c r="CR23" s="301">
        <f t="shared" si="2"/>
        <v>0</v>
      </c>
      <c r="CV23" s="301">
        <f t="shared" si="3"/>
        <v>0</v>
      </c>
      <c r="CZ23" s="301">
        <f t="shared" si="4"/>
        <v>0</v>
      </c>
      <c r="DD23" s="300">
        <f t="shared" si="5"/>
        <v>0</v>
      </c>
      <c r="DH23" s="301">
        <f t="shared" si="6"/>
        <v>0</v>
      </c>
      <c r="DL23" s="301">
        <f t="shared" si="50"/>
        <v>0</v>
      </c>
      <c r="DP23" s="301">
        <f t="shared" si="7"/>
        <v>0</v>
      </c>
      <c r="DT23" s="300">
        <f t="shared" si="8"/>
        <v>0</v>
      </c>
      <c r="DX23" s="301">
        <f t="shared" si="9"/>
        <v>0</v>
      </c>
      <c r="EB23" s="301">
        <f t="shared" si="10"/>
        <v>0</v>
      </c>
      <c r="EF23" s="301">
        <f t="shared" si="11"/>
        <v>0</v>
      </c>
      <c r="EJ23" s="301">
        <f t="shared" si="12"/>
        <v>0</v>
      </c>
      <c r="EN23" s="301">
        <f t="shared" si="13"/>
        <v>0</v>
      </c>
      <c r="ER23" s="300">
        <f t="shared" si="14"/>
        <v>0</v>
      </c>
      <c r="EV23" s="300">
        <f t="shared" si="15"/>
        <v>0</v>
      </c>
      <c r="EZ23" s="301">
        <f t="shared" si="16"/>
        <v>0</v>
      </c>
      <c r="FD23" s="301">
        <f t="shared" si="17"/>
        <v>0</v>
      </c>
      <c r="FH23" s="300">
        <f t="shared" si="18"/>
        <v>0</v>
      </c>
      <c r="FL23" s="301">
        <f t="shared" si="19"/>
        <v>0</v>
      </c>
      <c r="FP23" s="301">
        <f t="shared" si="20"/>
        <v>0</v>
      </c>
      <c r="FT23" s="301">
        <f t="shared" si="21"/>
        <v>0</v>
      </c>
      <c r="FX23" s="301">
        <f t="shared" si="22"/>
        <v>0</v>
      </c>
      <c r="GB23" s="301">
        <f t="shared" si="23"/>
        <v>0</v>
      </c>
      <c r="GF23" s="301">
        <f t="shared" si="24"/>
        <v>0</v>
      </c>
      <c r="GJ23" s="301">
        <f t="shared" si="42"/>
        <v>0</v>
      </c>
      <c r="GN23" s="301">
        <f t="shared" si="43"/>
        <v>0</v>
      </c>
      <c r="GR23" s="301">
        <f t="shared" si="44"/>
        <v>0</v>
      </c>
      <c r="GV23" s="301">
        <f t="shared" si="45"/>
        <v>0</v>
      </c>
      <c r="GZ23" s="301">
        <f t="shared" si="46"/>
        <v>0</v>
      </c>
      <c r="HA23" s="328"/>
      <c r="HB23" s="339"/>
      <c r="HC23" s="343"/>
      <c r="HD23" s="343"/>
      <c r="HE23" s="339"/>
      <c r="HF23" s="339"/>
      <c r="HG23" s="339"/>
      <c r="HH23" s="339"/>
      <c r="HI23" s="339"/>
      <c r="HJ23" s="339"/>
      <c r="HK23" s="339"/>
      <c r="HL23" s="339"/>
      <c r="HM23" s="340"/>
      <c r="HN23" s="286"/>
      <c r="HO23" s="286"/>
      <c r="HP23" s="286"/>
      <c r="HQ23" s="286"/>
      <c r="HR23" s="286"/>
      <c r="HS23" s="306"/>
      <c r="HT23" s="306"/>
      <c r="HU23" s="306"/>
      <c r="HV23" s="30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  <c r="IS23" s="286"/>
      <c r="IT23" s="286"/>
      <c r="IU23" s="286"/>
      <c r="IV23" s="286"/>
    </row>
    <row r="24" spans="1:256" s="324" customFormat="1" ht="13.5" hidden="1" customHeight="1">
      <c r="A24" s="325" t="s">
        <v>197</v>
      </c>
      <c r="B24" s="326" t="s">
        <v>198</v>
      </c>
      <c r="C24" s="326"/>
      <c r="D24" s="327" t="s">
        <v>162</v>
      </c>
      <c r="E24" s="320">
        <f t="shared" ref="E24:K24" si="53">SUM(E25:E43)</f>
        <v>6998.0353800000003</v>
      </c>
      <c r="F24" s="320">
        <f t="shared" si="53"/>
        <v>11990.0305919</v>
      </c>
      <c r="G24" s="320">
        <f t="shared" si="53"/>
        <v>11990.0305919</v>
      </c>
      <c r="H24" s="320">
        <f t="shared" si="53"/>
        <v>0</v>
      </c>
      <c r="I24" s="320">
        <f t="shared" si="53"/>
        <v>49.756989999999995</v>
      </c>
      <c r="J24" s="320">
        <f t="shared" si="53"/>
        <v>80.606323799999998</v>
      </c>
      <c r="K24" s="320">
        <f t="shared" si="53"/>
        <v>80.606323799999998</v>
      </c>
      <c r="L24" s="300">
        <f t="shared" si="25"/>
        <v>0</v>
      </c>
      <c r="M24" s="320">
        <f>SUM(M25:M43)</f>
        <v>4.1697100000000002</v>
      </c>
      <c r="N24" s="320">
        <f>SUM(N25:N43)</f>
        <v>7.4590611999999989</v>
      </c>
      <c r="O24" s="320">
        <f>SUM(O25:O43)</f>
        <v>7.4590611999999989</v>
      </c>
      <c r="P24" s="301">
        <f t="shared" si="26"/>
        <v>0</v>
      </c>
      <c r="Q24" s="320">
        <f>SUM(Q25:Q43)</f>
        <v>1293.8345999999999</v>
      </c>
      <c r="R24" s="320">
        <f>SUM(R25:R43)</f>
        <v>2458.2707969999997</v>
      </c>
      <c r="S24" s="320">
        <f>SUM(S25:S43)</f>
        <v>2458.2707969999997</v>
      </c>
      <c r="T24" s="301">
        <f t="shared" si="27"/>
        <v>0</v>
      </c>
      <c r="U24" s="320">
        <f>SUM(U25:U43)</f>
        <v>565.8206899999999</v>
      </c>
      <c r="V24" s="320">
        <f>SUM(V25:V43)</f>
        <v>763.85793149999995</v>
      </c>
      <c r="W24" s="320">
        <f>SUM(W25:W43)</f>
        <v>763.85793149999995</v>
      </c>
      <c r="X24" s="301">
        <f t="shared" si="28"/>
        <v>0</v>
      </c>
      <c r="Y24" s="320">
        <f>SUM(Y25:Y43)</f>
        <v>415.40178000000003</v>
      </c>
      <c r="Z24" s="320">
        <f>SUM(Z25:Z43)</f>
        <v>693.72097259999998</v>
      </c>
      <c r="AA24" s="320">
        <f>SUM(AA25:AA43)</f>
        <v>693.72097259999998</v>
      </c>
      <c r="AB24" s="301">
        <f t="shared" si="29"/>
        <v>0</v>
      </c>
      <c r="AC24" s="320">
        <f>SUM(AC25:AC43)</f>
        <v>247.29827000000003</v>
      </c>
      <c r="AD24" s="320">
        <f>SUM(AD25:AD43)</f>
        <v>384.66571319999997</v>
      </c>
      <c r="AE24" s="320">
        <f>SUM(AE25:AE43)</f>
        <v>384.66571319999997</v>
      </c>
      <c r="AF24" s="300">
        <f t="shared" si="30"/>
        <v>0</v>
      </c>
      <c r="AG24" s="320">
        <f>SUM(AG25:AG43)</f>
        <v>0</v>
      </c>
      <c r="AH24" s="320">
        <f>SUM(AH25:AH43)</f>
        <v>0</v>
      </c>
      <c r="AI24" s="320">
        <f>SUM(AI25:AI43)</f>
        <v>0</v>
      </c>
      <c r="AJ24" s="300">
        <f t="shared" si="31"/>
        <v>0</v>
      </c>
      <c r="AK24" s="320">
        <f>SUM(AK25:AK43)</f>
        <v>0</v>
      </c>
      <c r="AL24" s="320">
        <f>SUM(AL25:AL43)</f>
        <v>0</v>
      </c>
      <c r="AM24" s="320">
        <f>SUM(AM25:AM43)</f>
        <v>0</v>
      </c>
      <c r="AN24" s="301">
        <f t="shared" si="32"/>
        <v>0</v>
      </c>
      <c r="AO24" s="320">
        <f>SUM(AO25:AO43)</f>
        <v>1147.2295799999999</v>
      </c>
      <c r="AP24" s="320">
        <f>SUM(AP25:AP43)</f>
        <v>1837.8206864000001</v>
      </c>
      <c r="AQ24" s="320">
        <f>SUM(AQ25:AQ43)</f>
        <v>1837.8206864000001</v>
      </c>
      <c r="AR24" s="300">
        <f t="shared" si="33"/>
        <v>0</v>
      </c>
      <c r="AS24" s="320">
        <f>SUM(AS25:AS43)</f>
        <v>231.04902000000001</v>
      </c>
      <c r="AT24" s="320">
        <f>SUM(AT25:AT43)</f>
        <v>339.64205940000005</v>
      </c>
      <c r="AU24" s="320">
        <f>SUM(AU25:AU43)</f>
        <v>339.64205940000005</v>
      </c>
      <c r="AV24" s="301">
        <f t="shared" si="34"/>
        <v>0</v>
      </c>
      <c r="AW24" s="320">
        <f>SUM(AW25:AW43)</f>
        <v>0</v>
      </c>
      <c r="AX24" s="320">
        <f>SUM(AX25:AX43)</f>
        <v>0</v>
      </c>
      <c r="AY24" s="320">
        <f>SUM(AY25:AY43)</f>
        <v>0</v>
      </c>
      <c r="AZ24" s="301">
        <f t="shared" si="35"/>
        <v>0</v>
      </c>
      <c r="BA24" s="320">
        <f>SUM(BA25:BA43)</f>
        <v>0</v>
      </c>
      <c r="BB24" s="320">
        <f>SUM(BB25:BB43)</f>
        <v>0</v>
      </c>
      <c r="BC24" s="320">
        <f>SUM(BC25:BC43)</f>
        <v>0</v>
      </c>
      <c r="BD24" s="301">
        <f t="shared" si="36"/>
        <v>0</v>
      </c>
      <c r="BE24" s="320">
        <f>SUM(BE25:BE43)</f>
        <v>0</v>
      </c>
      <c r="BF24" s="320">
        <f>SUM(BF25:BF43)</f>
        <v>0</v>
      </c>
      <c r="BG24" s="320">
        <f>SUM(BG25:BG43)</f>
        <v>0</v>
      </c>
      <c r="BH24" s="301">
        <f t="shared" si="37"/>
        <v>0</v>
      </c>
      <c r="BI24" s="320">
        <f>SUM(BI25:BI43)</f>
        <v>307.47564</v>
      </c>
      <c r="BJ24" s="320">
        <f>SUM(BJ25:BJ43)</f>
        <v>453.49371089999994</v>
      </c>
      <c r="BK24" s="320">
        <f>SUM(BK25:BK43)</f>
        <v>453.49371089999994</v>
      </c>
      <c r="BL24" s="301">
        <f t="shared" si="38"/>
        <v>0</v>
      </c>
      <c r="BM24" s="320">
        <f>SUM(BM25:BM43)</f>
        <v>52.514559999999996</v>
      </c>
      <c r="BN24" s="320">
        <f>SUM(BN25:BN43)</f>
        <v>71.944947200000016</v>
      </c>
      <c r="BO24" s="320">
        <f>SUM(BO25:BO43)</f>
        <v>71.944947200000016</v>
      </c>
      <c r="BP24" s="301">
        <f t="shared" si="52"/>
        <v>0</v>
      </c>
      <c r="BQ24" s="320">
        <f>SUM(BQ25:BQ43)</f>
        <v>52.454629999999995</v>
      </c>
      <c r="BR24" s="320">
        <f>SUM(BR25:BR43)</f>
        <v>83.927408</v>
      </c>
      <c r="BS24" s="320">
        <f>SUM(BS25:BS43)</f>
        <v>83.927408</v>
      </c>
      <c r="BT24" s="301">
        <f t="shared" si="39"/>
        <v>0</v>
      </c>
      <c r="BU24" s="320">
        <f>SUM(BU25:BU43)</f>
        <v>875.07641000000001</v>
      </c>
      <c r="BV24" s="320">
        <f>SUM(BV25:BV43)</f>
        <v>1664.5635434000001</v>
      </c>
      <c r="BW24" s="320">
        <f>SUM(BW25:BW43)</f>
        <v>1664.5635434000001</v>
      </c>
      <c r="BX24" s="301">
        <f t="shared" si="40"/>
        <v>0</v>
      </c>
      <c r="BY24" s="320">
        <f>SUM(BY25:BY43)</f>
        <v>1164.8971000000001</v>
      </c>
      <c r="BZ24" s="320">
        <f>SUM(BZ25:BZ43)</f>
        <v>2213.3044900000004</v>
      </c>
      <c r="CA24" s="320">
        <f>SUM(CA25:CA43)</f>
        <v>2213.3044900000004</v>
      </c>
      <c r="CB24" s="301">
        <f t="shared" si="41"/>
        <v>0</v>
      </c>
      <c r="CC24" s="320">
        <f>SUM(CC25:CC43)</f>
        <v>0</v>
      </c>
      <c r="CD24" s="320">
        <f>SUM(CD25:CD43)</f>
        <v>0</v>
      </c>
      <c r="CE24" s="320">
        <f>SUM(CE25:CE43)</f>
        <v>0</v>
      </c>
      <c r="CF24" s="300">
        <f t="shared" si="49"/>
        <v>0</v>
      </c>
      <c r="CG24" s="320">
        <f>SUM(CG25:CG43)</f>
        <v>35.674939999999999</v>
      </c>
      <c r="CH24" s="320">
        <f>SUM(CH25:CH43)</f>
        <v>51.728662999999997</v>
      </c>
      <c r="CI24" s="320">
        <f>SUM(CI25:CI43)</f>
        <v>51.728662999999997</v>
      </c>
      <c r="CJ24" s="301">
        <f t="shared" si="0"/>
        <v>0</v>
      </c>
      <c r="CK24" s="320">
        <f>SUM(CK25:CK43)</f>
        <v>52.980319999999999</v>
      </c>
      <c r="CL24" s="320">
        <f>SUM(CL25:CL43)</f>
        <v>83.708905599999994</v>
      </c>
      <c r="CM24" s="320">
        <f>SUM(CM25:CM43)</f>
        <v>83.708905599999994</v>
      </c>
      <c r="CN24" s="301">
        <f t="shared" si="1"/>
        <v>0</v>
      </c>
      <c r="CO24" s="320">
        <f>SUM(CO25:CO43)</f>
        <v>5.2520000000000004E-2</v>
      </c>
      <c r="CP24" s="320">
        <f>SUM(CP25:CP43)</f>
        <v>4.2016000000000005E-2</v>
      </c>
      <c r="CQ24" s="320">
        <f>SUM(CQ25:CQ43)</f>
        <v>4.2016000000000005E-2</v>
      </c>
      <c r="CR24" s="301">
        <f t="shared" si="2"/>
        <v>0</v>
      </c>
      <c r="CS24" s="320">
        <f>SUM(CS25:CS43)</f>
        <v>0</v>
      </c>
      <c r="CT24" s="320">
        <f>SUM(CT25:CT43)</f>
        <v>0</v>
      </c>
      <c r="CU24" s="320">
        <f>SUM(CU25:CU43)</f>
        <v>0</v>
      </c>
      <c r="CV24" s="301">
        <f t="shared" si="3"/>
        <v>0</v>
      </c>
      <c r="CW24" s="320">
        <f>SUM(CW25:CW43)</f>
        <v>7.1629999999999999E-2</v>
      </c>
      <c r="CX24" s="320">
        <f>SUM(CX25:CX43)</f>
        <v>0.13609699999999997</v>
      </c>
      <c r="CY24" s="320">
        <f>SUM(CY25:CY43)</f>
        <v>0.13609699999999997</v>
      </c>
      <c r="CZ24" s="301">
        <f t="shared" si="4"/>
        <v>0</v>
      </c>
      <c r="DA24" s="320">
        <f>SUM(DA25:DA43)</f>
        <v>0</v>
      </c>
      <c r="DB24" s="320">
        <f>SUM(DB25:DB43)</f>
        <v>0</v>
      </c>
      <c r="DC24" s="320">
        <f>SUM(DC25:DC43)</f>
        <v>0</v>
      </c>
      <c r="DD24" s="300">
        <f t="shared" si="5"/>
        <v>0</v>
      </c>
      <c r="DE24" s="320">
        <f>SUM(DE25:DE43)</f>
        <v>0</v>
      </c>
      <c r="DF24" s="320">
        <f>SUM(DF25:DF43)</f>
        <v>0</v>
      </c>
      <c r="DG24" s="320">
        <f>SUM(DG25:DG43)</f>
        <v>0</v>
      </c>
      <c r="DH24" s="301">
        <f t="shared" si="6"/>
        <v>0</v>
      </c>
      <c r="DI24" s="320">
        <f>SUM(DI25:DI43)</f>
        <v>22.186580000000003</v>
      </c>
      <c r="DJ24" s="320">
        <f>SUM(DJ25:DJ43)</f>
        <v>14.421277000000002</v>
      </c>
      <c r="DK24" s="320">
        <f>SUM(DK25:DK43)</f>
        <v>14.421277000000002</v>
      </c>
      <c r="DL24" s="301">
        <f t="shared" si="50"/>
        <v>0</v>
      </c>
      <c r="DM24" s="320">
        <f>SUM(DM25:DM43)</f>
        <v>267.42763000000002</v>
      </c>
      <c r="DN24" s="320">
        <f>SUM(DN25:DN43)</f>
        <v>454.62697100000003</v>
      </c>
      <c r="DO24" s="320">
        <f>SUM(DO25:DO43)</f>
        <v>454.62697100000003</v>
      </c>
      <c r="DP24" s="301">
        <f t="shared" si="7"/>
        <v>0</v>
      </c>
      <c r="DQ24" s="320">
        <f>SUM(DQ25:DQ43)</f>
        <v>0.17898</v>
      </c>
      <c r="DR24" s="320">
        <f>SUM(DR25:DR43)</f>
        <v>0.32932319999999998</v>
      </c>
      <c r="DS24" s="320">
        <f>SUM(DS25:DS43)</f>
        <v>0.32932319999999998</v>
      </c>
      <c r="DT24" s="300">
        <f t="shared" si="8"/>
        <v>0</v>
      </c>
      <c r="DU24" s="320">
        <f>SUM(DU25:DU43)</f>
        <v>0</v>
      </c>
      <c r="DV24" s="320">
        <f>SUM(DV25:DV43)</f>
        <v>0</v>
      </c>
      <c r="DW24" s="320">
        <f>SUM(DW25:DW43)</f>
        <v>0</v>
      </c>
      <c r="DX24" s="301">
        <f t="shared" si="9"/>
        <v>0</v>
      </c>
      <c r="DY24" s="320">
        <f>SUM(DY25:DY43)</f>
        <v>0</v>
      </c>
      <c r="DZ24" s="320">
        <f>SUM(DZ25:DZ43)</f>
        <v>0</v>
      </c>
      <c r="EA24" s="320">
        <f>SUM(EA25:EA43)</f>
        <v>0</v>
      </c>
      <c r="EB24" s="301">
        <f t="shared" si="10"/>
        <v>0</v>
      </c>
      <c r="EC24" s="320">
        <f>SUM(EC25:EC43)</f>
        <v>0</v>
      </c>
      <c r="ED24" s="320">
        <f>SUM(ED25:ED43)</f>
        <v>0</v>
      </c>
      <c r="EE24" s="320">
        <f>SUM(EE25:EE43)</f>
        <v>0</v>
      </c>
      <c r="EF24" s="301">
        <f t="shared" si="11"/>
        <v>0</v>
      </c>
      <c r="EG24" s="320">
        <f>SUM(EG25:EG43)</f>
        <v>116.74601000000003</v>
      </c>
      <c r="EH24" s="320">
        <f>SUM(EH25:EH43)</f>
        <v>171.03326739999997</v>
      </c>
      <c r="EI24" s="320">
        <f>SUM(EI25:EI43)</f>
        <v>171.03326739999997</v>
      </c>
      <c r="EJ24" s="301">
        <f t="shared" si="12"/>
        <v>0</v>
      </c>
      <c r="EK24" s="320">
        <f>SUM(EK25:EK43)</f>
        <v>0</v>
      </c>
      <c r="EL24" s="320">
        <f>SUM(EL25:EL43)</f>
        <v>0</v>
      </c>
      <c r="EM24" s="320">
        <f>SUM(EM25:EM43)</f>
        <v>0</v>
      </c>
      <c r="EN24" s="301">
        <f t="shared" si="13"/>
        <v>0</v>
      </c>
      <c r="EO24" s="320">
        <f>SUM(EO25:EO43)</f>
        <v>0</v>
      </c>
      <c r="EP24" s="320">
        <f>SUM(EP25:EP43)</f>
        <v>0</v>
      </c>
      <c r="EQ24" s="320">
        <f>SUM(EQ25:EQ43)</f>
        <v>0</v>
      </c>
      <c r="ER24" s="300">
        <f t="shared" si="14"/>
        <v>0</v>
      </c>
      <c r="ES24" s="320">
        <f>SUM(ES25:ES43)</f>
        <v>5.3926400000000001</v>
      </c>
      <c r="ET24" s="320">
        <f>SUM(ET25:ET43)</f>
        <v>4.2062592000000008</v>
      </c>
      <c r="EU24" s="320">
        <f>SUM(EU25:EU43)</f>
        <v>4.2062592000000008</v>
      </c>
      <c r="EV24" s="300">
        <f t="shared" si="15"/>
        <v>0</v>
      </c>
      <c r="EW24" s="320">
        <f>SUM(EW25:EW43)</f>
        <v>0</v>
      </c>
      <c r="EX24" s="320">
        <f>SUM(EX25:EX43)</f>
        <v>0</v>
      </c>
      <c r="EY24" s="320">
        <f>SUM(EY25:EY43)</f>
        <v>0</v>
      </c>
      <c r="EZ24" s="301">
        <f t="shared" si="16"/>
        <v>0</v>
      </c>
      <c r="FA24" s="320">
        <f>SUM(FA25:FA43)</f>
        <v>0</v>
      </c>
      <c r="FB24" s="320">
        <f>SUM(FB25:FB43)</f>
        <v>0</v>
      </c>
      <c r="FC24" s="320">
        <f>SUM(FC25:FC43)</f>
        <v>0</v>
      </c>
      <c r="FD24" s="301">
        <f t="shared" si="17"/>
        <v>0</v>
      </c>
      <c r="FE24" s="320">
        <f>SUM(FE25:FE43)</f>
        <v>12.781889999999999</v>
      </c>
      <c r="FF24" s="320">
        <f>SUM(FF25:FF43)</f>
        <v>16.941411299999999</v>
      </c>
      <c r="FG24" s="320">
        <f>SUM(FG25:FG43)</f>
        <v>16.941411299999999</v>
      </c>
      <c r="FH24" s="300">
        <f t="shared" si="18"/>
        <v>0</v>
      </c>
      <c r="FI24" s="320">
        <f>SUM(FI25:FI43)</f>
        <v>6.03599</v>
      </c>
      <c r="FJ24" s="320">
        <f>SUM(FJ25:FJ43)</f>
        <v>10.864782</v>
      </c>
      <c r="FK24" s="320">
        <f>SUM(FK25:FK43)</f>
        <v>10.864782</v>
      </c>
      <c r="FL24" s="301">
        <f t="shared" si="19"/>
        <v>0</v>
      </c>
      <c r="FM24" s="320">
        <f>SUM(FM25:FM43)</f>
        <v>0</v>
      </c>
      <c r="FN24" s="320">
        <f>SUM(FN25:FN43)</f>
        <v>0</v>
      </c>
      <c r="FO24" s="320">
        <f>SUM(FO25:FO43)</f>
        <v>0</v>
      </c>
      <c r="FP24" s="301">
        <f t="shared" si="20"/>
        <v>0</v>
      </c>
      <c r="FQ24" s="320">
        <f>SUM(FQ25:FQ43)</f>
        <v>0</v>
      </c>
      <c r="FR24" s="320">
        <f>SUM(FR25:FR43)</f>
        <v>0</v>
      </c>
      <c r="FS24" s="320">
        <f>SUM(FS25:FS43)</f>
        <v>0</v>
      </c>
      <c r="FT24" s="301">
        <f t="shared" si="21"/>
        <v>0</v>
      </c>
      <c r="FU24" s="320">
        <f>SUM(FU25:FU43)</f>
        <v>51.670549999999999</v>
      </c>
      <c r="FV24" s="320">
        <f>SUM(FV25:FV43)</f>
        <v>92.026476599999995</v>
      </c>
      <c r="FW24" s="320">
        <f>SUM(FW25:FW43)</f>
        <v>92.026476599999995</v>
      </c>
      <c r="FX24" s="301">
        <f t="shared" si="22"/>
        <v>0</v>
      </c>
      <c r="FY24" s="320">
        <f>SUM(FY25:FY43)</f>
        <v>7.4838699999999996</v>
      </c>
      <c r="FZ24" s="320">
        <f>SUM(FZ25:FZ43)</f>
        <v>13.470966000000001</v>
      </c>
      <c r="GA24" s="320">
        <f>SUM(GA25:GA43)</f>
        <v>13.470966000000001</v>
      </c>
      <c r="GB24" s="301">
        <f t="shared" si="23"/>
        <v>0</v>
      </c>
      <c r="GC24" s="320">
        <f>SUM(GC25:GC43)</f>
        <v>9.4540199999999999</v>
      </c>
      <c r="GD24" s="320">
        <f>SUM(GD25:GD43)</f>
        <v>17.962637999999998</v>
      </c>
      <c r="GE24" s="320">
        <f>SUM(GE25:GE43)</f>
        <v>17.962637999999998</v>
      </c>
      <c r="GF24" s="301">
        <f t="shared" si="24"/>
        <v>0</v>
      </c>
      <c r="GG24" s="320">
        <f>SUM(GG25:GG43)</f>
        <v>2.9188299999999998</v>
      </c>
      <c r="GH24" s="320">
        <f>SUM(GH25:GH43)</f>
        <v>5.2538939999999998</v>
      </c>
      <c r="GI24" s="320">
        <f>SUM(GI25:GI43)</f>
        <v>5.2538939999999998</v>
      </c>
      <c r="GJ24" s="301">
        <f t="shared" si="42"/>
        <v>0</v>
      </c>
      <c r="GK24" s="320">
        <f>SUM(GK25:GK43)</f>
        <v>0</v>
      </c>
      <c r="GL24" s="320">
        <f>SUM(GL25:GL43)</f>
        <v>0</v>
      </c>
      <c r="GM24" s="320">
        <f>SUM(GM25:GM43)</f>
        <v>0</v>
      </c>
      <c r="GN24" s="301">
        <f t="shared" si="43"/>
        <v>0</v>
      </c>
      <c r="GO24" s="320">
        <f>SUM(GO25:GO43)</f>
        <v>0</v>
      </c>
      <c r="GP24" s="320">
        <f>SUM(GP25:GP43)</f>
        <v>0</v>
      </c>
      <c r="GQ24" s="320">
        <f>SUM(GQ25:GQ43)</f>
        <v>0</v>
      </c>
      <c r="GR24" s="301">
        <f t="shared" si="44"/>
        <v>0</v>
      </c>
      <c r="GS24" s="320">
        <f>SUM(GS25:GS43)</f>
        <v>0</v>
      </c>
      <c r="GT24" s="320">
        <f>SUM(GT25:GT43)</f>
        <v>0</v>
      </c>
      <c r="GU24" s="320">
        <f>SUM(GU25:GU43)</f>
        <v>0</v>
      </c>
      <c r="GV24" s="301">
        <f t="shared" si="45"/>
        <v>0</v>
      </c>
      <c r="GW24" s="320">
        <f>SUM(GW25:GW43)</f>
        <v>0</v>
      </c>
      <c r="GX24" s="320">
        <f>SUM(GX25:GX43)</f>
        <v>0</v>
      </c>
      <c r="GY24" s="320">
        <f>SUM(GY25:GY43)</f>
        <v>0</v>
      </c>
      <c r="GZ24" s="301">
        <f t="shared" si="46"/>
        <v>0</v>
      </c>
      <c r="HA24" s="349"/>
      <c r="HB24" s="349"/>
      <c r="HC24" s="349"/>
      <c r="HD24" s="303"/>
      <c r="HE24" s="349"/>
      <c r="HF24" s="349"/>
      <c r="HG24" s="349"/>
      <c r="HH24" s="303"/>
      <c r="HI24" s="349"/>
      <c r="HJ24" s="349"/>
      <c r="HK24" s="349"/>
      <c r="HL24" s="303"/>
      <c r="HS24" s="306"/>
      <c r="HT24" s="306"/>
      <c r="HU24" s="306"/>
      <c r="HV24" s="306"/>
    </row>
    <row r="25" spans="1:256" s="338" customFormat="1" ht="13.5" hidden="1" customHeight="1">
      <c r="A25" s="909"/>
      <c r="B25" s="335" t="s">
        <v>175</v>
      </c>
      <c r="C25" s="336" t="s">
        <v>199</v>
      </c>
      <c r="D25" s="337" t="s">
        <v>162</v>
      </c>
      <c r="E25" s="299">
        <f t="shared" si="51"/>
        <v>0.82355999999999996</v>
      </c>
      <c r="F25" s="299">
        <f>J25+N25+R25+V25+Z25+AD25+AH25+AL25+AP25+AT25+AX25+BB25+BF25+BJ25+BN25+BR25+BV25+BZ25+CD25+CH25+CL25+CP25+CT25+CX25+DB25+DF25+DJ25+DN25+DR25+DV25+DZ25+ED25+EH25+EL25+EP25+ET25+EX25+FB25+FF25+FJ25+FN25+FR25+FV25+FZ25+GD25+GL25+GH25+GP25+GT25+GX25</f>
        <v>0.78347800000000001</v>
      </c>
      <c r="G25" s="299">
        <f>K25+O25+S25+W25+AA25+AE25+AI25+AM25+AQ25+AU25+AY25+BC25+BG25+BK25+BO25+BS25+BW25+CA25+CE25+CI25+CM25+CQ25+CU25+CY25+DC25+DG25+DK25+DO25+DS25+DW25+EA25+EE25+EI25+EM25+EQ25+EU25+EY25+FC25+FG25+FK25+FO25+FS25+FW25+GA25+GE25+GM25+GI25+GQ25+GU25+GY25</f>
        <v>0.78347800000000001</v>
      </c>
      <c r="H25" s="299">
        <f>L25+P25+T25+X25+AB25+AF25+AJ25+AN25+AR25+AV25+AZ25+BD25+BH25+BL25+BP25+BT25+BX25+CB25+CF25+CJ25+CN25+CR25+CV25+CZ25+DD25+DH25+DL25+DP25+DT25+DX25+EB25+EF25+EJ25+EN25+ER25+EV25+EZ25+FD25+FH25+FL25+FP25+FT25+FX25+GB25+GF25+GN25+GJ25+GR25+GV25+GZ25</f>
        <v>0</v>
      </c>
      <c r="L25" s="300">
        <f t="shared" si="25"/>
        <v>0</v>
      </c>
      <c r="M25" s="338">
        <f>'[1]УМУП УК ЖКХ г.Ульяновска'!K363/1000</f>
        <v>0.1133</v>
      </c>
      <c r="N25" s="338">
        <f>'[1]УМУП УК ЖКХ г.Ульяновска'!L363/1000</f>
        <v>0.21526999999999999</v>
      </c>
      <c r="O25" s="338">
        <f>'[1]УМУП УК ЖКХ г.Ульяновска'!M363/1000</f>
        <v>0.21526999999999999</v>
      </c>
      <c r="P25" s="301">
        <f t="shared" si="26"/>
        <v>0</v>
      </c>
      <c r="T25" s="301">
        <f t="shared" si="27"/>
        <v>0</v>
      </c>
      <c r="X25" s="301">
        <f t="shared" si="28"/>
        <v>0</v>
      </c>
      <c r="AB25" s="301">
        <f t="shared" si="29"/>
        <v>0</v>
      </c>
      <c r="AF25" s="300">
        <f t="shared" si="30"/>
        <v>0</v>
      </c>
      <c r="AJ25" s="300">
        <f t="shared" si="31"/>
        <v>0</v>
      </c>
      <c r="AN25" s="301">
        <f t="shared" si="32"/>
        <v>0</v>
      </c>
      <c r="AR25" s="300">
        <f t="shared" si="33"/>
        <v>0</v>
      </c>
      <c r="AV25" s="301">
        <f t="shared" si="34"/>
        <v>0</v>
      </c>
      <c r="AZ25" s="301">
        <f t="shared" si="35"/>
        <v>0</v>
      </c>
      <c r="BD25" s="301">
        <f t="shared" si="36"/>
        <v>0</v>
      </c>
      <c r="BH25" s="301">
        <f t="shared" si="37"/>
        <v>0</v>
      </c>
      <c r="BL25" s="301">
        <f t="shared" si="38"/>
        <v>0</v>
      </c>
      <c r="BP25" s="301">
        <f t="shared" si="52"/>
        <v>0</v>
      </c>
      <c r="BT25" s="301">
        <f t="shared" si="39"/>
        <v>0</v>
      </c>
      <c r="BU25" s="338">
        <f>'[1]ОАО ДК Лен р-на'!K632/1000</f>
        <v>0.65773999999999999</v>
      </c>
      <c r="BV25" s="338">
        <f>'[1]ОАО ДК Лен р-на'!L632/1000</f>
        <v>0.52619199999999999</v>
      </c>
      <c r="BW25" s="338">
        <f>'[1]ОАО ДК Лен р-на'!M632/1000</f>
        <v>0.52619199999999999</v>
      </c>
      <c r="BX25" s="301">
        <f t="shared" si="40"/>
        <v>0</v>
      </c>
      <c r="CB25" s="301">
        <f t="shared" si="41"/>
        <v>0</v>
      </c>
      <c r="CF25" s="300">
        <f t="shared" si="49"/>
        <v>0</v>
      </c>
      <c r="CJ25" s="301">
        <f t="shared" si="0"/>
        <v>0</v>
      </c>
      <c r="CN25" s="301">
        <f t="shared" si="1"/>
        <v>0</v>
      </c>
      <c r="CO25" s="338">
        <f>'[1]Север-1'!K418/1000</f>
        <v>5.2520000000000004E-2</v>
      </c>
      <c r="CP25" s="338">
        <f>'[1]Север-1'!L418/1000</f>
        <v>4.2016000000000005E-2</v>
      </c>
      <c r="CQ25" s="338">
        <f>'[1]Север-1'!M418/1000</f>
        <v>4.2016000000000005E-2</v>
      </c>
      <c r="CR25" s="301">
        <f t="shared" si="2"/>
        <v>0</v>
      </c>
      <c r="CV25" s="301">
        <f t="shared" si="3"/>
        <v>0</v>
      </c>
      <c r="CZ25" s="301">
        <f t="shared" si="4"/>
        <v>0</v>
      </c>
      <c r="DD25" s="300">
        <f t="shared" si="5"/>
        <v>0</v>
      </c>
      <c r="DH25" s="301">
        <f t="shared" si="6"/>
        <v>0</v>
      </c>
      <c r="DL25" s="301">
        <f t="shared" si="50"/>
        <v>0</v>
      </c>
      <c r="DP25" s="301">
        <f t="shared" si="7"/>
        <v>0</v>
      </c>
      <c r="DT25" s="300">
        <f t="shared" si="8"/>
        <v>0</v>
      </c>
      <c r="DX25" s="301">
        <f t="shared" si="9"/>
        <v>0</v>
      </c>
      <c r="EB25" s="301">
        <f t="shared" si="10"/>
        <v>0</v>
      </c>
      <c r="EF25" s="301">
        <f t="shared" si="11"/>
        <v>0</v>
      </c>
      <c r="EJ25" s="301">
        <f t="shared" si="12"/>
        <v>0</v>
      </c>
      <c r="EN25" s="301">
        <f t="shared" si="13"/>
        <v>0</v>
      </c>
      <c r="ER25" s="300">
        <f t="shared" si="14"/>
        <v>0</v>
      </c>
      <c r="ES25" s="338">
        <f>'[2]УК ЖКХ Симбирск'!K441/1000</f>
        <v>0</v>
      </c>
      <c r="ET25" s="338">
        <f>'[2]УК ЖКХ Симбирск'!L441/1000</f>
        <v>0</v>
      </c>
      <c r="EU25" s="338">
        <f>'[2]УК ЖКХ Симбирск'!M441/1000</f>
        <v>0</v>
      </c>
      <c r="EV25" s="300">
        <f t="shared" si="15"/>
        <v>0</v>
      </c>
      <c r="EZ25" s="301">
        <f t="shared" si="16"/>
        <v>0</v>
      </c>
      <c r="FD25" s="301">
        <f t="shared" si="17"/>
        <v>0</v>
      </c>
      <c r="FH25" s="300">
        <f t="shared" si="18"/>
        <v>0</v>
      </c>
      <c r="FL25" s="301">
        <f t="shared" si="19"/>
        <v>0</v>
      </c>
      <c r="FP25" s="301">
        <f t="shared" si="20"/>
        <v>0</v>
      </c>
      <c r="FQ25" s="338">
        <f>'[1]ООО ЖКХ Лен-го района'!K387/1000</f>
        <v>0</v>
      </c>
      <c r="FR25" s="338">
        <f>'[1]ООО ЖКХ Лен-го района'!L387/1000</f>
        <v>0</v>
      </c>
      <c r="FS25" s="338">
        <f>'[1]ООО ЖКХ Лен-го района'!M387/1000</f>
        <v>0</v>
      </c>
      <c r="FT25" s="301">
        <f t="shared" si="21"/>
        <v>0</v>
      </c>
      <c r="FX25" s="301">
        <f t="shared" si="22"/>
        <v>0</v>
      </c>
      <c r="GB25" s="301">
        <f t="shared" si="23"/>
        <v>0</v>
      </c>
      <c r="GF25" s="301">
        <f t="shared" si="24"/>
        <v>0</v>
      </c>
      <c r="GJ25" s="301">
        <f t="shared" si="42"/>
        <v>0</v>
      </c>
      <c r="GN25" s="301">
        <f t="shared" si="43"/>
        <v>0</v>
      </c>
      <c r="GR25" s="301">
        <f t="shared" si="44"/>
        <v>0</v>
      </c>
      <c r="GV25" s="301">
        <f t="shared" si="45"/>
        <v>0</v>
      </c>
      <c r="GZ25" s="301">
        <f t="shared" si="46"/>
        <v>0</v>
      </c>
      <c r="HA25" s="328"/>
      <c r="HB25" s="350"/>
      <c r="HC25" s="350"/>
      <c r="HD25" s="350"/>
      <c r="HE25" s="350"/>
      <c r="HF25" s="350"/>
      <c r="HG25" s="350"/>
      <c r="HH25" s="350"/>
      <c r="HI25" s="350"/>
      <c r="HJ25" s="351"/>
      <c r="HK25" s="351"/>
      <c r="HL25" s="351"/>
      <c r="HM25" s="286"/>
      <c r="HN25" s="286"/>
      <c r="HO25" s="286"/>
      <c r="HP25" s="286"/>
      <c r="HQ25" s="286"/>
      <c r="HR25" s="286"/>
      <c r="HS25" s="306"/>
      <c r="HT25" s="306"/>
      <c r="HU25" s="306"/>
      <c r="HV25" s="306"/>
      <c r="HW25" s="286"/>
      <c r="HX25" s="286"/>
      <c r="HY25" s="286"/>
      <c r="HZ25" s="286"/>
      <c r="IA25" s="286"/>
      <c r="IB25" s="286"/>
      <c r="IC25" s="286"/>
      <c r="ID25" s="286"/>
      <c r="IE25" s="286"/>
      <c r="IF25" s="286"/>
      <c r="IG25" s="286"/>
      <c r="IH25" s="286"/>
      <c r="II25" s="286"/>
      <c r="IJ25" s="286"/>
      <c r="IK25" s="286"/>
      <c r="IL25" s="286"/>
      <c r="IM25" s="286"/>
      <c r="IN25" s="286"/>
      <c r="IO25" s="286"/>
      <c r="IP25" s="286"/>
      <c r="IQ25" s="286"/>
      <c r="IR25" s="286"/>
      <c r="IS25" s="286"/>
      <c r="IT25" s="286"/>
      <c r="IU25" s="286"/>
      <c r="IV25" s="286"/>
    </row>
    <row r="26" spans="1:256" s="338" customFormat="1" ht="13.5" hidden="1" customHeight="1">
      <c r="A26" s="909"/>
      <c r="B26" s="352"/>
      <c r="C26" s="342" t="s">
        <v>200</v>
      </c>
      <c r="D26" s="337" t="s">
        <v>162</v>
      </c>
      <c r="E26" s="299">
        <f t="shared" si="51"/>
        <v>107.80261000000002</v>
      </c>
      <c r="F26" s="299">
        <f t="shared" si="51"/>
        <v>156.77951959999996</v>
      </c>
      <c r="G26" s="299">
        <f t="shared" si="51"/>
        <v>156.77951959999996</v>
      </c>
      <c r="H26" s="299">
        <f t="shared" si="51"/>
        <v>0</v>
      </c>
      <c r="L26" s="300">
        <f t="shared" si="25"/>
        <v>0</v>
      </c>
      <c r="M26" s="353">
        <f>'[1]УМУП УК ЖКХ г.Ульяновска'!K340/1000</f>
        <v>0</v>
      </c>
      <c r="N26" s="353">
        <f>'[1]УМУП УК ЖКХ г.Ульяновска'!L340/1000</f>
        <v>0</v>
      </c>
      <c r="O26" s="353">
        <f>'[1]УМУП УК ЖКХ г.Ульяновска'!M340/1000</f>
        <v>0</v>
      </c>
      <c r="P26" s="301">
        <f t="shared" si="26"/>
        <v>0</v>
      </c>
      <c r="Q26" s="338">
        <f>'[1]ОАО ДК Засвияжье 1'!K393/1000</f>
        <v>0.24904999999999999</v>
      </c>
      <c r="R26" s="338">
        <f>'[1]ОАО ДК Засвияжье 1'!L393/1000</f>
        <v>0.45825199999999999</v>
      </c>
      <c r="S26" s="338">
        <f>'[1]ОАО ДК Засвияжье 1'!M393/1000</f>
        <v>0.45825199999999999</v>
      </c>
      <c r="T26" s="301">
        <f t="shared" si="27"/>
        <v>0</v>
      </c>
      <c r="X26" s="301">
        <f t="shared" si="28"/>
        <v>0</v>
      </c>
      <c r="AB26" s="301">
        <f t="shared" si="29"/>
        <v>0</v>
      </c>
      <c r="AF26" s="300">
        <f t="shared" si="30"/>
        <v>0</v>
      </c>
      <c r="AJ26" s="300">
        <f t="shared" si="31"/>
        <v>0</v>
      </c>
      <c r="AN26" s="301">
        <f t="shared" si="32"/>
        <v>0</v>
      </c>
      <c r="AR26" s="300">
        <f t="shared" si="33"/>
        <v>0</v>
      </c>
      <c r="AV26" s="301">
        <f t="shared" si="34"/>
        <v>0</v>
      </c>
      <c r="AZ26" s="301">
        <f t="shared" si="35"/>
        <v>0</v>
      </c>
      <c r="BD26" s="301">
        <f t="shared" si="36"/>
        <v>0</v>
      </c>
      <c r="BH26" s="301">
        <f t="shared" si="37"/>
        <v>0</v>
      </c>
      <c r="BL26" s="301">
        <f t="shared" si="38"/>
        <v>0</v>
      </c>
      <c r="BP26" s="301">
        <f t="shared" si="52"/>
        <v>0</v>
      </c>
      <c r="BQ26" s="310">
        <f>'[1]ОАО ДК Засвияжье 2'!K417/1000</f>
        <v>3.6701899999999998</v>
      </c>
      <c r="BR26" s="310">
        <f>'[1]ОАО ДК Засвияжье 2'!L417/1000</f>
        <v>5.8723039999999997</v>
      </c>
      <c r="BS26" s="310">
        <f>'[1]ОАО ДК Засвияжье 2'!M417/1000</f>
        <v>5.8723039999999997</v>
      </c>
      <c r="BT26" s="301">
        <f t="shared" si="39"/>
        <v>0</v>
      </c>
      <c r="BU26" s="353">
        <f>'[1]ОАО ДК Лен р-на'!K618/1000</f>
        <v>0.10865000000000001</v>
      </c>
      <c r="BV26" s="353">
        <f>'[1]ОАО ДК Лен р-на'!L618/1000</f>
        <v>0.16732100000000003</v>
      </c>
      <c r="BW26" s="353">
        <f>'[1]ОАО ДК Лен р-на'!M618/1000</f>
        <v>0.16732100000000003</v>
      </c>
      <c r="BX26" s="301">
        <f t="shared" si="40"/>
        <v>0</v>
      </c>
      <c r="CB26" s="301">
        <f t="shared" si="41"/>
        <v>0</v>
      </c>
      <c r="CF26" s="300">
        <f t="shared" si="49"/>
        <v>0</v>
      </c>
      <c r="CJ26" s="301">
        <f t="shared" si="0"/>
        <v>0</v>
      </c>
      <c r="CN26" s="301">
        <f t="shared" si="1"/>
        <v>0</v>
      </c>
      <c r="CO26" s="338">
        <f>'[1]Север-1'!K406/1000</f>
        <v>0</v>
      </c>
      <c r="CP26" s="338">
        <f>'[1]Север-1'!L406/1000</f>
        <v>0</v>
      </c>
      <c r="CQ26" s="338">
        <f>'[1]Север-1'!M406/1000</f>
        <v>0</v>
      </c>
      <c r="CR26" s="301">
        <f t="shared" si="2"/>
        <v>0</v>
      </c>
      <c r="CV26" s="301">
        <f t="shared" si="3"/>
        <v>0</v>
      </c>
      <c r="CZ26" s="301">
        <f t="shared" si="4"/>
        <v>0</v>
      </c>
      <c r="DD26" s="300">
        <f t="shared" si="5"/>
        <v>0</v>
      </c>
      <c r="DH26" s="301">
        <f t="shared" si="6"/>
        <v>0</v>
      </c>
      <c r="DL26" s="301">
        <f t="shared" si="50"/>
        <v>0</v>
      </c>
      <c r="DP26" s="301">
        <f t="shared" si="7"/>
        <v>0</v>
      </c>
      <c r="DQ26" s="338">
        <f>'[1]ТСЖ Дачный'!K262/1000</f>
        <v>0.17898</v>
      </c>
      <c r="DR26" s="338">
        <f>'[1]ТСЖ Дачный'!L262/1000</f>
        <v>0.32932319999999998</v>
      </c>
      <c r="DS26" s="338">
        <f>'[1]ТСЖ Дачный'!M262/1000</f>
        <v>0.32932319999999998</v>
      </c>
      <c r="DT26" s="300">
        <f t="shared" si="8"/>
        <v>0</v>
      </c>
      <c r="DX26" s="301">
        <f t="shared" si="9"/>
        <v>0</v>
      </c>
      <c r="EB26" s="301">
        <f t="shared" si="10"/>
        <v>0</v>
      </c>
      <c r="EF26" s="301">
        <f t="shared" si="11"/>
        <v>0</v>
      </c>
      <c r="EG26" s="338">
        <f>'[1]ООО ЦЭТ'!K444/1000</f>
        <v>103.59574000000002</v>
      </c>
      <c r="EH26" s="338">
        <f>'[1]ООО ЦЭТ'!L444/1000</f>
        <v>149.95231939999996</v>
      </c>
      <c r="EI26" s="338">
        <f>'[1]ООО ЦЭТ'!M444/1000</f>
        <v>149.95231939999996</v>
      </c>
      <c r="EJ26" s="301">
        <f t="shared" si="12"/>
        <v>0</v>
      </c>
      <c r="EN26" s="301">
        <f t="shared" si="13"/>
        <v>0</v>
      </c>
      <c r="ER26" s="300">
        <f t="shared" si="14"/>
        <v>0</v>
      </c>
      <c r="EV26" s="300">
        <f t="shared" si="15"/>
        <v>0</v>
      </c>
      <c r="EW26" s="309">
        <f>'[1]ООО Наш Дом 010212'!K324/1000</f>
        <v>0</v>
      </c>
      <c r="EX26" s="309">
        <f>'[1]ООО Наш Дом 010212'!L324/1000</f>
        <v>0</v>
      </c>
      <c r="EY26" s="309">
        <f>'[1]ООО Наш Дом 010212'!M324/1000</f>
        <v>0</v>
      </c>
      <c r="EZ26" s="301">
        <f t="shared" si="16"/>
        <v>0</v>
      </c>
      <c r="FA26" s="338">
        <f>'[1]ООО Истоки+'!K282/1000</f>
        <v>0</v>
      </c>
      <c r="FB26" s="338">
        <f>'[1]ООО Истоки+'!L282/1000</f>
        <v>0</v>
      </c>
      <c r="FC26" s="338">
        <f>'[1]ООО Истоки+'!M282/1000</f>
        <v>0</v>
      </c>
      <c r="FD26" s="301">
        <f t="shared" si="17"/>
        <v>0</v>
      </c>
      <c r="FH26" s="300">
        <f t="shared" si="18"/>
        <v>0</v>
      </c>
      <c r="FL26" s="301">
        <f t="shared" si="19"/>
        <v>0</v>
      </c>
      <c r="FP26" s="301">
        <f t="shared" si="20"/>
        <v>0</v>
      </c>
      <c r="FQ26" s="338">
        <f>'[1]ООО ЖКХ Лен-го района'!K376/1000</f>
        <v>0</v>
      </c>
      <c r="FR26" s="338">
        <f>'[1]ООО ЖКХ Лен-го района'!L376/1000</f>
        <v>0</v>
      </c>
      <c r="FS26" s="338">
        <f>'[1]ООО ЖКХ Лен-го района'!M376/1000</f>
        <v>0</v>
      </c>
      <c r="FT26" s="301">
        <f t="shared" si="21"/>
        <v>0</v>
      </c>
      <c r="FX26" s="301">
        <f t="shared" si="22"/>
        <v>0</v>
      </c>
      <c r="GB26" s="301">
        <f t="shared" si="23"/>
        <v>0</v>
      </c>
      <c r="GF26" s="301">
        <f t="shared" si="24"/>
        <v>0</v>
      </c>
      <c r="GJ26" s="301">
        <f t="shared" si="42"/>
        <v>0</v>
      </c>
      <c r="GN26" s="301">
        <f t="shared" si="43"/>
        <v>0</v>
      </c>
      <c r="GR26" s="301">
        <f t="shared" si="44"/>
        <v>0</v>
      </c>
      <c r="GV26" s="301">
        <f t="shared" si="45"/>
        <v>0</v>
      </c>
      <c r="GZ26" s="301">
        <f t="shared" si="46"/>
        <v>0</v>
      </c>
      <c r="HA26" s="328"/>
      <c r="HB26" s="354"/>
      <c r="HC26" s="355"/>
      <c r="HD26" s="355"/>
      <c r="HE26" s="355"/>
      <c r="HF26" s="355"/>
      <c r="HG26" s="356"/>
      <c r="HH26" s="356"/>
      <c r="HI26" s="354"/>
      <c r="HJ26" s="357"/>
      <c r="HK26" s="357"/>
      <c r="HL26" s="357"/>
      <c r="HM26" s="286"/>
      <c r="HN26" s="286"/>
      <c r="HO26" s="286"/>
      <c r="HP26" s="286"/>
      <c r="HQ26" s="286"/>
      <c r="HR26" s="286"/>
      <c r="HS26" s="306"/>
      <c r="HT26" s="306"/>
      <c r="HU26" s="306"/>
      <c r="HV26" s="306"/>
      <c r="HW26" s="286"/>
      <c r="HX26" s="286"/>
      <c r="HY26" s="286"/>
      <c r="HZ26" s="286"/>
      <c r="IA26" s="286"/>
      <c r="IB26" s="286"/>
      <c r="IC26" s="286"/>
      <c r="ID26" s="286"/>
      <c r="IE26" s="286"/>
      <c r="IF26" s="286"/>
      <c r="IG26" s="286"/>
      <c r="IH26" s="286"/>
      <c r="II26" s="286"/>
      <c r="IJ26" s="286"/>
      <c r="IK26" s="286"/>
      <c r="IL26" s="286"/>
      <c r="IM26" s="286"/>
      <c r="IN26" s="286"/>
      <c r="IO26" s="286"/>
      <c r="IP26" s="286"/>
      <c r="IQ26" s="286"/>
      <c r="IR26" s="286"/>
      <c r="IS26" s="286"/>
      <c r="IT26" s="286"/>
      <c r="IU26" s="286"/>
      <c r="IV26" s="286"/>
    </row>
    <row r="27" spans="1:256" s="338" customFormat="1" ht="13.5" hidden="1" customHeight="1">
      <c r="A27" s="909"/>
      <c r="B27" s="352"/>
      <c r="C27" s="342" t="s">
        <v>201</v>
      </c>
      <c r="D27" s="337" t="s">
        <v>162</v>
      </c>
      <c r="E27" s="299">
        <f t="shared" ref="E27:H46" si="54">I27+M27+Q27+U27+Y27+AC27+AG27+AK27+AO27+AS27+AW27+BA27+BE27+BI27+BM27+BQ27+BU27+BY27+CC27+CG27+CK27+CO27+CS27+CW27+DA27+DE27+DI27+DM27+DQ27+DU27+DY27+EC27+EG27+EK27+EO27+ES27+EW27+FA27+FE27+FI27+FM27+FQ27+FU27+FY27+GC27+GK27+GG27+GO27+GS27+GW27</f>
        <v>9.4540199999999999</v>
      </c>
      <c r="F27" s="299">
        <f t="shared" si="54"/>
        <v>17.962637999999998</v>
      </c>
      <c r="G27" s="299">
        <f t="shared" si="54"/>
        <v>17.962637999999998</v>
      </c>
      <c r="H27" s="299">
        <f t="shared" si="54"/>
        <v>0</v>
      </c>
      <c r="L27" s="300">
        <f t="shared" si="25"/>
        <v>0</v>
      </c>
      <c r="M27" s="353"/>
      <c r="N27" s="353"/>
      <c r="O27" s="353"/>
      <c r="P27" s="301">
        <f t="shared" si="26"/>
        <v>0</v>
      </c>
      <c r="T27" s="301">
        <f t="shared" si="27"/>
        <v>0</v>
      </c>
      <c r="X27" s="301">
        <f t="shared" si="28"/>
        <v>0</v>
      </c>
      <c r="AB27" s="301">
        <f t="shared" si="29"/>
        <v>0</v>
      </c>
      <c r="AF27" s="300">
        <f t="shared" si="30"/>
        <v>0</v>
      </c>
      <c r="AJ27" s="300">
        <f t="shared" si="31"/>
        <v>0</v>
      </c>
      <c r="AN27" s="301">
        <f t="shared" si="32"/>
        <v>0</v>
      </c>
      <c r="AR27" s="300">
        <f t="shared" si="33"/>
        <v>0</v>
      </c>
      <c r="AV27" s="301">
        <f t="shared" si="34"/>
        <v>0</v>
      </c>
      <c r="AZ27" s="301">
        <f t="shared" si="35"/>
        <v>0</v>
      </c>
      <c r="BD27" s="301">
        <f t="shared" si="36"/>
        <v>0</v>
      </c>
      <c r="BH27" s="301">
        <f t="shared" si="37"/>
        <v>0</v>
      </c>
      <c r="BL27" s="301">
        <f t="shared" si="38"/>
        <v>0</v>
      </c>
      <c r="BP27" s="301">
        <f t="shared" si="52"/>
        <v>0</v>
      </c>
      <c r="BQ27" s="310"/>
      <c r="BR27" s="310"/>
      <c r="BS27" s="310"/>
      <c r="BT27" s="301">
        <f t="shared" si="39"/>
        <v>0</v>
      </c>
      <c r="BU27" s="353"/>
      <c r="BV27" s="353"/>
      <c r="BW27" s="353"/>
      <c r="BX27" s="301">
        <f t="shared" si="40"/>
        <v>0</v>
      </c>
      <c r="CB27" s="301">
        <f t="shared" si="41"/>
        <v>0</v>
      </c>
      <c r="CF27" s="300">
        <f t="shared" si="49"/>
        <v>0</v>
      </c>
      <c r="CJ27" s="301">
        <f t="shared" si="0"/>
        <v>0</v>
      </c>
      <c r="CN27" s="301">
        <f t="shared" si="1"/>
        <v>0</v>
      </c>
      <c r="CR27" s="301">
        <f t="shared" si="2"/>
        <v>0</v>
      </c>
      <c r="CV27" s="301">
        <f t="shared" si="3"/>
        <v>0</v>
      </c>
      <c r="CZ27" s="301">
        <f t="shared" si="4"/>
        <v>0</v>
      </c>
      <c r="DD27" s="300">
        <f t="shared" si="5"/>
        <v>0</v>
      </c>
      <c r="DH27" s="301">
        <f t="shared" si="6"/>
        <v>0</v>
      </c>
      <c r="DL27" s="301">
        <f t="shared" si="50"/>
        <v>0</v>
      </c>
      <c r="DP27" s="301">
        <f t="shared" si="7"/>
        <v>0</v>
      </c>
      <c r="DT27" s="300">
        <f t="shared" si="8"/>
        <v>0</v>
      </c>
      <c r="DX27" s="301">
        <f t="shared" si="9"/>
        <v>0</v>
      </c>
      <c r="EB27" s="301">
        <f t="shared" si="10"/>
        <v>0</v>
      </c>
      <c r="EF27" s="301">
        <f t="shared" si="11"/>
        <v>0</v>
      </c>
      <c r="EJ27" s="301">
        <f t="shared" si="12"/>
        <v>0</v>
      </c>
      <c r="EN27" s="301">
        <f t="shared" si="13"/>
        <v>0</v>
      </c>
      <c r="ER27" s="300">
        <f t="shared" si="14"/>
        <v>0</v>
      </c>
      <c r="EV27" s="300">
        <f t="shared" si="15"/>
        <v>0</v>
      </c>
      <c r="EW27" s="309"/>
      <c r="EX27" s="309"/>
      <c r="EY27" s="309"/>
      <c r="EZ27" s="301">
        <f t="shared" si="16"/>
        <v>0</v>
      </c>
      <c r="FD27" s="301">
        <f t="shared" si="17"/>
        <v>0</v>
      </c>
      <c r="FH27" s="300">
        <f t="shared" si="18"/>
        <v>0</v>
      </c>
      <c r="FL27" s="301">
        <f t="shared" si="19"/>
        <v>0</v>
      </c>
      <c r="FP27" s="301">
        <f t="shared" si="20"/>
        <v>0</v>
      </c>
      <c r="FT27" s="301">
        <f t="shared" si="21"/>
        <v>0</v>
      </c>
      <c r="FX27" s="301">
        <f t="shared" si="22"/>
        <v>0</v>
      </c>
      <c r="GB27" s="301">
        <f t="shared" si="23"/>
        <v>0</v>
      </c>
      <c r="GC27" s="338">
        <f>'[1]ООО УК ЦЭТ'!K413/1000</f>
        <v>9.4540199999999999</v>
      </c>
      <c r="GD27" s="338">
        <f>'[1]ООО УК ЦЭТ'!L413/1000</f>
        <v>17.962637999999998</v>
      </c>
      <c r="GE27" s="338">
        <f>'[1]ООО УК ЦЭТ'!M413/1000</f>
        <v>17.962637999999998</v>
      </c>
      <c r="GF27" s="301">
        <f t="shared" si="24"/>
        <v>0</v>
      </c>
      <c r="GJ27" s="301">
        <f t="shared" si="42"/>
        <v>0</v>
      </c>
      <c r="GN27" s="301">
        <f t="shared" si="43"/>
        <v>0</v>
      </c>
      <c r="GR27" s="301">
        <f t="shared" si="44"/>
        <v>0</v>
      </c>
      <c r="GV27" s="301">
        <f t="shared" si="45"/>
        <v>0</v>
      </c>
      <c r="GZ27" s="301">
        <f t="shared" si="46"/>
        <v>0</v>
      </c>
      <c r="HA27" s="328"/>
      <c r="HB27" s="354"/>
      <c r="HC27" s="355"/>
      <c r="HD27" s="355"/>
      <c r="HE27" s="355"/>
      <c r="HF27" s="355"/>
      <c r="HG27" s="356"/>
      <c r="HH27" s="356"/>
      <c r="HI27" s="354"/>
      <c r="HJ27" s="357"/>
      <c r="HK27" s="357"/>
      <c r="HL27" s="357"/>
      <c r="HM27" s="286"/>
      <c r="HN27" s="286"/>
      <c r="HO27" s="286"/>
      <c r="HP27" s="286"/>
      <c r="HQ27" s="286"/>
      <c r="HR27" s="286"/>
      <c r="HS27" s="306"/>
      <c r="HT27" s="306"/>
      <c r="HU27" s="306"/>
      <c r="HV27" s="306"/>
      <c r="HW27" s="286"/>
      <c r="HX27" s="286"/>
      <c r="HY27" s="286"/>
      <c r="HZ27" s="286"/>
      <c r="IA27" s="286"/>
      <c r="IB27" s="286"/>
      <c r="IC27" s="286"/>
      <c r="ID27" s="286"/>
      <c r="IE27" s="286"/>
      <c r="IF27" s="286"/>
      <c r="IG27" s="286"/>
      <c r="IH27" s="286"/>
      <c r="II27" s="286"/>
      <c r="IJ27" s="286"/>
      <c r="IK27" s="286"/>
      <c r="IL27" s="286"/>
      <c r="IM27" s="286"/>
      <c r="IN27" s="286"/>
      <c r="IO27" s="286"/>
      <c r="IP27" s="286"/>
      <c r="IQ27" s="286"/>
      <c r="IR27" s="286"/>
      <c r="IS27" s="286"/>
      <c r="IT27" s="286"/>
      <c r="IU27" s="286"/>
      <c r="IV27" s="286"/>
    </row>
    <row r="28" spans="1:256" s="338" customFormat="1" ht="13.5" hidden="1" customHeight="1">
      <c r="A28" s="909"/>
      <c r="B28" s="341"/>
      <c r="C28" s="342" t="s">
        <v>202</v>
      </c>
      <c r="D28" s="337" t="s">
        <v>162</v>
      </c>
      <c r="E28" s="299">
        <f t="shared" si="54"/>
        <v>12.781889999999999</v>
      </c>
      <c r="F28" s="299">
        <f t="shared" si="54"/>
        <v>16.941411299999999</v>
      </c>
      <c r="G28" s="299">
        <f t="shared" si="54"/>
        <v>16.941411299999999</v>
      </c>
      <c r="H28" s="299">
        <f t="shared" si="54"/>
        <v>0</v>
      </c>
      <c r="L28" s="300">
        <f t="shared" si="25"/>
        <v>0</v>
      </c>
      <c r="P28" s="301">
        <f t="shared" si="26"/>
        <v>0</v>
      </c>
      <c r="T28" s="301">
        <f t="shared" si="27"/>
        <v>0</v>
      </c>
      <c r="X28" s="301">
        <f t="shared" si="28"/>
        <v>0</v>
      </c>
      <c r="AB28" s="301">
        <f t="shared" si="29"/>
        <v>0</v>
      </c>
      <c r="AF28" s="300">
        <f t="shared" si="30"/>
        <v>0</v>
      </c>
      <c r="AJ28" s="300">
        <f t="shared" si="31"/>
        <v>0</v>
      </c>
      <c r="AN28" s="301">
        <f t="shared" si="32"/>
        <v>0</v>
      </c>
      <c r="AR28" s="300">
        <f t="shared" si="33"/>
        <v>0</v>
      </c>
      <c r="AS28" s="309"/>
      <c r="AV28" s="301">
        <f t="shared" si="34"/>
        <v>0</v>
      </c>
      <c r="AZ28" s="301">
        <f t="shared" si="35"/>
        <v>0</v>
      </c>
      <c r="BD28" s="301">
        <f t="shared" si="36"/>
        <v>0</v>
      </c>
      <c r="BH28" s="301">
        <f t="shared" si="37"/>
        <v>0</v>
      </c>
      <c r="BL28" s="301">
        <f t="shared" si="38"/>
        <v>0</v>
      </c>
      <c r="BP28" s="301">
        <f t="shared" si="52"/>
        <v>0</v>
      </c>
      <c r="BT28" s="301">
        <f t="shared" si="39"/>
        <v>0</v>
      </c>
      <c r="BX28" s="301">
        <f t="shared" si="40"/>
        <v>0</v>
      </c>
      <c r="CB28" s="301">
        <f t="shared" si="41"/>
        <v>0</v>
      </c>
      <c r="CF28" s="300">
        <f t="shared" si="49"/>
        <v>0</v>
      </c>
      <c r="CJ28" s="301">
        <f t="shared" si="0"/>
        <v>0</v>
      </c>
      <c r="CN28" s="301">
        <f t="shared" si="1"/>
        <v>0</v>
      </c>
      <c r="CR28" s="301">
        <f t="shared" si="2"/>
        <v>0</v>
      </c>
      <c r="CV28" s="301">
        <f t="shared" si="3"/>
        <v>0</v>
      </c>
      <c r="CZ28" s="301">
        <f t="shared" si="4"/>
        <v>0</v>
      </c>
      <c r="DD28" s="300">
        <f t="shared" si="5"/>
        <v>0</v>
      </c>
      <c r="DH28" s="301">
        <f t="shared" si="6"/>
        <v>0</v>
      </c>
      <c r="DL28" s="301">
        <f t="shared" si="50"/>
        <v>0</v>
      </c>
      <c r="DP28" s="301">
        <f t="shared" si="7"/>
        <v>0</v>
      </c>
      <c r="DT28" s="300">
        <f t="shared" si="8"/>
        <v>0</v>
      </c>
      <c r="DX28" s="301">
        <f t="shared" si="9"/>
        <v>0</v>
      </c>
      <c r="EB28" s="301">
        <f t="shared" si="10"/>
        <v>0</v>
      </c>
      <c r="EF28" s="301">
        <f t="shared" si="11"/>
        <v>0</v>
      </c>
      <c r="EJ28" s="301">
        <f t="shared" si="12"/>
        <v>0</v>
      </c>
      <c r="EN28" s="301">
        <f t="shared" si="13"/>
        <v>0</v>
      </c>
      <c r="ER28" s="300">
        <f t="shared" si="14"/>
        <v>0</v>
      </c>
      <c r="EV28" s="300">
        <f t="shared" si="15"/>
        <v>0</v>
      </c>
      <c r="EZ28" s="301">
        <f t="shared" si="16"/>
        <v>0</v>
      </c>
      <c r="FD28" s="301">
        <f t="shared" si="17"/>
        <v>0</v>
      </c>
      <c r="FE28" s="338">
        <f>'[1]ООО ЖКиСР УправДом'!K378/1000</f>
        <v>12.781889999999999</v>
      </c>
      <c r="FF28" s="338">
        <f>'[1]ООО ЖКиСР УправДом'!L378/1000</f>
        <v>16.941411299999999</v>
      </c>
      <c r="FG28" s="338">
        <f>'[1]ООО ЖКиСР УправДом'!M378/1000</f>
        <v>16.941411299999999</v>
      </c>
      <c r="FH28" s="300">
        <f t="shared" si="18"/>
        <v>0</v>
      </c>
      <c r="FL28" s="301">
        <f t="shared" si="19"/>
        <v>0</v>
      </c>
      <c r="FP28" s="301">
        <f t="shared" si="20"/>
        <v>0</v>
      </c>
      <c r="FT28" s="301">
        <f t="shared" si="21"/>
        <v>0</v>
      </c>
      <c r="FX28" s="301">
        <f t="shared" si="22"/>
        <v>0</v>
      </c>
      <c r="GB28" s="301">
        <f t="shared" si="23"/>
        <v>0</v>
      </c>
      <c r="GF28" s="301">
        <f t="shared" si="24"/>
        <v>0</v>
      </c>
      <c r="GJ28" s="301">
        <f t="shared" si="42"/>
        <v>0</v>
      </c>
      <c r="GN28" s="301">
        <f t="shared" si="43"/>
        <v>0</v>
      </c>
      <c r="GR28" s="301">
        <f t="shared" si="44"/>
        <v>0</v>
      </c>
      <c r="GV28" s="301">
        <f t="shared" si="45"/>
        <v>0</v>
      </c>
      <c r="GZ28" s="301">
        <f t="shared" si="46"/>
        <v>0</v>
      </c>
      <c r="HA28" s="328"/>
      <c r="HB28" s="354"/>
      <c r="HC28" s="355"/>
      <c r="HD28" s="355"/>
      <c r="HE28" s="355"/>
      <c r="HF28" s="355"/>
      <c r="HG28" s="356"/>
      <c r="HH28" s="356"/>
      <c r="HI28" s="354"/>
      <c r="HJ28" s="358"/>
      <c r="HK28" s="358"/>
      <c r="HL28" s="358"/>
      <c r="HM28" s="359"/>
      <c r="HN28" s="286"/>
      <c r="HO28" s="286"/>
      <c r="HP28" s="286"/>
      <c r="HQ28" s="286"/>
      <c r="HR28" s="286"/>
      <c r="HS28" s="306"/>
      <c r="HT28" s="306"/>
      <c r="HU28" s="306"/>
      <c r="HV28" s="30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  <c r="IQ28" s="286"/>
      <c r="IR28" s="286"/>
      <c r="IS28" s="286"/>
      <c r="IT28" s="286"/>
      <c r="IU28" s="286"/>
      <c r="IV28" s="286"/>
    </row>
    <row r="29" spans="1:256" s="338" customFormat="1" ht="13.5" hidden="1" customHeight="1">
      <c r="A29" s="909"/>
      <c r="B29" s="341"/>
      <c r="C29" s="342" t="s">
        <v>203</v>
      </c>
      <c r="D29" s="337" t="s">
        <v>162</v>
      </c>
      <c r="E29" s="299">
        <f t="shared" si="54"/>
        <v>1183.2769600000001</v>
      </c>
      <c r="F29" s="299">
        <f t="shared" si="54"/>
        <v>2242.7337550000007</v>
      </c>
      <c r="G29" s="299">
        <f t="shared" si="54"/>
        <v>2242.7337550000007</v>
      </c>
      <c r="H29" s="299">
        <f t="shared" si="54"/>
        <v>0</v>
      </c>
      <c r="L29" s="300">
        <f t="shared" si="25"/>
        <v>0</v>
      </c>
      <c r="P29" s="301">
        <f t="shared" si="26"/>
        <v>0</v>
      </c>
      <c r="T29" s="301">
        <f t="shared" si="27"/>
        <v>0</v>
      </c>
      <c r="X29" s="301">
        <f t="shared" si="28"/>
        <v>0</v>
      </c>
      <c r="AB29" s="301">
        <f t="shared" si="29"/>
        <v>0</v>
      </c>
      <c r="AF29" s="300">
        <f t="shared" si="30"/>
        <v>0</v>
      </c>
      <c r="AG29" s="338">
        <f>[1]Вымпел!K115/1000</f>
        <v>0</v>
      </c>
      <c r="AH29" s="338">
        <f>[1]Вымпел!L115/1000</f>
        <v>0</v>
      </c>
      <c r="AI29" s="338">
        <f>[1]Вымпел!M115/1000</f>
        <v>0</v>
      </c>
      <c r="AJ29" s="300">
        <f t="shared" si="31"/>
        <v>0</v>
      </c>
      <c r="AN29" s="301">
        <f t="shared" si="32"/>
        <v>0</v>
      </c>
      <c r="AO29" s="338">
        <f>'[1]ЗАО ГК Аметист'!K469/1000</f>
        <v>18.308229999999998</v>
      </c>
      <c r="AP29" s="338">
        <f>'[1]ЗАО ГК Аметист'!L469/1000</f>
        <v>29.293168000000001</v>
      </c>
      <c r="AQ29" s="338">
        <f>'[1]ЗАО ГК Аметист'!M469/1000</f>
        <v>29.293168000000001</v>
      </c>
      <c r="AR29" s="300">
        <f t="shared" si="33"/>
        <v>0</v>
      </c>
      <c r="AV29" s="301">
        <f t="shared" si="34"/>
        <v>0</v>
      </c>
      <c r="AZ29" s="301">
        <f t="shared" si="35"/>
        <v>0</v>
      </c>
      <c r="BD29" s="301">
        <f t="shared" si="36"/>
        <v>0</v>
      </c>
      <c r="BH29" s="301">
        <f t="shared" si="37"/>
        <v>0</v>
      </c>
      <c r="BL29" s="301">
        <f t="shared" si="38"/>
        <v>0</v>
      </c>
      <c r="BP29" s="301">
        <f t="shared" si="52"/>
        <v>0</v>
      </c>
      <c r="BT29" s="301">
        <f t="shared" si="39"/>
        <v>0</v>
      </c>
      <c r="BX29" s="301">
        <f t="shared" si="40"/>
        <v>0</v>
      </c>
      <c r="BY29" s="338">
        <f>'[1]ОАО ДК ЖД р-на'!K847/1000</f>
        <v>1164.8971000000001</v>
      </c>
      <c r="BZ29" s="338">
        <f>'[1]ОАО ДК ЖД р-на'!L847/1000</f>
        <v>2213.3044900000004</v>
      </c>
      <c r="CA29" s="338">
        <f>'[1]ОАО ДК ЖД р-на'!M847/1000</f>
        <v>2213.3044900000004</v>
      </c>
      <c r="CB29" s="301">
        <f t="shared" si="41"/>
        <v>0</v>
      </c>
      <c r="CF29" s="300">
        <f t="shared" si="49"/>
        <v>0</v>
      </c>
      <c r="CJ29" s="301">
        <f t="shared" si="0"/>
        <v>0</v>
      </c>
      <c r="CN29" s="301">
        <f t="shared" si="1"/>
        <v>0</v>
      </c>
      <c r="CR29" s="301">
        <f t="shared" si="2"/>
        <v>0</v>
      </c>
      <c r="CS29" s="338">
        <f>'[1]МостОтряд №51'!K115/1000</f>
        <v>0</v>
      </c>
      <c r="CT29" s="338">
        <f>'[1]МостОтряд №51'!L115/1000</f>
        <v>0</v>
      </c>
      <c r="CU29" s="338">
        <f>'[1]МостОтряд №51'!M115/1000</f>
        <v>0</v>
      </c>
      <c r="CV29" s="301">
        <f t="shared" si="3"/>
        <v>0</v>
      </c>
      <c r="CW29" s="338">
        <f>'[1]Пр-т Гая'!K471/1000</f>
        <v>7.1629999999999999E-2</v>
      </c>
      <c r="CX29" s="338">
        <f>'[1]Пр-т Гая'!L471/1000</f>
        <v>0.13609699999999997</v>
      </c>
      <c r="CY29" s="338">
        <f>'[1]Пр-т Гая'!M471/1000</f>
        <v>0.13609699999999997</v>
      </c>
      <c r="CZ29" s="301">
        <f t="shared" si="4"/>
        <v>0</v>
      </c>
      <c r="DA29" s="338">
        <f>[1]Стасова!K262/1000</f>
        <v>0</v>
      </c>
      <c r="DB29" s="338">
        <f>[1]Стасова!L262/1000</f>
        <v>0</v>
      </c>
      <c r="DC29" s="338">
        <f>[1]Стасова!M262/1000</f>
        <v>0</v>
      </c>
      <c r="DD29" s="300">
        <f t="shared" si="5"/>
        <v>0</v>
      </c>
      <c r="DE29" s="338">
        <f>'[1]Мегаполис ТСЖ'!K115/1000</f>
        <v>0</v>
      </c>
      <c r="DF29" s="338">
        <f>'[1]Мегаполис ТСЖ'!L115/1000</f>
        <v>0</v>
      </c>
      <c r="DG29" s="338">
        <f>'[1]Мегаполис ТСЖ'!M115/1000</f>
        <v>0</v>
      </c>
      <c r="DH29" s="301">
        <f t="shared" si="6"/>
        <v>0</v>
      </c>
      <c r="DL29" s="301">
        <f t="shared" si="50"/>
        <v>0</v>
      </c>
      <c r="DP29" s="301">
        <f t="shared" si="7"/>
        <v>0</v>
      </c>
      <c r="DT29" s="300">
        <f t="shared" si="8"/>
        <v>0</v>
      </c>
      <c r="DX29" s="301">
        <f t="shared" si="9"/>
        <v>0</v>
      </c>
      <c r="DY29" s="338">
        <f>'[1]ЖСК Электромаш'!K115/1000</f>
        <v>0</v>
      </c>
      <c r="DZ29" s="338">
        <f>'[1]ЖСК Электромаш'!L115/1000</f>
        <v>0</v>
      </c>
      <c r="EA29" s="338">
        <f>'[1]ЖСК Электромаш'!M115/1000</f>
        <v>0</v>
      </c>
      <c r="EB29" s="301">
        <f t="shared" si="10"/>
        <v>0</v>
      </c>
      <c r="EC29" s="338">
        <f>'[1]ЗАО Авиастар-СП'!K115/1000</f>
        <v>0</v>
      </c>
      <c r="ED29" s="338">
        <f>'[1]ЗАО Авиастар-СП'!L115/1000</f>
        <v>0</v>
      </c>
      <c r="EE29" s="338">
        <f>'[1]ЗАО Авиастар-СП'!M115/1000</f>
        <v>0</v>
      </c>
      <c r="EF29" s="301">
        <f t="shared" si="11"/>
        <v>0</v>
      </c>
      <c r="EJ29" s="301">
        <f t="shared" si="12"/>
        <v>0</v>
      </c>
      <c r="EN29" s="301">
        <f t="shared" si="13"/>
        <v>0</v>
      </c>
      <c r="ER29" s="300">
        <f t="shared" si="14"/>
        <v>0</v>
      </c>
      <c r="EV29" s="300">
        <f t="shared" si="15"/>
        <v>0</v>
      </c>
      <c r="EZ29" s="301">
        <f t="shared" si="16"/>
        <v>0</v>
      </c>
      <c r="FD29" s="301">
        <f t="shared" si="17"/>
        <v>0</v>
      </c>
      <c r="FH29" s="300">
        <f t="shared" si="18"/>
        <v>0</v>
      </c>
      <c r="FL29" s="301">
        <f t="shared" si="19"/>
        <v>0</v>
      </c>
      <c r="FP29" s="301">
        <f t="shared" si="20"/>
        <v>0</v>
      </c>
      <c r="FT29" s="301">
        <f t="shared" si="21"/>
        <v>0</v>
      </c>
      <c r="FX29" s="301">
        <f t="shared" si="22"/>
        <v>0</v>
      </c>
      <c r="GB29" s="301">
        <f t="shared" si="23"/>
        <v>0</v>
      </c>
      <c r="GF29" s="301">
        <f t="shared" si="24"/>
        <v>0</v>
      </c>
      <c r="GJ29" s="301">
        <f t="shared" si="42"/>
        <v>0</v>
      </c>
      <c r="GN29" s="301">
        <f t="shared" si="43"/>
        <v>0</v>
      </c>
      <c r="GR29" s="301">
        <f t="shared" si="44"/>
        <v>0</v>
      </c>
      <c r="GV29" s="301">
        <f t="shared" si="45"/>
        <v>0</v>
      </c>
      <c r="GZ29" s="301">
        <f t="shared" si="46"/>
        <v>0</v>
      </c>
      <c r="HA29" s="328"/>
      <c r="HB29" s="354"/>
      <c r="HC29" s="355"/>
      <c r="HD29" s="355"/>
      <c r="HE29" s="355"/>
      <c r="HF29" s="355"/>
      <c r="HG29" s="356"/>
      <c r="HH29" s="356"/>
      <c r="HI29" s="354"/>
      <c r="HJ29" s="357"/>
      <c r="HK29" s="357"/>
      <c r="HL29" s="357"/>
      <c r="HM29" s="286"/>
      <c r="HN29" s="286"/>
      <c r="HO29" s="286"/>
      <c r="HP29" s="286"/>
      <c r="HQ29" s="286"/>
      <c r="HR29" s="286"/>
      <c r="HS29" s="306"/>
      <c r="HT29" s="306"/>
      <c r="HU29" s="306"/>
      <c r="HV29" s="306"/>
      <c r="HW29" s="286"/>
      <c r="HX29" s="286"/>
      <c r="HY29" s="286"/>
      <c r="HZ29" s="286"/>
      <c r="IA29" s="286"/>
      <c r="IB29" s="286"/>
      <c r="IC29" s="286"/>
      <c r="ID29" s="286"/>
      <c r="IE29" s="286"/>
      <c r="IF29" s="286"/>
      <c r="IG29" s="286"/>
      <c r="IH29" s="286"/>
      <c r="II29" s="286"/>
      <c r="IJ29" s="286"/>
      <c r="IK29" s="286"/>
      <c r="IL29" s="286"/>
      <c r="IM29" s="286"/>
      <c r="IN29" s="286"/>
      <c r="IO29" s="286"/>
      <c r="IP29" s="286"/>
      <c r="IQ29" s="286"/>
      <c r="IR29" s="286"/>
      <c r="IS29" s="286"/>
      <c r="IT29" s="286"/>
      <c r="IU29" s="286"/>
      <c r="IV29" s="286"/>
    </row>
    <row r="30" spans="1:256" s="338" customFormat="1" ht="13.5" hidden="1" customHeight="1">
      <c r="A30" s="909"/>
      <c r="B30" s="341"/>
      <c r="C30" s="342" t="s">
        <v>189</v>
      </c>
      <c r="D30" s="337" t="s">
        <v>162</v>
      </c>
      <c r="E30" s="299">
        <f t="shared" si="54"/>
        <v>247.29827000000003</v>
      </c>
      <c r="F30" s="299">
        <f t="shared" si="54"/>
        <v>384.66571319999997</v>
      </c>
      <c r="G30" s="299">
        <f t="shared" si="54"/>
        <v>384.66571319999997</v>
      </c>
      <c r="H30" s="299">
        <f t="shared" si="54"/>
        <v>0</v>
      </c>
      <c r="L30" s="300">
        <f t="shared" si="25"/>
        <v>0</v>
      </c>
      <c r="P30" s="301">
        <f t="shared" si="26"/>
        <v>0</v>
      </c>
      <c r="T30" s="301">
        <f t="shared" si="27"/>
        <v>0</v>
      </c>
      <c r="X30" s="301">
        <f t="shared" si="28"/>
        <v>0</v>
      </c>
      <c r="AB30" s="301">
        <f t="shared" si="29"/>
        <v>0</v>
      </c>
      <c r="AC30" s="338">
        <f>[1]МегаЛинк!K175/1000</f>
        <v>247.29827000000003</v>
      </c>
      <c r="AD30" s="338">
        <f>[1]МегаЛинк!L175/1000</f>
        <v>384.66571319999997</v>
      </c>
      <c r="AE30" s="338">
        <f>[1]МегаЛинк!M175/1000</f>
        <v>384.66571319999997</v>
      </c>
      <c r="AF30" s="300">
        <f t="shared" si="30"/>
        <v>0</v>
      </c>
      <c r="AJ30" s="300">
        <f t="shared" si="31"/>
        <v>0</v>
      </c>
      <c r="AN30" s="301">
        <f t="shared" si="32"/>
        <v>0</v>
      </c>
      <c r="AR30" s="300">
        <f t="shared" si="33"/>
        <v>0</v>
      </c>
      <c r="AV30" s="301">
        <f t="shared" si="34"/>
        <v>0</v>
      </c>
      <c r="AZ30" s="301">
        <f t="shared" si="35"/>
        <v>0</v>
      </c>
      <c r="BD30" s="301">
        <f t="shared" si="36"/>
        <v>0</v>
      </c>
      <c r="BH30" s="301">
        <f t="shared" si="37"/>
        <v>0</v>
      </c>
      <c r="BL30" s="301">
        <f t="shared" si="38"/>
        <v>0</v>
      </c>
      <c r="BP30" s="301">
        <f t="shared" si="52"/>
        <v>0</v>
      </c>
      <c r="BT30" s="301">
        <f t="shared" si="39"/>
        <v>0</v>
      </c>
      <c r="BX30" s="301">
        <f t="shared" si="40"/>
        <v>0</v>
      </c>
      <c r="CB30" s="301">
        <f t="shared" si="41"/>
        <v>0</v>
      </c>
      <c r="CF30" s="300">
        <f t="shared" si="49"/>
        <v>0</v>
      </c>
      <c r="CJ30" s="301">
        <f t="shared" si="0"/>
        <v>0</v>
      </c>
      <c r="CN30" s="301">
        <f t="shared" si="1"/>
        <v>0</v>
      </c>
      <c r="CR30" s="301">
        <f t="shared" si="2"/>
        <v>0</v>
      </c>
      <c r="CV30" s="301">
        <f t="shared" si="3"/>
        <v>0</v>
      </c>
      <c r="CZ30" s="301">
        <f t="shared" si="4"/>
        <v>0</v>
      </c>
      <c r="DD30" s="300">
        <f t="shared" si="5"/>
        <v>0</v>
      </c>
      <c r="DH30" s="301">
        <f t="shared" si="6"/>
        <v>0</v>
      </c>
      <c r="DL30" s="301">
        <f t="shared" si="50"/>
        <v>0</v>
      </c>
      <c r="DP30" s="301">
        <f t="shared" si="7"/>
        <v>0</v>
      </c>
      <c r="DT30" s="300">
        <f t="shared" si="8"/>
        <v>0</v>
      </c>
      <c r="DX30" s="301">
        <f t="shared" si="9"/>
        <v>0</v>
      </c>
      <c r="EB30" s="301">
        <f t="shared" si="10"/>
        <v>0</v>
      </c>
      <c r="EF30" s="301">
        <f t="shared" si="11"/>
        <v>0</v>
      </c>
      <c r="EJ30" s="301">
        <f t="shared" si="12"/>
        <v>0</v>
      </c>
      <c r="EN30" s="301">
        <f t="shared" si="13"/>
        <v>0</v>
      </c>
      <c r="ER30" s="300">
        <f t="shared" si="14"/>
        <v>0</v>
      </c>
      <c r="EV30" s="300">
        <f t="shared" si="15"/>
        <v>0</v>
      </c>
      <c r="EZ30" s="301">
        <f t="shared" si="16"/>
        <v>0</v>
      </c>
      <c r="FD30" s="301">
        <f t="shared" si="17"/>
        <v>0</v>
      </c>
      <c r="FH30" s="300">
        <f t="shared" si="18"/>
        <v>0</v>
      </c>
      <c r="FL30" s="301">
        <f t="shared" si="19"/>
        <v>0</v>
      </c>
      <c r="FP30" s="301">
        <f t="shared" si="20"/>
        <v>0</v>
      </c>
      <c r="FT30" s="301">
        <f t="shared" si="21"/>
        <v>0</v>
      </c>
      <c r="FX30" s="301">
        <f t="shared" si="22"/>
        <v>0</v>
      </c>
      <c r="GB30" s="301">
        <f t="shared" si="23"/>
        <v>0</v>
      </c>
      <c r="GF30" s="301">
        <f t="shared" si="24"/>
        <v>0</v>
      </c>
      <c r="GJ30" s="301">
        <f t="shared" si="42"/>
        <v>0</v>
      </c>
      <c r="GN30" s="301">
        <f t="shared" si="43"/>
        <v>0</v>
      </c>
      <c r="GR30" s="301">
        <f t="shared" si="44"/>
        <v>0</v>
      </c>
      <c r="GV30" s="301">
        <f t="shared" si="45"/>
        <v>0</v>
      </c>
      <c r="GZ30" s="301">
        <f t="shared" si="46"/>
        <v>0</v>
      </c>
      <c r="HA30" s="328"/>
      <c r="HB30" s="354"/>
      <c r="HC30" s="355"/>
      <c r="HD30" s="355"/>
      <c r="HE30" s="355"/>
      <c r="HF30" s="355"/>
      <c r="HG30" s="356"/>
      <c r="HH30" s="356"/>
      <c r="HI30" s="354"/>
      <c r="HJ30" s="357"/>
      <c r="HK30" s="357"/>
      <c r="HL30" s="357"/>
      <c r="HM30" s="286"/>
      <c r="HN30" s="286"/>
      <c r="HO30" s="286"/>
      <c r="HP30" s="286"/>
      <c r="HQ30" s="286"/>
      <c r="HR30" s="286"/>
      <c r="HS30" s="306"/>
      <c r="HT30" s="306"/>
      <c r="HU30" s="306"/>
      <c r="HV30" s="306"/>
      <c r="HW30" s="286"/>
      <c r="HX30" s="286"/>
      <c r="HY30" s="286"/>
      <c r="HZ30" s="286"/>
      <c r="IA30" s="286"/>
      <c r="IB30" s="286"/>
      <c r="IC30" s="286"/>
      <c r="ID30" s="286"/>
      <c r="IE30" s="286"/>
      <c r="IF30" s="286"/>
      <c r="IG30" s="286"/>
      <c r="IH30" s="286"/>
      <c r="II30" s="286"/>
      <c r="IJ30" s="286"/>
      <c r="IK30" s="286"/>
      <c r="IL30" s="286"/>
      <c r="IM30" s="286"/>
      <c r="IN30" s="286"/>
      <c r="IO30" s="286"/>
      <c r="IP30" s="286"/>
      <c r="IQ30" s="286"/>
      <c r="IR30" s="286"/>
      <c r="IS30" s="286"/>
      <c r="IT30" s="286"/>
      <c r="IU30" s="286"/>
      <c r="IV30" s="286"/>
    </row>
    <row r="31" spans="1:256" s="338" customFormat="1" ht="13.5" hidden="1" customHeight="1">
      <c r="A31" s="909"/>
      <c r="B31" s="341"/>
      <c r="C31" s="342" t="s">
        <v>204</v>
      </c>
      <c r="D31" s="337" t="s">
        <v>162</v>
      </c>
      <c r="E31" s="299">
        <f t="shared" si="54"/>
        <v>434.99624</v>
      </c>
      <c r="F31" s="299">
        <f t="shared" si="54"/>
        <v>718.595234</v>
      </c>
      <c r="G31" s="299">
        <f t="shared" si="54"/>
        <v>718.595234</v>
      </c>
      <c r="H31" s="299">
        <f t="shared" si="54"/>
        <v>0</v>
      </c>
      <c r="L31" s="300">
        <f t="shared" si="25"/>
        <v>0</v>
      </c>
      <c r="P31" s="301">
        <f t="shared" si="26"/>
        <v>0</v>
      </c>
      <c r="T31" s="301">
        <f t="shared" si="27"/>
        <v>0</v>
      </c>
      <c r="X31" s="301">
        <f t="shared" si="28"/>
        <v>0</v>
      </c>
      <c r="Y31" s="338">
        <f>'[1]ООО ЖСС'!K154/1000</f>
        <v>399.32130000000001</v>
      </c>
      <c r="Z31" s="338">
        <f>'[1]ООО ЖСС'!L154/1000</f>
        <v>666.86657100000002</v>
      </c>
      <c r="AA31" s="338">
        <f>'[1]ООО ЖСС'!M154/1000</f>
        <v>666.86657100000002</v>
      </c>
      <c r="AB31" s="301">
        <f t="shared" si="29"/>
        <v>0</v>
      </c>
      <c r="AF31" s="300">
        <f t="shared" si="30"/>
        <v>0</v>
      </c>
      <c r="AJ31" s="300">
        <f t="shared" si="31"/>
        <v>0</v>
      </c>
      <c r="AN31" s="301">
        <f t="shared" si="32"/>
        <v>0</v>
      </c>
      <c r="AR31" s="300">
        <f t="shared" si="33"/>
        <v>0</v>
      </c>
      <c r="AV31" s="301">
        <f t="shared" si="34"/>
        <v>0</v>
      </c>
      <c r="AZ31" s="301">
        <f t="shared" si="35"/>
        <v>0</v>
      </c>
      <c r="BD31" s="301">
        <f t="shared" si="36"/>
        <v>0</v>
      </c>
      <c r="BH31" s="301">
        <f t="shared" si="37"/>
        <v>0</v>
      </c>
      <c r="BL31" s="301">
        <f t="shared" si="38"/>
        <v>0</v>
      </c>
      <c r="BP31" s="301">
        <f t="shared" si="52"/>
        <v>0</v>
      </c>
      <c r="BT31" s="301">
        <f t="shared" si="39"/>
        <v>0</v>
      </c>
      <c r="BX31" s="301">
        <f t="shared" si="40"/>
        <v>0</v>
      </c>
      <c r="CB31" s="301">
        <f t="shared" si="41"/>
        <v>0</v>
      </c>
      <c r="CF31" s="300">
        <f t="shared" si="49"/>
        <v>0</v>
      </c>
      <c r="CG31" s="338">
        <f>'[1]УК ЖСС'!K182/1000</f>
        <v>35.674939999999999</v>
      </c>
      <c r="CH31" s="338">
        <f>'[1]УК ЖСС'!L182/1000</f>
        <v>51.728662999999997</v>
      </c>
      <c r="CI31" s="338">
        <f>'[1]УК ЖСС'!M182/1000</f>
        <v>51.728662999999997</v>
      </c>
      <c r="CJ31" s="301">
        <f t="shared" si="0"/>
        <v>0</v>
      </c>
      <c r="CN31" s="301">
        <f t="shared" si="1"/>
        <v>0</v>
      </c>
      <c r="CR31" s="301">
        <f t="shared" si="2"/>
        <v>0</v>
      </c>
      <c r="CV31" s="301">
        <f t="shared" si="3"/>
        <v>0</v>
      </c>
      <c r="CZ31" s="301">
        <f t="shared" si="4"/>
        <v>0</v>
      </c>
      <c r="DD31" s="300">
        <f t="shared" si="5"/>
        <v>0</v>
      </c>
      <c r="DH31" s="301">
        <f t="shared" si="6"/>
        <v>0</v>
      </c>
      <c r="DL31" s="301">
        <f t="shared" si="50"/>
        <v>0</v>
      </c>
      <c r="DP31" s="301">
        <f t="shared" si="7"/>
        <v>0</v>
      </c>
      <c r="DT31" s="300">
        <f t="shared" si="8"/>
        <v>0</v>
      </c>
      <c r="DX31" s="301">
        <f t="shared" si="9"/>
        <v>0</v>
      </c>
      <c r="EB31" s="301">
        <f t="shared" si="10"/>
        <v>0</v>
      </c>
      <c r="EF31" s="301">
        <f t="shared" si="11"/>
        <v>0</v>
      </c>
      <c r="EJ31" s="301">
        <f t="shared" si="12"/>
        <v>0</v>
      </c>
      <c r="EN31" s="301">
        <f t="shared" si="13"/>
        <v>0</v>
      </c>
      <c r="ER31" s="300">
        <f t="shared" si="14"/>
        <v>0</v>
      </c>
      <c r="EV31" s="300">
        <f t="shared" si="15"/>
        <v>0</v>
      </c>
      <c r="EZ31" s="301">
        <f t="shared" si="16"/>
        <v>0</v>
      </c>
      <c r="FD31" s="301">
        <f t="shared" si="17"/>
        <v>0</v>
      </c>
      <c r="FH31" s="300">
        <f t="shared" si="18"/>
        <v>0</v>
      </c>
      <c r="FL31" s="301">
        <f t="shared" si="19"/>
        <v>0</v>
      </c>
      <c r="FP31" s="301">
        <f t="shared" si="20"/>
        <v>0</v>
      </c>
      <c r="FT31" s="301">
        <f t="shared" si="21"/>
        <v>0</v>
      </c>
      <c r="FX31" s="301">
        <f t="shared" si="22"/>
        <v>0</v>
      </c>
      <c r="GB31" s="301">
        <f t="shared" si="23"/>
        <v>0</v>
      </c>
      <c r="GF31" s="301">
        <f t="shared" si="24"/>
        <v>0</v>
      </c>
      <c r="GJ31" s="301">
        <f t="shared" si="42"/>
        <v>0</v>
      </c>
      <c r="GN31" s="301">
        <f t="shared" si="43"/>
        <v>0</v>
      </c>
      <c r="GR31" s="301">
        <f t="shared" si="44"/>
        <v>0</v>
      </c>
      <c r="GV31" s="301">
        <f t="shared" si="45"/>
        <v>0</v>
      </c>
      <c r="GZ31" s="301">
        <f t="shared" si="46"/>
        <v>0</v>
      </c>
      <c r="HA31" s="328"/>
      <c r="HB31" s="358"/>
      <c r="HC31" s="360"/>
      <c r="HD31" s="360"/>
      <c r="HE31" s="360"/>
      <c r="HF31" s="360"/>
      <c r="HG31" s="360"/>
      <c r="HH31" s="357"/>
      <c r="HI31" s="357"/>
      <c r="HJ31" s="357"/>
      <c r="HK31" s="357"/>
      <c r="HL31" s="357"/>
      <c r="HM31" s="286"/>
      <c r="HN31" s="286"/>
      <c r="HO31" s="286"/>
      <c r="HP31" s="286"/>
      <c r="HQ31" s="286"/>
      <c r="HR31" s="286"/>
      <c r="HS31" s="306"/>
      <c r="HT31" s="306"/>
      <c r="HU31" s="306"/>
      <c r="HV31" s="306"/>
      <c r="HW31" s="286"/>
      <c r="HX31" s="286"/>
      <c r="HY31" s="286"/>
      <c r="HZ31" s="286"/>
      <c r="IA31" s="286"/>
      <c r="IB31" s="286"/>
      <c r="IC31" s="286"/>
      <c r="ID31" s="286"/>
      <c r="IE31" s="286"/>
      <c r="IF31" s="286"/>
      <c r="IG31" s="286"/>
      <c r="IH31" s="286"/>
      <c r="II31" s="286"/>
      <c r="IJ31" s="286"/>
      <c r="IK31" s="286"/>
      <c r="IL31" s="286"/>
      <c r="IM31" s="286"/>
      <c r="IN31" s="286"/>
      <c r="IO31" s="286"/>
      <c r="IP31" s="286"/>
      <c r="IQ31" s="286"/>
      <c r="IR31" s="286"/>
      <c r="IS31" s="286"/>
      <c r="IT31" s="286"/>
      <c r="IU31" s="286"/>
      <c r="IV31" s="286"/>
    </row>
    <row r="32" spans="1:256" s="338" customFormat="1" ht="13.5" hidden="1" customHeight="1">
      <c r="A32" s="909"/>
      <c r="B32" s="341"/>
      <c r="C32" s="342" t="s">
        <v>205</v>
      </c>
      <c r="D32" s="337" t="s">
        <v>162</v>
      </c>
      <c r="E32" s="299">
        <f t="shared" si="54"/>
        <v>5.3926400000000001</v>
      </c>
      <c r="F32" s="299">
        <f t="shared" si="54"/>
        <v>4.2062592000000008</v>
      </c>
      <c r="G32" s="299">
        <f t="shared" si="54"/>
        <v>4.2062592000000008</v>
      </c>
      <c r="H32" s="299">
        <f t="shared" si="54"/>
        <v>0</v>
      </c>
      <c r="L32" s="300">
        <f t="shared" si="25"/>
        <v>0</v>
      </c>
      <c r="P32" s="301">
        <f t="shared" si="26"/>
        <v>0</v>
      </c>
      <c r="T32" s="301">
        <f t="shared" si="27"/>
        <v>0</v>
      </c>
      <c r="X32" s="301">
        <f t="shared" si="28"/>
        <v>0</v>
      </c>
      <c r="AB32" s="301">
        <f t="shared" si="29"/>
        <v>0</v>
      </c>
      <c r="AF32" s="300">
        <f t="shared" si="30"/>
        <v>0</v>
      </c>
      <c r="AJ32" s="300">
        <f t="shared" si="31"/>
        <v>0</v>
      </c>
      <c r="AN32" s="301">
        <f t="shared" si="32"/>
        <v>0</v>
      </c>
      <c r="AR32" s="300">
        <f t="shared" si="33"/>
        <v>0</v>
      </c>
      <c r="AV32" s="301">
        <f t="shared" si="34"/>
        <v>0</v>
      </c>
      <c r="AZ32" s="301">
        <f t="shared" si="35"/>
        <v>0</v>
      </c>
      <c r="BD32" s="301">
        <f t="shared" si="36"/>
        <v>0</v>
      </c>
      <c r="BH32" s="301">
        <f t="shared" si="37"/>
        <v>0</v>
      </c>
      <c r="BL32" s="301">
        <f t="shared" si="38"/>
        <v>0</v>
      </c>
      <c r="BP32" s="301">
        <f t="shared" si="52"/>
        <v>0</v>
      </c>
      <c r="BT32" s="301">
        <f t="shared" si="39"/>
        <v>0</v>
      </c>
      <c r="BX32" s="301">
        <f t="shared" si="40"/>
        <v>0</v>
      </c>
      <c r="CB32" s="301">
        <f t="shared" si="41"/>
        <v>0</v>
      </c>
      <c r="CF32" s="300">
        <f t="shared" si="49"/>
        <v>0</v>
      </c>
      <c r="CJ32" s="301">
        <f t="shared" si="0"/>
        <v>0</v>
      </c>
      <c r="CN32" s="301">
        <f t="shared" si="1"/>
        <v>0</v>
      </c>
      <c r="CR32" s="301">
        <f t="shared" si="2"/>
        <v>0</v>
      </c>
      <c r="CV32" s="301">
        <f t="shared" si="3"/>
        <v>0</v>
      </c>
      <c r="CZ32" s="301">
        <f t="shared" si="4"/>
        <v>0</v>
      </c>
      <c r="DD32" s="300">
        <f t="shared" si="5"/>
        <v>0</v>
      </c>
      <c r="DH32" s="301">
        <f t="shared" si="6"/>
        <v>0</v>
      </c>
      <c r="DL32" s="301">
        <f t="shared" si="50"/>
        <v>0</v>
      </c>
      <c r="DP32" s="301">
        <f t="shared" si="7"/>
        <v>0</v>
      </c>
      <c r="DT32" s="300">
        <f t="shared" si="8"/>
        <v>0</v>
      </c>
      <c r="DX32" s="301">
        <f t="shared" si="9"/>
        <v>0</v>
      </c>
      <c r="EB32" s="301">
        <f t="shared" si="10"/>
        <v>0</v>
      </c>
      <c r="EF32" s="301">
        <f t="shared" si="11"/>
        <v>0</v>
      </c>
      <c r="EJ32" s="301">
        <f t="shared" si="12"/>
        <v>0</v>
      </c>
      <c r="EN32" s="301">
        <f t="shared" si="13"/>
        <v>0</v>
      </c>
      <c r="ER32" s="300">
        <f t="shared" si="14"/>
        <v>0</v>
      </c>
      <c r="ES32" s="338">
        <f>'[1]УК ЖКХ Симбирск'!K429/1000</f>
        <v>5.3926400000000001</v>
      </c>
      <c r="ET32" s="338">
        <f>'[1]УК ЖКХ Симбирск'!L429/1000</f>
        <v>4.2062592000000008</v>
      </c>
      <c r="EU32" s="338">
        <f>'[1]УК ЖКХ Симбирск'!M429/1000</f>
        <v>4.2062592000000008</v>
      </c>
      <c r="EV32" s="300">
        <f t="shared" si="15"/>
        <v>0</v>
      </c>
      <c r="EZ32" s="301">
        <f t="shared" si="16"/>
        <v>0</v>
      </c>
      <c r="FD32" s="301">
        <f t="shared" si="17"/>
        <v>0</v>
      </c>
      <c r="FH32" s="300">
        <f t="shared" si="18"/>
        <v>0</v>
      </c>
      <c r="FL32" s="301">
        <f t="shared" si="19"/>
        <v>0</v>
      </c>
      <c r="FP32" s="301">
        <f t="shared" si="20"/>
        <v>0</v>
      </c>
      <c r="FT32" s="301">
        <f t="shared" si="21"/>
        <v>0</v>
      </c>
      <c r="FX32" s="301">
        <f t="shared" si="22"/>
        <v>0</v>
      </c>
      <c r="GB32" s="301">
        <f t="shared" si="23"/>
        <v>0</v>
      </c>
      <c r="GF32" s="301">
        <f t="shared" si="24"/>
        <v>0</v>
      </c>
      <c r="GJ32" s="301">
        <f t="shared" si="42"/>
        <v>0</v>
      </c>
      <c r="GN32" s="301">
        <f t="shared" si="43"/>
        <v>0</v>
      </c>
      <c r="GR32" s="301">
        <f t="shared" si="44"/>
        <v>0</v>
      </c>
      <c r="GV32" s="301">
        <f t="shared" si="45"/>
        <v>0</v>
      </c>
      <c r="GZ32" s="301">
        <f t="shared" si="46"/>
        <v>0</v>
      </c>
      <c r="HA32" s="328"/>
      <c r="HB32" s="358"/>
      <c r="HC32" s="360"/>
      <c r="HD32" s="360"/>
      <c r="HE32" s="360"/>
      <c r="HF32" s="360"/>
      <c r="HG32" s="360"/>
      <c r="HH32" s="357"/>
      <c r="HI32" s="357"/>
      <c r="HJ32" s="357"/>
      <c r="HK32" s="357"/>
      <c r="HL32" s="357"/>
      <c r="HM32" s="286"/>
      <c r="HN32" s="286"/>
      <c r="HO32" s="286"/>
      <c r="HP32" s="286"/>
      <c r="HQ32" s="286"/>
      <c r="HR32" s="286"/>
      <c r="HS32" s="306"/>
      <c r="HT32" s="306"/>
      <c r="HU32" s="306"/>
      <c r="HV32" s="306"/>
      <c r="HW32" s="286"/>
      <c r="HX32" s="286"/>
      <c r="HY32" s="286"/>
      <c r="HZ32" s="286"/>
      <c r="IA32" s="286"/>
      <c r="IB32" s="286"/>
      <c r="IC32" s="286"/>
      <c r="ID32" s="286"/>
      <c r="IE32" s="286"/>
      <c r="IF32" s="286"/>
      <c r="IG32" s="286"/>
      <c r="IH32" s="286"/>
      <c r="II32" s="286"/>
      <c r="IJ32" s="286"/>
      <c r="IK32" s="286"/>
      <c r="IL32" s="286"/>
      <c r="IM32" s="286"/>
      <c r="IN32" s="286"/>
      <c r="IO32" s="286"/>
      <c r="IP32" s="286"/>
      <c r="IQ32" s="286"/>
      <c r="IR32" s="286"/>
      <c r="IS32" s="286"/>
      <c r="IT32" s="286"/>
      <c r="IU32" s="286"/>
      <c r="IV32" s="286"/>
    </row>
    <row r="33" spans="1:256" s="338" customFormat="1" ht="13.5" hidden="1" customHeight="1">
      <c r="A33" s="909"/>
      <c r="B33" s="341"/>
      <c r="C33" s="342" t="s">
        <v>206</v>
      </c>
      <c r="D33" s="337" t="s">
        <v>162</v>
      </c>
      <c r="E33" s="299">
        <f t="shared" si="54"/>
        <v>55.899149999999999</v>
      </c>
      <c r="F33" s="299">
        <f t="shared" si="54"/>
        <v>88.962799599999997</v>
      </c>
      <c r="G33" s="299">
        <f t="shared" si="54"/>
        <v>88.962799599999997</v>
      </c>
      <c r="H33" s="299">
        <f t="shared" si="54"/>
        <v>0</v>
      </c>
      <c r="L33" s="300">
        <f t="shared" si="25"/>
        <v>0</v>
      </c>
      <c r="P33" s="301">
        <f t="shared" si="26"/>
        <v>0</v>
      </c>
      <c r="T33" s="301">
        <f t="shared" si="27"/>
        <v>0</v>
      </c>
      <c r="X33" s="301">
        <f t="shared" si="28"/>
        <v>0</v>
      </c>
      <c r="AB33" s="301">
        <f t="shared" si="29"/>
        <v>0</v>
      </c>
      <c r="AF33" s="300">
        <f t="shared" si="30"/>
        <v>0</v>
      </c>
      <c r="AJ33" s="300">
        <f t="shared" si="31"/>
        <v>0</v>
      </c>
      <c r="AN33" s="301">
        <f t="shared" si="32"/>
        <v>0</v>
      </c>
      <c r="AR33" s="300">
        <f t="shared" si="33"/>
        <v>0</v>
      </c>
      <c r="AV33" s="301">
        <f t="shared" si="34"/>
        <v>0</v>
      </c>
      <c r="AZ33" s="301">
        <f t="shared" si="35"/>
        <v>0</v>
      </c>
      <c r="BD33" s="301">
        <f t="shared" si="36"/>
        <v>0</v>
      </c>
      <c r="BH33" s="301">
        <f t="shared" si="37"/>
        <v>0</v>
      </c>
      <c r="BL33" s="301">
        <f t="shared" si="38"/>
        <v>0</v>
      </c>
      <c r="BP33" s="301">
        <f t="shared" si="52"/>
        <v>0</v>
      </c>
      <c r="BT33" s="301">
        <f t="shared" si="39"/>
        <v>0</v>
      </c>
      <c r="BX33" s="301">
        <f t="shared" si="40"/>
        <v>0</v>
      </c>
      <c r="CB33" s="301">
        <f t="shared" si="41"/>
        <v>0</v>
      </c>
      <c r="CF33" s="300">
        <f t="shared" si="49"/>
        <v>0</v>
      </c>
      <c r="CJ33" s="301">
        <f t="shared" si="0"/>
        <v>0</v>
      </c>
      <c r="CK33" s="338">
        <f>'[1]ТСЖ Народ контроль R'!K119/1000</f>
        <v>52.980319999999999</v>
      </c>
      <c r="CL33" s="338">
        <f>'[1]ТСЖ Народ контроль R'!L119/1000</f>
        <v>83.708905599999994</v>
      </c>
      <c r="CM33" s="338">
        <f>'[1]ТСЖ Народ контроль R'!M119/1000</f>
        <v>83.708905599999994</v>
      </c>
      <c r="CN33" s="301">
        <f t="shared" si="1"/>
        <v>0</v>
      </c>
      <c r="CR33" s="301">
        <f t="shared" si="2"/>
        <v>0</v>
      </c>
      <c r="CV33" s="301">
        <f t="shared" si="3"/>
        <v>0</v>
      </c>
      <c r="CZ33" s="301">
        <f t="shared" si="4"/>
        <v>0</v>
      </c>
      <c r="DD33" s="300">
        <f t="shared" si="5"/>
        <v>0</v>
      </c>
      <c r="DH33" s="301">
        <f t="shared" si="6"/>
        <v>0</v>
      </c>
      <c r="DL33" s="301">
        <f t="shared" si="50"/>
        <v>0</v>
      </c>
      <c r="DP33" s="301">
        <f t="shared" si="7"/>
        <v>0</v>
      </c>
      <c r="DT33" s="300">
        <f t="shared" si="8"/>
        <v>0</v>
      </c>
      <c r="DX33" s="301">
        <f t="shared" si="9"/>
        <v>0</v>
      </c>
      <c r="EB33" s="301">
        <f t="shared" si="10"/>
        <v>0</v>
      </c>
      <c r="EF33" s="301">
        <f t="shared" si="11"/>
        <v>0</v>
      </c>
      <c r="EJ33" s="301">
        <f t="shared" si="12"/>
        <v>0</v>
      </c>
      <c r="EN33" s="301">
        <f t="shared" si="13"/>
        <v>0</v>
      </c>
      <c r="ER33" s="300">
        <f t="shared" si="14"/>
        <v>0</v>
      </c>
      <c r="EV33" s="300">
        <f t="shared" si="15"/>
        <v>0</v>
      </c>
      <c r="EZ33" s="301">
        <f t="shared" si="16"/>
        <v>0</v>
      </c>
      <c r="FD33" s="301">
        <f t="shared" si="17"/>
        <v>0</v>
      </c>
      <c r="FH33" s="300">
        <f t="shared" si="18"/>
        <v>0</v>
      </c>
      <c r="FL33" s="301">
        <f t="shared" si="19"/>
        <v>0</v>
      </c>
      <c r="FP33" s="301">
        <f t="shared" si="20"/>
        <v>0</v>
      </c>
      <c r="FT33" s="301">
        <f t="shared" si="21"/>
        <v>0</v>
      </c>
      <c r="FX33" s="301">
        <f t="shared" si="22"/>
        <v>0</v>
      </c>
      <c r="GB33" s="301">
        <f t="shared" si="23"/>
        <v>0</v>
      </c>
      <c r="GF33" s="301">
        <f t="shared" si="24"/>
        <v>0</v>
      </c>
      <c r="GG33" s="338">
        <f>'[1]ЖСК пер Рылеева-14'!K436/1000</f>
        <v>2.9188299999999998</v>
      </c>
      <c r="GH33" s="338">
        <f>'[1]ЖСК пер Рылеева-14'!L436/1000</f>
        <v>5.2538939999999998</v>
      </c>
      <c r="GI33" s="338">
        <f>'[1]ЖСК пер Рылеева-14'!M436/1000</f>
        <v>5.2538939999999998</v>
      </c>
      <c r="GJ33" s="301">
        <f t="shared" si="42"/>
        <v>0</v>
      </c>
      <c r="GN33" s="301">
        <f t="shared" si="43"/>
        <v>0</v>
      </c>
      <c r="GR33" s="301">
        <f t="shared" si="44"/>
        <v>0</v>
      </c>
      <c r="GV33" s="301">
        <f t="shared" si="45"/>
        <v>0</v>
      </c>
      <c r="GZ33" s="301">
        <f t="shared" si="46"/>
        <v>0</v>
      </c>
      <c r="HA33" s="328"/>
      <c r="HB33" s="358"/>
      <c r="HC33" s="360"/>
      <c r="HD33" s="360"/>
      <c r="HE33" s="360"/>
      <c r="HF33" s="360"/>
      <c r="HG33" s="360"/>
      <c r="HH33" s="357"/>
      <c r="HI33" s="357"/>
      <c r="HJ33" s="357"/>
      <c r="HK33" s="357"/>
      <c r="HL33" s="357"/>
      <c r="HM33" s="286"/>
      <c r="HN33" s="286"/>
      <c r="HO33" s="286"/>
      <c r="HP33" s="286"/>
      <c r="HQ33" s="286"/>
      <c r="HR33" s="286"/>
      <c r="HS33" s="306"/>
      <c r="HT33" s="306"/>
      <c r="HU33" s="306"/>
      <c r="HV33" s="306"/>
      <c r="HW33" s="286"/>
      <c r="HX33" s="286"/>
      <c r="HY33" s="286"/>
      <c r="HZ33" s="286"/>
      <c r="IA33" s="286"/>
      <c r="IB33" s="286"/>
      <c r="IC33" s="286"/>
      <c r="ID33" s="286"/>
      <c r="IE33" s="286"/>
      <c r="IF33" s="286"/>
      <c r="IG33" s="286"/>
      <c r="IH33" s="286"/>
      <c r="II33" s="286"/>
      <c r="IJ33" s="286"/>
      <c r="IK33" s="286"/>
      <c r="IL33" s="286"/>
      <c r="IM33" s="286"/>
      <c r="IN33" s="286"/>
      <c r="IO33" s="286"/>
      <c r="IP33" s="286"/>
      <c r="IQ33" s="286"/>
      <c r="IR33" s="286"/>
      <c r="IS33" s="286"/>
      <c r="IT33" s="286"/>
      <c r="IU33" s="286"/>
      <c r="IV33" s="286"/>
    </row>
    <row r="34" spans="1:256" s="338" customFormat="1" ht="13.5" hidden="1" customHeight="1">
      <c r="A34" s="909"/>
      <c r="B34" s="341"/>
      <c r="C34" s="342" t="s">
        <v>207</v>
      </c>
      <c r="D34" s="337" t="s">
        <v>162</v>
      </c>
      <c r="E34" s="299">
        <f t="shared" si="54"/>
        <v>2193.9570899999999</v>
      </c>
      <c r="F34" s="299">
        <f t="shared" si="54"/>
        <v>4163.4030358999998</v>
      </c>
      <c r="G34" s="299">
        <f t="shared" si="54"/>
        <v>4163.4030358999998</v>
      </c>
      <c r="H34" s="299">
        <f t="shared" si="54"/>
        <v>0</v>
      </c>
      <c r="L34" s="300">
        <f t="shared" si="25"/>
        <v>0</v>
      </c>
      <c r="M34" s="338">
        <f>'[1]УМУП УК ЖКХ г.Ульяновска'!K372/1000</f>
        <v>5.1879999999999996E-2</v>
      </c>
      <c r="N34" s="338">
        <f>'[1]УМУП УК ЖКХ г.Ульяновска'!L372/1000</f>
        <v>6.4520499999999995E-2</v>
      </c>
      <c r="O34" s="338">
        <f>'[1]УМУП УК ЖКХ г.Ульяновска'!M372/1000</f>
        <v>6.4520499999999995E-2</v>
      </c>
      <c r="P34" s="301">
        <f t="shared" si="26"/>
        <v>0</v>
      </c>
      <c r="Q34" s="338">
        <f>'[1]ОАО ДК Засвияжье 1'!K399/1000</f>
        <v>1293.58555</v>
      </c>
      <c r="R34" s="338">
        <f>'[1]ОАО ДК Засвияжье 1'!L399/1000</f>
        <v>2457.8125449999998</v>
      </c>
      <c r="S34" s="338">
        <f>'[1]ОАО ДК Засвияжье 1'!M399/1000</f>
        <v>2457.8125449999998</v>
      </c>
      <c r="T34" s="301">
        <f t="shared" si="27"/>
        <v>0</v>
      </c>
      <c r="X34" s="301">
        <f t="shared" si="28"/>
        <v>0</v>
      </c>
      <c r="AB34" s="301">
        <f t="shared" si="29"/>
        <v>0</v>
      </c>
      <c r="AF34" s="300">
        <f t="shared" si="30"/>
        <v>0</v>
      </c>
      <c r="AJ34" s="300">
        <f t="shared" si="31"/>
        <v>0</v>
      </c>
      <c r="AN34" s="301">
        <f t="shared" si="32"/>
        <v>0</v>
      </c>
      <c r="AR34" s="300">
        <f t="shared" si="33"/>
        <v>0</v>
      </c>
      <c r="AV34" s="301">
        <f t="shared" si="34"/>
        <v>0</v>
      </c>
      <c r="AZ34" s="301">
        <f t="shared" si="35"/>
        <v>0</v>
      </c>
      <c r="BD34" s="301">
        <f t="shared" si="36"/>
        <v>0</v>
      </c>
      <c r="BH34" s="301">
        <f t="shared" si="37"/>
        <v>0</v>
      </c>
      <c r="BL34" s="301">
        <f t="shared" si="38"/>
        <v>0</v>
      </c>
      <c r="BP34" s="301">
        <f t="shared" si="52"/>
        <v>0</v>
      </c>
      <c r="BQ34" s="338">
        <f>'[1]ОАО ДК Засвияжье 2'!K428/1000</f>
        <v>12.859369999999998</v>
      </c>
      <c r="BR34" s="338">
        <f>'[1]ОАО ДК Засвияжье 2'!L428/1000</f>
        <v>20.574991999999998</v>
      </c>
      <c r="BS34" s="338">
        <f>'[1]ОАО ДК Засвияжье 2'!M428/1000</f>
        <v>20.574991999999998</v>
      </c>
      <c r="BT34" s="301">
        <f t="shared" si="39"/>
        <v>0</v>
      </c>
      <c r="BU34" s="338">
        <f>('[1]ОАО ДК Лен р-на'!K626+'[1]ООО Технология'!K315)/1000</f>
        <v>874.31002000000001</v>
      </c>
      <c r="BV34" s="338">
        <f>('[1]ОАО ДК Лен р-на'!L626+'[1]ООО Технология'!L315)/1000</f>
        <v>1663.8700304000001</v>
      </c>
      <c r="BW34" s="338">
        <f>('[1]ОАО ДК Лен р-на'!M626+'[1]ООО Технология'!M315)/1000</f>
        <v>1663.8700304000001</v>
      </c>
      <c r="BX34" s="301">
        <f t="shared" si="40"/>
        <v>0</v>
      </c>
      <c r="CB34" s="301">
        <f t="shared" si="41"/>
        <v>0</v>
      </c>
      <c r="CF34" s="300">
        <f t="shared" si="49"/>
        <v>0</v>
      </c>
      <c r="CJ34" s="301">
        <f t="shared" si="0"/>
        <v>0</v>
      </c>
      <c r="CN34" s="301">
        <f t="shared" si="1"/>
        <v>0</v>
      </c>
      <c r="CR34" s="301">
        <f t="shared" si="2"/>
        <v>0</v>
      </c>
      <c r="CV34" s="301">
        <f t="shared" si="3"/>
        <v>0</v>
      </c>
      <c r="CZ34" s="301">
        <f t="shared" si="4"/>
        <v>0</v>
      </c>
      <c r="DD34" s="300">
        <f t="shared" si="5"/>
        <v>0</v>
      </c>
      <c r="DH34" s="301">
        <f t="shared" si="6"/>
        <v>0</v>
      </c>
      <c r="DL34" s="301">
        <f t="shared" si="50"/>
        <v>0</v>
      </c>
      <c r="DP34" s="301">
        <f t="shared" si="7"/>
        <v>0</v>
      </c>
      <c r="DT34" s="300">
        <f t="shared" si="8"/>
        <v>0</v>
      </c>
      <c r="DX34" s="301">
        <f t="shared" si="9"/>
        <v>0</v>
      </c>
      <c r="EB34" s="301">
        <f t="shared" si="10"/>
        <v>0</v>
      </c>
      <c r="EF34" s="301">
        <f t="shared" si="11"/>
        <v>0</v>
      </c>
      <c r="EG34" s="338">
        <f>'[1]ООО ЦЭТ'!K450/1000</f>
        <v>13.150270000000001</v>
      </c>
      <c r="EH34" s="338">
        <f>'[1]ООО ЦЭТ'!L450/1000</f>
        <v>21.080947999999999</v>
      </c>
      <c r="EI34" s="338">
        <f>'[1]ООО ЦЭТ'!M450/1000</f>
        <v>21.080947999999999</v>
      </c>
      <c r="EJ34" s="301">
        <f t="shared" si="12"/>
        <v>0</v>
      </c>
      <c r="EN34" s="301">
        <f t="shared" si="13"/>
        <v>0</v>
      </c>
      <c r="ER34" s="300">
        <f t="shared" si="14"/>
        <v>0</v>
      </c>
      <c r="EV34" s="300">
        <f t="shared" si="15"/>
        <v>0</v>
      </c>
      <c r="EZ34" s="301">
        <f t="shared" si="16"/>
        <v>0</v>
      </c>
      <c r="FD34" s="301">
        <f t="shared" si="17"/>
        <v>0</v>
      </c>
      <c r="FH34" s="300">
        <f t="shared" si="18"/>
        <v>0</v>
      </c>
      <c r="FL34" s="301">
        <f t="shared" si="19"/>
        <v>0</v>
      </c>
      <c r="FM34" s="338">
        <v>0</v>
      </c>
      <c r="FN34" s="338">
        <v>0</v>
      </c>
      <c r="FO34" s="338">
        <v>0</v>
      </c>
      <c r="FP34" s="301">
        <f t="shared" si="20"/>
        <v>0</v>
      </c>
      <c r="FQ34" s="338">
        <f>'[1]ООО ЖКХ Лен-го района'!K382/1000</f>
        <v>0</v>
      </c>
      <c r="FR34" s="338">
        <f>'[1]ООО ЖКХ Лен-го района'!L382/1000</f>
        <v>0</v>
      </c>
      <c r="FS34" s="338">
        <f>'[1]ООО ЖКХ Лен-го района'!M382/1000</f>
        <v>0</v>
      </c>
      <c r="FT34" s="301">
        <f t="shared" si="21"/>
        <v>0</v>
      </c>
      <c r="FX34" s="301">
        <f t="shared" si="22"/>
        <v>0</v>
      </c>
      <c r="GB34" s="301">
        <f t="shared" si="23"/>
        <v>0</v>
      </c>
      <c r="GF34" s="301">
        <f t="shared" si="24"/>
        <v>0</v>
      </c>
      <c r="GJ34" s="301">
        <f t="shared" si="42"/>
        <v>0</v>
      </c>
      <c r="GN34" s="301">
        <f t="shared" si="43"/>
        <v>0</v>
      </c>
      <c r="GR34" s="301">
        <f t="shared" si="44"/>
        <v>0</v>
      </c>
      <c r="GV34" s="301">
        <f t="shared" si="45"/>
        <v>0</v>
      </c>
      <c r="GZ34" s="301">
        <f t="shared" si="46"/>
        <v>0</v>
      </c>
      <c r="HA34" s="328"/>
      <c r="HB34" s="358"/>
      <c r="HC34" s="357"/>
      <c r="HD34" s="357"/>
      <c r="HE34" s="357"/>
      <c r="HF34" s="361"/>
      <c r="HG34" s="357"/>
      <c r="HH34" s="357"/>
      <c r="HI34" s="357"/>
      <c r="HJ34" s="357"/>
      <c r="HK34" s="357"/>
      <c r="HL34" s="357"/>
      <c r="HM34" s="286"/>
      <c r="HN34" s="286"/>
      <c r="HO34" s="286"/>
      <c r="HP34" s="286"/>
      <c r="HQ34" s="286"/>
      <c r="HR34" s="286"/>
      <c r="HS34" s="306"/>
      <c r="HT34" s="306"/>
      <c r="HU34" s="306"/>
      <c r="HV34" s="306"/>
      <c r="HW34" s="286"/>
      <c r="HX34" s="286"/>
      <c r="HY34" s="286"/>
      <c r="HZ34" s="286"/>
      <c r="IA34" s="286"/>
      <c r="IB34" s="286"/>
      <c r="IC34" s="286"/>
      <c r="ID34" s="286"/>
      <c r="IE34" s="286"/>
      <c r="IF34" s="286"/>
      <c r="IG34" s="286"/>
      <c r="IH34" s="286"/>
      <c r="II34" s="286"/>
      <c r="IJ34" s="286"/>
      <c r="IK34" s="286"/>
      <c r="IL34" s="286"/>
      <c r="IM34" s="286"/>
      <c r="IN34" s="286"/>
      <c r="IO34" s="286"/>
      <c r="IP34" s="286"/>
      <c r="IQ34" s="286"/>
      <c r="IR34" s="286"/>
      <c r="IS34" s="286"/>
      <c r="IT34" s="286"/>
      <c r="IU34" s="286"/>
      <c r="IV34" s="286"/>
    </row>
    <row r="35" spans="1:256" s="338" customFormat="1" ht="13.5" hidden="1" customHeight="1">
      <c r="A35" s="909"/>
      <c r="B35" s="341"/>
      <c r="C35" s="342" t="s">
        <v>193</v>
      </c>
      <c r="D35" s="337" t="s">
        <v>162</v>
      </c>
      <c r="E35" s="299">
        <f t="shared" si="54"/>
        <v>4.0045299999999999</v>
      </c>
      <c r="F35" s="299">
        <f t="shared" si="54"/>
        <v>7.1792706999999991</v>
      </c>
      <c r="G35" s="299">
        <f t="shared" si="54"/>
        <v>7.1792706999999991</v>
      </c>
      <c r="H35" s="299">
        <f t="shared" si="54"/>
        <v>0</v>
      </c>
      <c r="L35" s="300">
        <f t="shared" si="25"/>
        <v>0</v>
      </c>
      <c r="M35" s="338">
        <f>'[1]УМУП УК ЖКХ г.Ульяновска'!K360/1000</f>
        <v>4.0045299999999999</v>
      </c>
      <c r="N35" s="338">
        <f>'[1]УМУП УК ЖКХ г.Ульяновска'!L360/1000</f>
        <v>7.1792706999999991</v>
      </c>
      <c r="O35" s="338">
        <f>'[1]УМУП УК ЖКХ г.Ульяновска'!M360/1000</f>
        <v>7.1792706999999991</v>
      </c>
      <c r="P35" s="301">
        <f t="shared" si="26"/>
        <v>0</v>
      </c>
      <c r="T35" s="301">
        <f t="shared" si="27"/>
        <v>0</v>
      </c>
      <c r="X35" s="301">
        <f t="shared" si="28"/>
        <v>0</v>
      </c>
      <c r="AB35" s="301">
        <f t="shared" si="29"/>
        <v>0</v>
      </c>
      <c r="AF35" s="300">
        <f t="shared" si="30"/>
        <v>0</v>
      </c>
      <c r="AJ35" s="300">
        <f t="shared" si="31"/>
        <v>0</v>
      </c>
      <c r="AN35" s="301">
        <f t="shared" si="32"/>
        <v>0</v>
      </c>
      <c r="AR35" s="300">
        <f t="shared" si="33"/>
        <v>0</v>
      </c>
      <c r="AV35" s="301">
        <f t="shared" si="34"/>
        <v>0</v>
      </c>
      <c r="AZ35" s="301">
        <f t="shared" si="35"/>
        <v>0</v>
      </c>
      <c r="BD35" s="301">
        <f t="shared" si="36"/>
        <v>0</v>
      </c>
      <c r="BH35" s="301">
        <f t="shared" si="37"/>
        <v>0</v>
      </c>
      <c r="BL35" s="301">
        <f t="shared" si="38"/>
        <v>0</v>
      </c>
      <c r="BP35" s="301">
        <f t="shared" si="52"/>
        <v>0</v>
      </c>
      <c r="BT35" s="301">
        <f t="shared" si="39"/>
        <v>0</v>
      </c>
      <c r="BX35" s="301">
        <f t="shared" si="40"/>
        <v>0</v>
      </c>
      <c r="CB35" s="301">
        <f t="shared" si="41"/>
        <v>0</v>
      </c>
      <c r="CF35" s="300">
        <f t="shared" si="49"/>
        <v>0</v>
      </c>
      <c r="CJ35" s="301">
        <f t="shared" si="0"/>
        <v>0</v>
      </c>
      <c r="CN35" s="301">
        <f t="shared" si="1"/>
        <v>0</v>
      </c>
      <c r="CR35" s="301">
        <f t="shared" si="2"/>
        <v>0</v>
      </c>
      <c r="CV35" s="301">
        <f t="shared" si="3"/>
        <v>0</v>
      </c>
      <c r="CZ35" s="301">
        <f t="shared" si="4"/>
        <v>0</v>
      </c>
      <c r="DD35" s="300">
        <f t="shared" si="5"/>
        <v>0</v>
      </c>
      <c r="DH35" s="301">
        <f t="shared" si="6"/>
        <v>0</v>
      </c>
      <c r="DL35" s="301">
        <f t="shared" si="50"/>
        <v>0</v>
      </c>
      <c r="DP35" s="301">
        <f t="shared" si="7"/>
        <v>0</v>
      </c>
      <c r="DT35" s="300">
        <f t="shared" si="8"/>
        <v>0</v>
      </c>
      <c r="DX35" s="301">
        <f t="shared" si="9"/>
        <v>0</v>
      </c>
      <c r="EB35" s="301">
        <f t="shared" si="10"/>
        <v>0</v>
      </c>
      <c r="EF35" s="301">
        <f t="shared" si="11"/>
        <v>0</v>
      </c>
      <c r="EJ35" s="301">
        <f t="shared" si="12"/>
        <v>0</v>
      </c>
      <c r="EN35" s="301">
        <f t="shared" si="13"/>
        <v>0</v>
      </c>
      <c r="ER35" s="300">
        <f t="shared" si="14"/>
        <v>0</v>
      </c>
      <c r="EV35" s="300">
        <f t="shared" si="15"/>
        <v>0</v>
      </c>
      <c r="EZ35" s="301">
        <f t="shared" si="16"/>
        <v>0</v>
      </c>
      <c r="FD35" s="301">
        <f t="shared" si="17"/>
        <v>0</v>
      </c>
      <c r="FH35" s="300">
        <f t="shared" si="18"/>
        <v>0</v>
      </c>
      <c r="FL35" s="301">
        <f t="shared" si="19"/>
        <v>0</v>
      </c>
      <c r="FP35" s="301">
        <f t="shared" si="20"/>
        <v>0</v>
      </c>
      <c r="FT35" s="301">
        <f t="shared" si="21"/>
        <v>0</v>
      </c>
      <c r="FX35" s="301">
        <f t="shared" si="22"/>
        <v>0</v>
      </c>
      <c r="GB35" s="301">
        <f t="shared" si="23"/>
        <v>0</v>
      </c>
      <c r="GF35" s="301">
        <f t="shared" si="24"/>
        <v>0</v>
      </c>
      <c r="GJ35" s="301">
        <f t="shared" si="42"/>
        <v>0</v>
      </c>
      <c r="GN35" s="301">
        <f t="shared" si="43"/>
        <v>0</v>
      </c>
      <c r="GR35" s="301">
        <f t="shared" si="44"/>
        <v>0</v>
      </c>
      <c r="GV35" s="301">
        <f t="shared" si="45"/>
        <v>0</v>
      </c>
      <c r="GZ35" s="301">
        <f t="shared" si="46"/>
        <v>0</v>
      </c>
      <c r="HA35" s="328"/>
      <c r="HB35" s="358"/>
      <c r="HC35" s="357"/>
      <c r="HD35" s="357"/>
      <c r="HE35" s="357"/>
      <c r="HF35" s="361"/>
      <c r="HG35" s="357"/>
      <c r="HH35" s="357"/>
      <c r="HI35" s="357"/>
      <c r="HJ35" s="357"/>
      <c r="HK35" s="357"/>
      <c r="HL35" s="357"/>
      <c r="HM35" s="286"/>
      <c r="HN35" s="286"/>
      <c r="HO35" s="286"/>
      <c r="HP35" s="286"/>
      <c r="HQ35" s="286"/>
      <c r="HR35" s="286"/>
      <c r="HS35" s="306"/>
      <c r="HT35" s="306"/>
      <c r="HU35" s="306"/>
      <c r="HV35" s="30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  <c r="IV35" s="286"/>
    </row>
    <row r="36" spans="1:256" s="338" customFormat="1" ht="13.5" hidden="1" customHeight="1">
      <c r="A36" s="909"/>
      <c r="B36" s="341"/>
      <c r="C36" s="342" t="s">
        <v>208</v>
      </c>
      <c r="D36" s="337" t="s">
        <v>162</v>
      </c>
      <c r="E36" s="299">
        <f t="shared" si="54"/>
        <v>110.96215000000001</v>
      </c>
      <c r="F36" s="299">
        <f t="shared" si="54"/>
        <v>177.53944000000001</v>
      </c>
      <c r="G36" s="299">
        <f t="shared" si="54"/>
        <v>177.53944000000001</v>
      </c>
      <c r="H36" s="299">
        <f t="shared" si="54"/>
        <v>0</v>
      </c>
      <c r="L36" s="300">
        <f t="shared" si="25"/>
        <v>0</v>
      </c>
      <c r="P36" s="301">
        <f t="shared" si="26"/>
        <v>0</v>
      </c>
      <c r="T36" s="301">
        <f t="shared" si="27"/>
        <v>0</v>
      </c>
      <c r="X36" s="301">
        <f t="shared" si="28"/>
        <v>0</v>
      </c>
      <c r="AB36" s="301">
        <f t="shared" si="29"/>
        <v>0</v>
      </c>
      <c r="AF36" s="300">
        <f t="shared" si="30"/>
        <v>0</v>
      </c>
      <c r="AJ36" s="300">
        <f t="shared" si="31"/>
        <v>0</v>
      </c>
      <c r="AN36" s="301">
        <f t="shared" si="32"/>
        <v>0</v>
      </c>
      <c r="AO36" s="338">
        <f>'[1]ЗАО ГК Аметист'!K479/1000</f>
        <v>75.037080000000003</v>
      </c>
      <c r="AP36" s="338">
        <f>'[1]ЗАО ГК Аметист'!L479/1000</f>
        <v>120.05932800000001</v>
      </c>
      <c r="AQ36" s="338">
        <f>'[1]ЗАО ГК Аметист'!M479/1000</f>
        <v>120.05932800000001</v>
      </c>
      <c r="AR36" s="300">
        <f t="shared" si="33"/>
        <v>0</v>
      </c>
      <c r="AV36" s="301">
        <f t="shared" si="34"/>
        <v>0</v>
      </c>
      <c r="AZ36" s="301">
        <f t="shared" si="35"/>
        <v>0</v>
      </c>
      <c r="BD36" s="301">
        <f t="shared" si="36"/>
        <v>0</v>
      </c>
      <c r="BH36" s="301">
        <f t="shared" si="37"/>
        <v>0</v>
      </c>
      <c r="BL36" s="301">
        <f t="shared" si="38"/>
        <v>0</v>
      </c>
      <c r="BP36" s="301">
        <f t="shared" si="52"/>
        <v>0</v>
      </c>
      <c r="BQ36" s="338">
        <f>'[1]ОАО ДК Засвияжье 2'!K401/1000</f>
        <v>35.925069999999998</v>
      </c>
      <c r="BR36" s="338">
        <f>'[1]ОАО ДК Засвияжье 2'!L401/1000</f>
        <v>57.480111999999998</v>
      </c>
      <c r="BS36" s="338">
        <f>'[1]ОАО ДК Засвияжье 2'!M401/1000</f>
        <v>57.480111999999998</v>
      </c>
      <c r="BT36" s="301">
        <f t="shared" si="39"/>
        <v>0</v>
      </c>
      <c r="BX36" s="301">
        <f t="shared" si="40"/>
        <v>0</v>
      </c>
      <c r="CB36" s="301">
        <f t="shared" si="41"/>
        <v>0</v>
      </c>
      <c r="CF36" s="300">
        <f t="shared" si="49"/>
        <v>0</v>
      </c>
      <c r="CJ36" s="301">
        <f t="shared" si="0"/>
        <v>0</v>
      </c>
      <c r="CN36" s="301">
        <f t="shared" si="1"/>
        <v>0</v>
      </c>
      <c r="CR36" s="301">
        <f t="shared" si="2"/>
        <v>0</v>
      </c>
      <c r="CV36" s="301">
        <f t="shared" si="3"/>
        <v>0</v>
      </c>
      <c r="CZ36" s="301">
        <f t="shared" si="4"/>
        <v>0</v>
      </c>
      <c r="DD36" s="300">
        <f t="shared" si="5"/>
        <v>0</v>
      </c>
      <c r="DH36" s="301">
        <f t="shared" si="6"/>
        <v>0</v>
      </c>
      <c r="DL36" s="301">
        <f t="shared" si="50"/>
        <v>0</v>
      </c>
      <c r="DP36" s="301">
        <f t="shared" si="7"/>
        <v>0</v>
      </c>
      <c r="DT36" s="300">
        <f t="shared" si="8"/>
        <v>0</v>
      </c>
      <c r="DX36" s="301">
        <f t="shared" si="9"/>
        <v>0</v>
      </c>
      <c r="EB36" s="301">
        <f t="shared" si="10"/>
        <v>0</v>
      </c>
      <c r="EF36" s="301">
        <f t="shared" si="11"/>
        <v>0</v>
      </c>
      <c r="EJ36" s="301">
        <f t="shared" si="12"/>
        <v>0</v>
      </c>
      <c r="EN36" s="301">
        <f t="shared" si="13"/>
        <v>0</v>
      </c>
      <c r="ER36" s="300">
        <f t="shared" si="14"/>
        <v>0</v>
      </c>
      <c r="EV36" s="300">
        <f t="shared" si="15"/>
        <v>0</v>
      </c>
      <c r="EZ36" s="301">
        <f t="shared" si="16"/>
        <v>0</v>
      </c>
      <c r="FD36" s="301">
        <f t="shared" si="17"/>
        <v>0</v>
      </c>
      <c r="FH36" s="300">
        <f t="shared" si="18"/>
        <v>0</v>
      </c>
      <c r="FL36" s="301">
        <f t="shared" si="19"/>
        <v>0</v>
      </c>
      <c r="FP36" s="301">
        <f t="shared" si="20"/>
        <v>0</v>
      </c>
      <c r="FT36" s="301">
        <f t="shared" si="21"/>
        <v>0</v>
      </c>
      <c r="FX36" s="301">
        <f t="shared" si="22"/>
        <v>0</v>
      </c>
      <c r="GB36" s="301">
        <f t="shared" si="23"/>
        <v>0</v>
      </c>
      <c r="GF36" s="301">
        <f t="shared" si="24"/>
        <v>0</v>
      </c>
      <c r="GJ36" s="301">
        <f t="shared" si="42"/>
        <v>0</v>
      </c>
      <c r="GN36" s="301">
        <f t="shared" si="43"/>
        <v>0</v>
      </c>
      <c r="GR36" s="301">
        <f t="shared" si="44"/>
        <v>0</v>
      </c>
      <c r="GV36" s="301">
        <f t="shared" si="45"/>
        <v>0</v>
      </c>
      <c r="GZ36" s="301">
        <f t="shared" si="46"/>
        <v>0</v>
      </c>
      <c r="HA36" s="328"/>
      <c r="HB36" s="339"/>
      <c r="HC36" s="286"/>
      <c r="HD36" s="286"/>
      <c r="HE36" s="286"/>
      <c r="HF36" s="286"/>
      <c r="HG36" s="286"/>
      <c r="HH36" s="286"/>
      <c r="HI36" s="286"/>
      <c r="HJ36" s="286"/>
      <c r="HK36" s="286"/>
      <c r="HL36" s="286"/>
      <c r="HM36" s="286"/>
      <c r="HN36" s="286"/>
      <c r="HO36" s="286"/>
      <c r="HP36" s="286"/>
      <c r="HQ36" s="286"/>
      <c r="HR36" s="286"/>
      <c r="HS36" s="306"/>
      <c r="HT36" s="306"/>
      <c r="HU36" s="306"/>
      <c r="HV36" s="306"/>
      <c r="HW36" s="286"/>
      <c r="HX36" s="286"/>
      <c r="HY36" s="286"/>
      <c r="HZ36" s="286"/>
      <c r="IA36" s="286"/>
      <c r="IB36" s="286"/>
      <c r="IC36" s="286"/>
      <c r="ID36" s="286"/>
      <c r="IE36" s="286"/>
      <c r="IF36" s="286"/>
      <c r="IG36" s="286"/>
      <c r="IH36" s="286"/>
      <c r="II36" s="286"/>
      <c r="IJ36" s="286"/>
      <c r="IK36" s="286"/>
      <c r="IL36" s="286"/>
      <c r="IM36" s="286"/>
      <c r="IN36" s="286"/>
      <c r="IO36" s="286"/>
      <c r="IP36" s="286"/>
      <c r="IQ36" s="286"/>
      <c r="IR36" s="286"/>
      <c r="IS36" s="286"/>
      <c r="IT36" s="286"/>
      <c r="IU36" s="286"/>
      <c r="IV36" s="286"/>
    </row>
    <row r="37" spans="1:256" s="338" customFormat="1" ht="13.5" hidden="1" customHeight="1">
      <c r="A37" s="909"/>
      <c r="B37" s="352"/>
      <c r="C37" s="342" t="s">
        <v>192</v>
      </c>
      <c r="D37" s="337" t="s">
        <v>162</v>
      </c>
      <c r="E37" s="299">
        <f t="shared" si="54"/>
        <v>1321.3119000000002</v>
      </c>
      <c r="F37" s="299">
        <f t="shared" si="54"/>
        <v>2143.0951614000001</v>
      </c>
      <c r="G37" s="299">
        <f t="shared" si="54"/>
        <v>2143.0951614000001</v>
      </c>
      <c r="H37" s="299">
        <f t="shared" si="54"/>
        <v>0</v>
      </c>
      <c r="L37" s="300">
        <f t="shared" si="25"/>
        <v>0</v>
      </c>
      <c r="P37" s="301">
        <f t="shared" si="26"/>
        <v>0</v>
      </c>
      <c r="T37" s="301">
        <f t="shared" si="27"/>
        <v>0</v>
      </c>
      <c r="X37" s="301">
        <f t="shared" si="28"/>
        <v>0</v>
      </c>
      <c r="AB37" s="301">
        <f t="shared" si="29"/>
        <v>0</v>
      </c>
      <c r="AF37" s="300">
        <f t="shared" si="30"/>
        <v>0</v>
      </c>
      <c r="AJ37" s="300">
        <f t="shared" si="31"/>
        <v>0</v>
      </c>
      <c r="AN37" s="301">
        <f t="shared" si="32"/>
        <v>0</v>
      </c>
      <c r="AO37" s="338">
        <f>'[1]ЗАО ГК Аметист'!K455/1000</f>
        <v>1053.88427</v>
      </c>
      <c r="AP37" s="338">
        <f>'[1]ЗАО ГК Аметист'!L455/1000</f>
        <v>1688.4681904000001</v>
      </c>
      <c r="AQ37" s="338">
        <f>'[1]ЗАО ГК Аметист'!M455/1000</f>
        <v>1688.4681904000001</v>
      </c>
      <c r="AR37" s="300">
        <f t="shared" si="33"/>
        <v>0</v>
      </c>
      <c r="AV37" s="301">
        <f t="shared" si="34"/>
        <v>0</v>
      </c>
      <c r="AZ37" s="301">
        <f t="shared" si="35"/>
        <v>0</v>
      </c>
      <c r="BD37" s="301">
        <f t="shared" si="36"/>
        <v>0</v>
      </c>
      <c r="BH37" s="301">
        <f t="shared" si="37"/>
        <v>0</v>
      </c>
      <c r="BL37" s="301">
        <f t="shared" si="38"/>
        <v>0</v>
      </c>
      <c r="BP37" s="301">
        <f t="shared" si="52"/>
        <v>0</v>
      </c>
      <c r="BT37" s="301">
        <f t="shared" si="39"/>
        <v>0</v>
      </c>
      <c r="BX37" s="301">
        <f t="shared" si="40"/>
        <v>0</v>
      </c>
      <c r="CB37" s="301">
        <f t="shared" si="41"/>
        <v>0</v>
      </c>
      <c r="CF37" s="300">
        <f t="shared" si="49"/>
        <v>0</v>
      </c>
      <c r="CJ37" s="301">
        <f t="shared" si="0"/>
        <v>0</v>
      </c>
      <c r="CN37" s="301">
        <f t="shared" si="1"/>
        <v>0</v>
      </c>
      <c r="CR37" s="301">
        <f t="shared" si="2"/>
        <v>0</v>
      </c>
      <c r="CV37" s="301">
        <f t="shared" si="3"/>
        <v>0</v>
      </c>
      <c r="CZ37" s="301">
        <f t="shared" si="4"/>
        <v>0</v>
      </c>
      <c r="DD37" s="300">
        <f t="shared" si="5"/>
        <v>0</v>
      </c>
      <c r="DH37" s="301">
        <f t="shared" si="6"/>
        <v>0</v>
      </c>
      <c r="DL37" s="301">
        <f t="shared" si="50"/>
        <v>0</v>
      </c>
      <c r="DM37" s="338">
        <f>'[1]Альфаком-У'!K305/1000</f>
        <v>267.42763000000002</v>
      </c>
      <c r="DN37" s="338">
        <f>'[1]Альфаком-У'!L305/1000</f>
        <v>454.62697100000003</v>
      </c>
      <c r="DO37" s="338">
        <f>'[1]Альфаком-У'!M305/1000</f>
        <v>454.62697100000003</v>
      </c>
      <c r="DP37" s="301">
        <f t="shared" si="7"/>
        <v>0</v>
      </c>
      <c r="DT37" s="300">
        <f t="shared" si="8"/>
        <v>0</v>
      </c>
      <c r="DX37" s="301">
        <f t="shared" si="9"/>
        <v>0</v>
      </c>
      <c r="EB37" s="301">
        <f t="shared" si="10"/>
        <v>0</v>
      </c>
      <c r="EF37" s="301">
        <f t="shared" si="11"/>
        <v>0</v>
      </c>
      <c r="EJ37" s="301">
        <f t="shared" si="12"/>
        <v>0</v>
      </c>
      <c r="EN37" s="301">
        <f t="shared" si="13"/>
        <v>0</v>
      </c>
      <c r="ER37" s="300">
        <f t="shared" si="14"/>
        <v>0</v>
      </c>
      <c r="EV37" s="300">
        <f t="shared" si="15"/>
        <v>0</v>
      </c>
      <c r="EZ37" s="301">
        <f t="shared" si="16"/>
        <v>0</v>
      </c>
      <c r="FD37" s="301">
        <f t="shared" si="17"/>
        <v>0</v>
      </c>
      <c r="FH37" s="300">
        <f t="shared" si="18"/>
        <v>0</v>
      </c>
      <c r="FL37" s="301">
        <f t="shared" si="19"/>
        <v>0</v>
      </c>
      <c r="FP37" s="301">
        <f t="shared" si="20"/>
        <v>0</v>
      </c>
      <c r="FT37" s="301">
        <f t="shared" si="21"/>
        <v>0</v>
      </c>
      <c r="FX37" s="301">
        <f t="shared" si="22"/>
        <v>0</v>
      </c>
      <c r="GB37" s="301">
        <f t="shared" si="23"/>
        <v>0</v>
      </c>
      <c r="GF37" s="301">
        <f t="shared" si="24"/>
        <v>0</v>
      </c>
      <c r="GJ37" s="301">
        <f t="shared" si="42"/>
        <v>0</v>
      </c>
      <c r="GN37" s="301">
        <f t="shared" si="43"/>
        <v>0</v>
      </c>
      <c r="GR37" s="301">
        <f t="shared" si="44"/>
        <v>0</v>
      </c>
      <c r="GV37" s="301">
        <f t="shared" si="45"/>
        <v>0</v>
      </c>
      <c r="GZ37" s="301">
        <f t="shared" si="46"/>
        <v>0</v>
      </c>
      <c r="HA37" s="328"/>
      <c r="HB37" s="339"/>
      <c r="HC37" s="286"/>
      <c r="HD37" s="286"/>
      <c r="HE37" s="286"/>
      <c r="HF37" s="286"/>
      <c r="HG37" s="286"/>
      <c r="HH37" s="286"/>
      <c r="HI37" s="286"/>
      <c r="HJ37" s="286"/>
      <c r="HK37" s="286"/>
      <c r="HL37" s="286"/>
      <c r="HM37" s="286"/>
      <c r="HN37" s="286"/>
      <c r="HO37" s="286"/>
      <c r="HP37" s="286"/>
      <c r="HQ37" s="286"/>
      <c r="HR37" s="286"/>
      <c r="HS37" s="306"/>
      <c r="HT37" s="306"/>
      <c r="HU37" s="306"/>
      <c r="HV37" s="306"/>
      <c r="HW37" s="286"/>
      <c r="HX37" s="286"/>
      <c r="HY37" s="286"/>
      <c r="HZ37" s="286"/>
      <c r="IA37" s="286"/>
      <c r="IB37" s="286"/>
      <c r="IC37" s="286"/>
      <c r="ID37" s="286"/>
      <c r="IE37" s="286"/>
      <c r="IF37" s="286"/>
      <c r="IG37" s="286"/>
      <c r="IH37" s="286"/>
      <c r="II37" s="286"/>
      <c r="IJ37" s="286"/>
      <c r="IK37" s="286"/>
      <c r="IL37" s="286"/>
      <c r="IM37" s="286"/>
      <c r="IN37" s="286"/>
      <c r="IO37" s="286"/>
      <c r="IP37" s="286"/>
      <c r="IQ37" s="286"/>
      <c r="IR37" s="286"/>
      <c r="IS37" s="286"/>
      <c r="IT37" s="286"/>
      <c r="IU37" s="286"/>
      <c r="IV37" s="286"/>
    </row>
    <row r="38" spans="1:256" s="338" customFormat="1" ht="13.5" hidden="1" customHeight="1">
      <c r="A38" s="909"/>
      <c r="B38" s="352"/>
      <c r="C38" s="342" t="s">
        <v>209</v>
      </c>
      <c r="D38" s="337" t="s">
        <v>162</v>
      </c>
      <c r="E38" s="299">
        <f t="shared" si="54"/>
        <v>231.04902000000001</v>
      </c>
      <c r="F38" s="299">
        <f t="shared" si="54"/>
        <v>339.64205940000005</v>
      </c>
      <c r="G38" s="299">
        <f t="shared" si="54"/>
        <v>339.64205940000005</v>
      </c>
      <c r="H38" s="299">
        <f t="shared" si="54"/>
        <v>0</v>
      </c>
      <c r="L38" s="300">
        <f t="shared" si="25"/>
        <v>0</v>
      </c>
      <c r="P38" s="301">
        <f t="shared" si="26"/>
        <v>0</v>
      </c>
      <c r="T38" s="301">
        <f t="shared" si="27"/>
        <v>0</v>
      </c>
      <c r="X38" s="301">
        <f t="shared" si="28"/>
        <v>0</v>
      </c>
      <c r="AB38" s="301">
        <f t="shared" si="29"/>
        <v>0</v>
      </c>
      <c r="AF38" s="300">
        <f t="shared" si="30"/>
        <v>0</v>
      </c>
      <c r="AJ38" s="300">
        <f t="shared" si="31"/>
        <v>0</v>
      </c>
      <c r="AN38" s="301">
        <f t="shared" si="32"/>
        <v>0</v>
      </c>
      <c r="AR38" s="300">
        <f t="shared" si="33"/>
        <v>0</v>
      </c>
      <c r="AS38" s="338">
        <f>'[1]Фундамент СК ООО'!K260/1000</f>
        <v>231.04902000000001</v>
      </c>
      <c r="AT38" s="338">
        <f>'[1]Фундамент СК ООО'!L260/1000</f>
        <v>339.64205940000005</v>
      </c>
      <c r="AU38" s="338">
        <f>'[1]Фундамент СК ООО'!M260/1000</f>
        <v>339.64205940000005</v>
      </c>
      <c r="AV38" s="301">
        <f t="shared" si="34"/>
        <v>0</v>
      </c>
      <c r="AZ38" s="301">
        <f t="shared" si="35"/>
        <v>0</v>
      </c>
      <c r="BD38" s="301">
        <f t="shared" si="36"/>
        <v>0</v>
      </c>
      <c r="BH38" s="301">
        <f t="shared" si="37"/>
        <v>0</v>
      </c>
      <c r="BL38" s="301">
        <f t="shared" si="38"/>
        <v>0</v>
      </c>
      <c r="BP38" s="301">
        <f t="shared" si="52"/>
        <v>0</v>
      </c>
      <c r="BT38" s="301">
        <f t="shared" si="39"/>
        <v>0</v>
      </c>
      <c r="BX38" s="301">
        <f t="shared" si="40"/>
        <v>0</v>
      </c>
      <c r="CB38" s="301">
        <f t="shared" si="41"/>
        <v>0</v>
      </c>
      <c r="CF38" s="300">
        <f t="shared" si="49"/>
        <v>0</v>
      </c>
      <c r="CJ38" s="301">
        <f t="shared" si="0"/>
        <v>0</v>
      </c>
      <c r="CN38" s="301">
        <f t="shared" si="1"/>
        <v>0</v>
      </c>
      <c r="CR38" s="301">
        <f t="shared" si="2"/>
        <v>0</v>
      </c>
      <c r="CV38" s="301">
        <f t="shared" si="3"/>
        <v>0</v>
      </c>
      <c r="CZ38" s="301">
        <f t="shared" si="4"/>
        <v>0</v>
      </c>
      <c r="DD38" s="300">
        <f t="shared" si="5"/>
        <v>0</v>
      </c>
      <c r="DH38" s="301">
        <f t="shared" si="6"/>
        <v>0</v>
      </c>
      <c r="DL38" s="301">
        <f t="shared" si="50"/>
        <v>0</v>
      </c>
      <c r="DP38" s="301">
        <f t="shared" si="7"/>
        <v>0</v>
      </c>
      <c r="DT38" s="300">
        <f t="shared" si="8"/>
        <v>0</v>
      </c>
      <c r="DX38" s="301">
        <f t="shared" si="9"/>
        <v>0</v>
      </c>
      <c r="EB38" s="301">
        <f t="shared" si="10"/>
        <v>0</v>
      </c>
      <c r="EF38" s="301">
        <f t="shared" si="11"/>
        <v>0</v>
      </c>
      <c r="EG38" s="338">
        <f>'[1]ООО ЦЭТ'!K455/1000</f>
        <v>0</v>
      </c>
      <c r="EH38" s="338">
        <f>'[1]ООО ЦЭТ'!L455/1000</f>
        <v>0</v>
      </c>
      <c r="EI38" s="338">
        <f>'[1]ООО ЦЭТ'!M455/1000</f>
        <v>0</v>
      </c>
      <c r="EJ38" s="301">
        <f t="shared" si="12"/>
        <v>0</v>
      </c>
      <c r="EN38" s="301">
        <f t="shared" si="13"/>
        <v>0</v>
      </c>
      <c r="ER38" s="300">
        <f t="shared" si="14"/>
        <v>0</v>
      </c>
      <c r="EV38" s="300">
        <f t="shared" si="15"/>
        <v>0</v>
      </c>
      <c r="EZ38" s="301">
        <f t="shared" si="16"/>
        <v>0</v>
      </c>
      <c r="FD38" s="301">
        <f t="shared" si="17"/>
        <v>0</v>
      </c>
      <c r="FE38" s="338">
        <f>'[1]ООО ЖКиСР УправДом'!K369/1000</f>
        <v>0</v>
      </c>
      <c r="FF38" s="338">
        <f>'[1]ООО ЖКиСР УправДом'!L369/1000</f>
        <v>0</v>
      </c>
      <c r="FG38" s="338">
        <f>'[1]ООО ЖКиСР УправДом'!M369/1000</f>
        <v>0</v>
      </c>
      <c r="FH38" s="300">
        <f t="shared" si="18"/>
        <v>0</v>
      </c>
      <c r="FL38" s="301">
        <f t="shared" si="19"/>
        <v>0</v>
      </c>
      <c r="FP38" s="301">
        <f t="shared" si="20"/>
        <v>0</v>
      </c>
      <c r="FT38" s="301">
        <f t="shared" si="21"/>
        <v>0</v>
      </c>
      <c r="FX38" s="301">
        <f t="shared" si="22"/>
        <v>0</v>
      </c>
      <c r="GB38" s="301">
        <f t="shared" si="23"/>
        <v>0</v>
      </c>
      <c r="GF38" s="301">
        <f t="shared" si="24"/>
        <v>0</v>
      </c>
      <c r="GJ38" s="301">
        <f t="shared" si="42"/>
        <v>0</v>
      </c>
      <c r="GN38" s="301">
        <f t="shared" si="43"/>
        <v>0</v>
      </c>
      <c r="GR38" s="301">
        <f t="shared" si="44"/>
        <v>0</v>
      </c>
      <c r="GV38" s="301">
        <f t="shared" si="45"/>
        <v>0</v>
      </c>
      <c r="GZ38" s="301">
        <f t="shared" si="46"/>
        <v>0</v>
      </c>
      <c r="HA38" s="328"/>
      <c r="HB38" s="339"/>
      <c r="HC38" s="286"/>
      <c r="HD38" s="286"/>
      <c r="HE38" s="286"/>
      <c r="HF38" s="286"/>
      <c r="HG38" s="286"/>
      <c r="HH38" s="286"/>
      <c r="HI38" s="286"/>
      <c r="HJ38" s="286"/>
      <c r="HK38" s="286"/>
      <c r="HL38" s="286"/>
      <c r="HM38" s="286"/>
      <c r="HN38" s="286"/>
      <c r="HO38" s="286"/>
      <c r="HP38" s="286"/>
      <c r="HQ38" s="286"/>
      <c r="HR38" s="286"/>
      <c r="HS38" s="306"/>
      <c r="HT38" s="306"/>
      <c r="HU38" s="306"/>
      <c r="HV38" s="306"/>
      <c r="HW38" s="286"/>
      <c r="HX38" s="286"/>
      <c r="HY38" s="286"/>
      <c r="HZ38" s="286"/>
      <c r="IA38" s="286"/>
      <c r="IB38" s="286"/>
      <c r="IC38" s="286"/>
      <c r="ID38" s="286"/>
      <c r="IE38" s="286"/>
      <c r="IF38" s="286"/>
      <c r="IG38" s="286"/>
      <c r="IH38" s="286"/>
      <c r="II38" s="286"/>
      <c r="IJ38" s="286"/>
      <c r="IK38" s="286"/>
      <c r="IL38" s="286"/>
      <c r="IM38" s="286"/>
      <c r="IN38" s="286"/>
      <c r="IO38" s="286"/>
      <c r="IP38" s="286"/>
      <c r="IQ38" s="286"/>
      <c r="IR38" s="286"/>
      <c r="IS38" s="286"/>
      <c r="IT38" s="286"/>
      <c r="IU38" s="286"/>
      <c r="IV38" s="286"/>
    </row>
    <row r="39" spans="1:256" s="338" customFormat="1" ht="13.5" hidden="1" customHeight="1">
      <c r="A39" s="909"/>
      <c r="B39" s="285"/>
      <c r="C39" s="342" t="s">
        <v>210</v>
      </c>
      <c r="D39" s="337" t="s">
        <v>162</v>
      </c>
      <c r="E39" s="299">
        <f t="shared" si="54"/>
        <v>945.16978999999981</v>
      </c>
      <c r="F39" s="299">
        <f t="shared" si="54"/>
        <v>1335.6771498000001</v>
      </c>
      <c r="G39" s="299">
        <f t="shared" si="54"/>
        <v>1335.6771498000001</v>
      </c>
      <c r="H39" s="299">
        <f t="shared" si="54"/>
        <v>0</v>
      </c>
      <c r="I39" s="338">
        <f>'[1]ГК РЭС'!K131/1000</f>
        <v>49.756989999999995</v>
      </c>
      <c r="J39" s="338">
        <f>'[1]ГК РЭС'!L131/1000</f>
        <v>80.606323799999998</v>
      </c>
      <c r="K39" s="338">
        <f>'[1]ГК РЭС'!M131/1000</f>
        <v>80.606323799999998</v>
      </c>
      <c r="L39" s="300">
        <f t="shared" si="25"/>
        <v>0</v>
      </c>
      <c r="P39" s="301">
        <f t="shared" si="26"/>
        <v>0</v>
      </c>
      <c r="T39" s="301">
        <f t="shared" si="27"/>
        <v>0</v>
      </c>
      <c r="U39" s="338">
        <f>'[1]ОАО ДК Заволж р-на'!K442/1000</f>
        <v>565.8206899999999</v>
      </c>
      <c r="V39" s="338">
        <f>'[1]ОАО ДК Заволж р-на'!L442/1000</f>
        <v>763.85793149999995</v>
      </c>
      <c r="W39" s="338">
        <f>'[1]ОАО ДК Заволж р-на'!M442/1000</f>
        <v>763.85793149999995</v>
      </c>
      <c r="X39" s="301">
        <f t="shared" si="28"/>
        <v>0</v>
      </c>
      <c r="Y39" s="338">
        <f>'[1]ООО ЖСС'!K157/1000</f>
        <v>16.080479999999998</v>
      </c>
      <c r="Z39" s="338">
        <f>'[1]ООО ЖСС'!L157/1000</f>
        <v>26.854401599999996</v>
      </c>
      <c r="AA39" s="338">
        <f>'[1]ООО ЖСС'!M157/1000</f>
        <v>26.854401599999996</v>
      </c>
      <c r="AB39" s="301">
        <f t="shared" si="29"/>
        <v>0</v>
      </c>
      <c r="AF39" s="300">
        <f t="shared" si="30"/>
        <v>0</v>
      </c>
      <c r="AJ39" s="300">
        <f t="shared" si="31"/>
        <v>0</v>
      </c>
      <c r="AN39" s="301">
        <f t="shared" si="32"/>
        <v>0</v>
      </c>
      <c r="AR39" s="300">
        <f t="shared" si="33"/>
        <v>0</v>
      </c>
      <c r="AV39" s="301">
        <f t="shared" si="34"/>
        <v>0</v>
      </c>
      <c r="AZ39" s="301">
        <f t="shared" si="35"/>
        <v>0</v>
      </c>
      <c r="BD39" s="301">
        <f t="shared" si="36"/>
        <v>0</v>
      </c>
      <c r="BH39" s="301">
        <f t="shared" si="37"/>
        <v>0</v>
      </c>
      <c r="BI39" s="338">
        <f>[1]СМУ!K335/1000</f>
        <v>307.47564</v>
      </c>
      <c r="BJ39" s="338">
        <f>[1]СМУ!L335/1000</f>
        <v>453.49371089999994</v>
      </c>
      <c r="BK39" s="338">
        <f>[1]СМУ!M335/1000</f>
        <v>453.49371089999994</v>
      </c>
      <c r="BL39" s="301">
        <f t="shared" si="38"/>
        <v>0</v>
      </c>
      <c r="BP39" s="301">
        <f t="shared" si="52"/>
        <v>0</v>
      </c>
      <c r="BT39" s="301">
        <f t="shared" si="39"/>
        <v>0</v>
      </c>
      <c r="BX39" s="301">
        <f t="shared" si="40"/>
        <v>0</v>
      </c>
      <c r="CB39" s="301">
        <f t="shared" si="41"/>
        <v>0</v>
      </c>
      <c r="CC39" s="338">
        <f>[1]СУК!K119/1000</f>
        <v>0</v>
      </c>
      <c r="CD39" s="338">
        <f>[1]СУК!L119/1000</f>
        <v>0</v>
      </c>
      <c r="CE39" s="338">
        <f>[1]СУК!M119/1000</f>
        <v>0</v>
      </c>
      <c r="CF39" s="300">
        <f t="shared" si="49"/>
        <v>0</v>
      </c>
      <c r="CJ39" s="301">
        <f t="shared" si="0"/>
        <v>0</v>
      </c>
      <c r="CN39" s="301">
        <f t="shared" si="1"/>
        <v>0</v>
      </c>
      <c r="CR39" s="301">
        <f t="shared" si="2"/>
        <v>0</v>
      </c>
      <c r="CV39" s="301">
        <f t="shared" si="3"/>
        <v>0</v>
      </c>
      <c r="CZ39" s="301">
        <f t="shared" si="4"/>
        <v>0</v>
      </c>
      <c r="DC39" s="309"/>
      <c r="DD39" s="300">
        <f t="shared" si="5"/>
        <v>0</v>
      </c>
      <c r="DH39" s="301">
        <f t="shared" si="6"/>
        <v>0</v>
      </c>
      <c r="DL39" s="301">
        <f t="shared" si="50"/>
        <v>0</v>
      </c>
      <c r="DP39" s="301">
        <f t="shared" si="7"/>
        <v>0</v>
      </c>
      <c r="DS39" s="309"/>
      <c r="DT39" s="300">
        <f t="shared" si="8"/>
        <v>0</v>
      </c>
      <c r="DX39" s="301">
        <f t="shared" si="9"/>
        <v>0</v>
      </c>
      <c r="EB39" s="301">
        <f t="shared" si="10"/>
        <v>0</v>
      </c>
      <c r="EF39" s="301">
        <f t="shared" si="11"/>
        <v>0</v>
      </c>
      <c r="EJ39" s="301">
        <f t="shared" si="12"/>
        <v>0</v>
      </c>
      <c r="EN39" s="301">
        <f t="shared" si="13"/>
        <v>0</v>
      </c>
      <c r="ER39" s="300">
        <f t="shared" si="14"/>
        <v>0</v>
      </c>
      <c r="EV39" s="300">
        <f t="shared" si="15"/>
        <v>0</v>
      </c>
      <c r="EZ39" s="301">
        <f t="shared" si="16"/>
        <v>0</v>
      </c>
      <c r="FD39" s="301">
        <f t="shared" si="17"/>
        <v>0</v>
      </c>
      <c r="FG39" s="309"/>
      <c r="FH39" s="300">
        <f t="shared" si="18"/>
        <v>0</v>
      </c>
      <c r="FI39" s="338">
        <f>'[1]ТСЖ Малахит'!K117/1000</f>
        <v>6.03599</v>
      </c>
      <c r="FJ39" s="338">
        <f>'[1]ТСЖ Малахит'!L117/1000</f>
        <v>10.864782</v>
      </c>
      <c r="FK39" s="338">
        <f>'[1]ТСЖ Малахит'!M117/1000</f>
        <v>10.864782</v>
      </c>
      <c r="FL39" s="301">
        <f t="shared" si="19"/>
        <v>0</v>
      </c>
      <c r="FP39" s="301">
        <f t="shared" si="20"/>
        <v>0</v>
      </c>
      <c r="FT39" s="301">
        <f t="shared" si="21"/>
        <v>0</v>
      </c>
      <c r="FX39" s="301">
        <f t="shared" si="22"/>
        <v>0</v>
      </c>
      <c r="GB39" s="301">
        <f t="shared" si="23"/>
        <v>0</v>
      </c>
      <c r="GF39" s="301">
        <f t="shared" si="24"/>
        <v>0</v>
      </c>
      <c r="GJ39" s="301">
        <f t="shared" si="42"/>
        <v>0</v>
      </c>
      <c r="GN39" s="301">
        <f t="shared" si="43"/>
        <v>0</v>
      </c>
      <c r="GR39" s="301">
        <f t="shared" si="44"/>
        <v>0</v>
      </c>
      <c r="GV39" s="301">
        <f t="shared" si="45"/>
        <v>0</v>
      </c>
      <c r="GZ39" s="301">
        <f t="shared" si="46"/>
        <v>0</v>
      </c>
      <c r="HA39" s="328"/>
      <c r="HB39" s="339"/>
      <c r="HC39" s="286"/>
      <c r="HD39" s="286"/>
      <c r="HE39" s="286"/>
      <c r="HF39" s="286"/>
      <c r="HG39" s="286"/>
      <c r="HH39" s="286"/>
      <c r="HI39" s="286"/>
      <c r="HJ39" s="286"/>
      <c r="HK39" s="286"/>
      <c r="HL39" s="286"/>
      <c r="HM39" s="286"/>
      <c r="HN39" s="286"/>
      <c r="HO39" s="286"/>
      <c r="HP39" s="286"/>
      <c r="HQ39" s="286"/>
      <c r="HR39" s="286"/>
      <c r="HS39" s="306"/>
      <c r="HT39" s="306"/>
      <c r="HU39" s="306"/>
      <c r="HV39" s="306"/>
      <c r="HW39" s="286"/>
      <c r="HX39" s="286"/>
      <c r="HY39" s="286"/>
      <c r="HZ39" s="286"/>
      <c r="IA39" s="286"/>
      <c r="IB39" s="286"/>
      <c r="IC39" s="286"/>
      <c r="ID39" s="286"/>
      <c r="IE39" s="286"/>
      <c r="IF39" s="286"/>
      <c r="IG39" s="286"/>
      <c r="IH39" s="286"/>
      <c r="II39" s="286"/>
      <c r="IJ39" s="286"/>
      <c r="IK39" s="286"/>
      <c r="IL39" s="286"/>
      <c r="IM39" s="286"/>
      <c r="IN39" s="286"/>
      <c r="IO39" s="286"/>
      <c r="IP39" s="286"/>
      <c r="IQ39" s="286"/>
      <c r="IR39" s="286"/>
      <c r="IS39" s="286"/>
      <c r="IT39" s="286"/>
      <c r="IU39" s="286"/>
      <c r="IV39" s="286"/>
    </row>
    <row r="40" spans="1:256" s="338" customFormat="1" ht="13.5" hidden="1" customHeight="1">
      <c r="A40" s="909"/>
      <c r="B40" s="346"/>
      <c r="C40" s="342" t="s">
        <v>211</v>
      </c>
      <c r="D40" s="337" t="s">
        <v>162</v>
      </c>
      <c r="E40" s="299">
        <f t="shared" si="54"/>
        <v>52.514559999999996</v>
      </c>
      <c r="F40" s="299">
        <f t="shared" si="54"/>
        <v>71.944947200000016</v>
      </c>
      <c r="G40" s="299">
        <f t="shared" si="54"/>
        <v>71.944947200000016</v>
      </c>
      <c r="H40" s="299">
        <f t="shared" si="54"/>
        <v>0</v>
      </c>
      <c r="L40" s="300">
        <f t="shared" si="25"/>
        <v>0</v>
      </c>
      <c r="P40" s="301">
        <f t="shared" si="26"/>
        <v>0</v>
      </c>
      <c r="T40" s="301">
        <f t="shared" si="27"/>
        <v>0</v>
      </c>
      <c r="X40" s="301">
        <f t="shared" si="28"/>
        <v>0</v>
      </c>
      <c r="AB40" s="301">
        <f t="shared" si="29"/>
        <v>0</v>
      </c>
      <c r="AF40" s="300">
        <f t="shared" si="30"/>
        <v>0</v>
      </c>
      <c r="AJ40" s="300">
        <f t="shared" si="31"/>
        <v>0</v>
      </c>
      <c r="AN40" s="301">
        <f t="shared" si="32"/>
        <v>0</v>
      </c>
      <c r="AR40" s="300">
        <f t="shared" si="33"/>
        <v>0</v>
      </c>
      <c r="AV40" s="301">
        <f t="shared" si="34"/>
        <v>0</v>
      </c>
      <c r="AZ40" s="301">
        <f t="shared" si="35"/>
        <v>0</v>
      </c>
      <c r="BD40" s="301">
        <f t="shared" si="36"/>
        <v>0</v>
      </c>
      <c r="BH40" s="301">
        <f t="shared" si="37"/>
        <v>0</v>
      </c>
      <c r="BL40" s="301">
        <f t="shared" si="38"/>
        <v>0</v>
      </c>
      <c r="BM40" s="338">
        <f>'[1]Евро-Строй-Сервис'!K185/1000</f>
        <v>52.514559999999996</v>
      </c>
      <c r="BN40" s="338">
        <f>'[1]Евро-Строй-Сервис'!L185/1000</f>
        <v>71.944947200000016</v>
      </c>
      <c r="BO40" s="338">
        <f>'[1]Евро-Строй-Сервис'!M185/1000</f>
        <v>71.944947200000016</v>
      </c>
      <c r="BP40" s="301">
        <f t="shared" si="52"/>
        <v>0</v>
      </c>
      <c r="BT40" s="301">
        <f t="shared" si="39"/>
        <v>0</v>
      </c>
      <c r="BX40" s="301">
        <f t="shared" si="40"/>
        <v>0</v>
      </c>
      <c r="CB40" s="301">
        <f t="shared" si="41"/>
        <v>0</v>
      </c>
      <c r="CF40" s="300">
        <f t="shared" si="49"/>
        <v>0</v>
      </c>
      <c r="CJ40" s="301">
        <f t="shared" si="0"/>
        <v>0</v>
      </c>
      <c r="CN40" s="301">
        <f t="shared" si="1"/>
        <v>0</v>
      </c>
      <c r="CR40" s="301">
        <f t="shared" si="2"/>
        <v>0</v>
      </c>
      <c r="CV40" s="301">
        <f t="shared" si="3"/>
        <v>0</v>
      </c>
      <c r="CZ40" s="301">
        <f t="shared" si="4"/>
        <v>0</v>
      </c>
      <c r="DC40" s="309"/>
      <c r="DD40" s="300">
        <f t="shared" si="5"/>
        <v>0</v>
      </c>
      <c r="DH40" s="301">
        <f t="shared" si="6"/>
        <v>0</v>
      </c>
      <c r="DL40" s="301">
        <f t="shared" si="50"/>
        <v>0</v>
      </c>
      <c r="DP40" s="301">
        <f t="shared" si="7"/>
        <v>0</v>
      </c>
      <c r="DS40" s="309"/>
      <c r="DT40" s="300">
        <f t="shared" si="8"/>
        <v>0</v>
      </c>
      <c r="DX40" s="301">
        <f t="shared" si="9"/>
        <v>0</v>
      </c>
      <c r="EB40" s="301">
        <f t="shared" si="10"/>
        <v>0</v>
      </c>
      <c r="EF40" s="301">
        <f t="shared" si="11"/>
        <v>0</v>
      </c>
      <c r="EJ40" s="301">
        <f t="shared" si="12"/>
        <v>0</v>
      </c>
      <c r="EN40" s="301">
        <f t="shared" si="13"/>
        <v>0</v>
      </c>
      <c r="ER40" s="300">
        <f t="shared" si="14"/>
        <v>0</v>
      </c>
      <c r="EV40" s="300">
        <f t="shared" si="15"/>
        <v>0</v>
      </c>
      <c r="EZ40" s="301">
        <f t="shared" si="16"/>
        <v>0</v>
      </c>
      <c r="FD40" s="301">
        <f t="shared" si="17"/>
        <v>0</v>
      </c>
      <c r="FG40" s="309"/>
      <c r="FH40" s="300">
        <f t="shared" si="18"/>
        <v>0</v>
      </c>
      <c r="FL40" s="301">
        <f t="shared" si="19"/>
        <v>0</v>
      </c>
      <c r="FP40" s="301">
        <f t="shared" si="20"/>
        <v>0</v>
      </c>
      <c r="FT40" s="301">
        <f t="shared" si="21"/>
        <v>0</v>
      </c>
      <c r="FX40" s="301">
        <f t="shared" si="22"/>
        <v>0</v>
      </c>
      <c r="GB40" s="301">
        <f t="shared" si="23"/>
        <v>0</v>
      </c>
      <c r="GF40" s="301">
        <f t="shared" si="24"/>
        <v>0</v>
      </c>
      <c r="GJ40" s="301">
        <f t="shared" si="42"/>
        <v>0</v>
      </c>
      <c r="GN40" s="301">
        <f t="shared" si="43"/>
        <v>0</v>
      </c>
      <c r="GR40" s="301">
        <f t="shared" si="44"/>
        <v>0</v>
      </c>
      <c r="GV40" s="301">
        <f t="shared" si="45"/>
        <v>0</v>
      </c>
      <c r="GZ40" s="301">
        <f t="shared" si="46"/>
        <v>0</v>
      </c>
      <c r="HA40" s="328"/>
      <c r="HB40" s="339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306"/>
      <c r="HT40" s="306"/>
      <c r="HU40" s="306"/>
      <c r="HV40" s="30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286"/>
      <c r="IV40" s="286"/>
    </row>
    <row r="41" spans="1:256" s="338" customFormat="1" ht="13.5" hidden="1" customHeight="1">
      <c r="A41" s="909"/>
      <c r="B41" s="346"/>
      <c r="C41" s="342" t="s">
        <v>19</v>
      </c>
      <c r="D41" s="337" t="s">
        <v>162</v>
      </c>
      <c r="E41" s="299">
        <f t="shared" si="54"/>
        <v>51.670549999999999</v>
      </c>
      <c r="F41" s="299">
        <f t="shared" si="54"/>
        <v>92.026476599999995</v>
      </c>
      <c r="G41" s="299">
        <f t="shared" si="54"/>
        <v>92.026476599999995</v>
      </c>
      <c r="H41" s="299">
        <f t="shared" si="54"/>
        <v>0</v>
      </c>
      <c r="L41" s="300">
        <f t="shared" si="25"/>
        <v>0</v>
      </c>
      <c r="P41" s="301">
        <f t="shared" si="26"/>
        <v>0</v>
      </c>
      <c r="T41" s="301">
        <f t="shared" si="27"/>
        <v>0</v>
      </c>
      <c r="X41" s="301">
        <f t="shared" si="28"/>
        <v>0</v>
      </c>
      <c r="AB41" s="301">
        <f t="shared" si="29"/>
        <v>0</v>
      </c>
      <c r="AF41" s="300">
        <f t="shared" si="30"/>
        <v>0</v>
      </c>
      <c r="AJ41" s="300">
        <f t="shared" si="31"/>
        <v>0</v>
      </c>
      <c r="AN41" s="301">
        <f t="shared" si="32"/>
        <v>0</v>
      </c>
      <c r="AR41" s="300">
        <f t="shared" si="33"/>
        <v>0</v>
      </c>
      <c r="AV41" s="301">
        <f t="shared" si="34"/>
        <v>0</v>
      </c>
      <c r="AZ41" s="301">
        <f t="shared" si="35"/>
        <v>0</v>
      </c>
      <c r="BD41" s="301">
        <f t="shared" si="36"/>
        <v>0</v>
      </c>
      <c r="BH41" s="301">
        <f t="shared" si="37"/>
        <v>0</v>
      </c>
      <c r="BL41" s="301">
        <f t="shared" si="38"/>
        <v>0</v>
      </c>
      <c r="BP41" s="301">
        <f t="shared" si="52"/>
        <v>0</v>
      </c>
      <c r="BT41" s="301">
        <f t="shared" si="39"/>
        <v>0</v>
      </c>
      <c r="BX41" s="301">
        <f t="shared" si="40"/>
        <v>0</v>
      </c>
      <c r="CB41" s="301">
        <f t="shared" si="41"/>
        <v>0</v>
      </c>
      <c r="CF41" s="300">
        <f t="shared" si="49"/>
        <v>0</v>
      </c>
      <c r="CJ41" s="301">
        <f t="shared" si="0"/>
        <v>0</v>
      </c>
      <c r="CN41" s="301">
        <f t="shared" si="1"/>
        <v>0</v>
      </c>
      <c r="CR41" s="301">
        <f t="shared" si="2"/>
        <v>0</v>
      </c>
      <c r="CV41" s="301">
        <f t="shared" si="3"/>
        <v>0</v>
      </c>
      <c r="CZ41" s="301">
        <f t="shared" si="4"/>
        <v>0</v>
      </c>
      <c r="DC41" s="309"/>
      <c r="DD41" s="300">
        <f t="shared" si="5"/>
        <v>0</v>
      </c>
      <c r="DH41" s="301">
        <f t="shared" si="6"/>
        <v>0</v>
      </c>
      <c r="DL41" s="301">
        <f t="shared" si="50"/>
        <v>0</v>
      </c>
      <c r="DP41" s="301">
        <f t="shared" si="7"/>
        <v>0</v>
      </c>
      <c r="DS41" s="309"/>
      <c r="DT41" s="300">
        <f t="shared" si="8"/>
        <v>0</v>
      </c>
      <c r="DX41" s="301">
        <f t="shared" si="9"/>
        <v>0</v>
      </c>
      <c r="EB41" s="301">
        <f t="shared" si="10"/>
        <v>0</v>
      </c>
      <c r="EF41" s="301">
        <f t="shared" si="11"/>
        <v>0</v>
      </c>
      <c r="EJ41" s="301">
        <f t="shared" si="12"/>
        <v>0</v>
      </c>
      <c r="EN41" s="301">
        <f t="shared" si="13"/>
        <v>0</v>
      </c>
      <c r="ER41" s="300">
        <f t="shared" si="14"/>
        <v>0</v>
      </c>
      <c r="EV41" s="300">
        <f t="shared" si="15"/>
        <v>0</v>
      </c>
      <c r="EZ41" s="301">
        <f t="shared" si="16"/>
        <v>0</v>
      </c>
      <c r="FD41" s="301">
        <f t="shared" si="17"/>
        <v>0</v>
      </c>
      <c r="FG41" s="309"/>
      <c r="FH41" s="300">
        <f t="shared" si="18"/>
        <v>0</v>
      </c>
      <c r="FL41" s="301">
        <f t="shared" si="19"/>
        <v>0</v>
      </c>
      <c r="FP41" s="301">
        <f t="shared" si="20"/>
        <v>0</v>
      </c>
      <c r="FT41" s="301">
        <f t="shared" si="21"/>
        <v>0</v>
      </c>
      <c r="FU41" s="338">
        <f>'[1]ООО УК КПД-1'!K142/1000</f>
        <v>51.670549999999999</v>
      </c>
      <c r="FV41" s="338">
        <f>'[1]ООО УК КПД-1'!L142/1000</f>
        <v>92.026476599999995</v>
      </c>
      <c r="FW41" s="338">
        <f>'[1]ООО УК КПД-1'!M142/1000</f>
        <v>92.026476599999995</v>
      </c>
      <c r="FX41" s="301">
        <f t="shared" si="22"/>
        <v>0</v>
      </c>
      <c r="GB41" s="301">
        <f t="shared" si="23"/>
        <v>0</v>
      </c>
      <c r="GF41" s="301">
        <f t="shared" si="24"/>
        <v>0</v>
      </c>
      <c r="GJ41" s="301">
        <f t="shared" si="42"/>
        <v>0</v>
      </c>
      <c r="GN41" s="301">
        <f t="shared" si="43"/>
        <v>0</v>
      </c>
      <c r="GR41" s="301">
        <f t="shared" si="44"/>
        <v>0</v>
      </c>
      <c r="GV41" s="301">
        <f t="shared" si="45"/>
        <v>0</v>
      </c>
      <c r="GZ41" s="301">
        <f t="shared" si="46"/>
        <v>0</v>
      </c>
      <c r="HA41" s="328"/>
      <c r="HB41" s="339"/>
      <c r="HC41" s="286"/>
      <c r="HD41" s="286"/>
      <c r="HE41" s="286"/>
      <c r="HF41" s="286"/>
      <c r="HG41" s="286"/>
      <c r="HH41" s="286"/>
      <c r="HI41" s="286"/>
      <c r="HJ41" s="286"/>
      <c r="HK41" s="286"/>
      <c r="HL41" s="286"/>
      <c r="HM41" s="286"/>
      <c r="HN41" s="286"/>
      <c r="HO41" s="286"/>
      <c r="HP41" s="286"/>
      <c r="HQ41" s="286"/>
      <c r="HR41" s="286"/>
      <c r="HS41" s="306"/>
      <c r="HT41" s="306"/>
      <c r="HU41" s="306"/>
      <c r="HV41" s="306"/>
      <c r="HW41" s="286"/>
      <c r="HX41" s="286"/>
      <c r="HY41" s="286"/>
      <c r="HZ41" s="286"/>
      <c r="IA41" s="286"/>
      <c r="IB41" s="286"/>
      <c r="IC41" s="286"/>
      <c r="ID41" s="286"/>
      <c r="IE41" s="286"/>
      <c r="IF41" s="286"/>
      <c r="IG41" s="286"/>
      <c r="IH41" s="286"/>
      <c r="II41" s="286"/>
      <c r="IJ41" s="286"/>
      <c r="IK41" s="286"/>
      <c r="IL41" s="286"/>
      <c r="IM41" s="286"/>
      <c r="IN41" s="286"/>
      <c r="IO41" s="286"/>
      <c r="IP41" s="286"/>
      <c r="IQ41" s="286"/>
      <c r="IR41" s="286"/>
      <c r="IS41" s="286"/>
      <c r="IT41" s="286"/>
      <c r="IU41" s="286"/>
      <c r="IV41" s="286"/>
    </row>
    <row r="42" spans="1:256" s="338" customFormat="1" ht="13.5" hidden="1" customHeight="1">
      <c r="A42" s="909"/>
      <c r="B42" s="346"/>
      <c r="C42" s="342" t="s">
        <v>212</v>
      </c>
      <c r="D42" s="337" t="s">
        <v>162</v>
      </c>
      <c r="E42" s="299">
        <f t="shared" si="54"/>
        <v>7.4838699999999996</v>
      </c>
      <c r="F42" s="299">
        <f t="shared" si="54"/>
        <v>13.470966000000001</v>
      </c>
      <c r="G42" s="299">
        <f t="shared" si="54"/>
        <v>13.470966000000001</v>
      </c>
      <c r="H42" s="299">
        <f t="shared" si="54"/>
        <v>0</v>
      </c>
      <c r="L42" s="300">
        <f t="shared" si="25"/>
        <v>0</v>
      </c>
      <c r="P42" s="301">
        <f t="shared" si="26"/>
        <v>0</v>
      </c>
      <c r="T42" s="301">
        <f t="shared" si="27"/>
        <v>0</v>
      </c>
      <c r="X42" s="301">
        <f t="shared" si="28"/>
        <v>0</v>
      </c>
      <c r="AB42" s="301">
        <f t="shared" si="29"/>
        <v>0</v>
      </c>
      <c r="AF42" s="300">
        <f t="shared" si="30"/>
        <v>0</v>
      </c>
      <c r="AJ42" s="300">
        <f t="shared" si="31"/>
        <v>0</v>
      </c>
      <c r="AN42" s="301">
        <f t="shared" si="32"/>
        <v>0</v>
      </c>
      <c r="AR42" s="300">
        <f t="shared" si="33"/>
        <v>0</v>
      </c>
      <c r="AV42" s="301">
        <f t="shared" si="34"/>
        <v>0</v>
      </c>
      <c r="AZ42" s="301">
        <f t="shared" si="35"/>
        <v>0</v>
      </c>
      <c r="BD42" s="301">
        <f t="shared" si="36"/>
        <v>0</v>
      </c>
      <c r="BH42" s="301">
        <f t="shared" si="37"/>
        <v>0</v>
      </c>
      <c r="BL42" s="301">
        <f t="shared" si="38"/>
        <v>0</v>
      </c>
      <c r="BP42" s="301">
        <f t="shared" si="52"/>
        <v>0</v>
      </c>
      <c r="BT42" s="301">
        <f t="shared" si="39"/>
        <v>0</v>
      </c>
      <c r="BX42" s="301">
        <f t="shared" si="40"/>
        <v>0</v>
      </c>
      <c r="CB42" s="301">
        <f t="shared" si="41"/>
        <v>0</v>
      </c>
      <c r="CF42" s="300">
        <f t="shared" si="49"/>
        <v>0</v>
      </c>
      <c r="CJ42" s="301">
        <f t="shared" si="0"/>
        <v>0</v>
      </c>
      <c r="CN42" s="301">
        <f t="shared" si="1"/>
        <v>0</v>
      </c>
      <c r="CR42" s="301">
        <f t="shared" si="2"/>
        <v>0</v>
      </c>
      <c r="CV42" s="301">
        <f t="shared" si="3"/>
        <v>0</v>
      </c>
      <c r="CZ42" s="301">
        <f t="shared" si="4"/>
        <v>0</v>
      </c>
      <c r="DC42" s="309"/>
      <c r="DD42" s="300">
        <f t="shared" si="5"/>
        <v>0</v>
      </c>
      <c r="DH42" s="301">
        <f t="shared" si="6"/>
        <v>0</v>
      </c>
      <c r="DL42" s="301">
        <f t="shared" si="50"/>
        <v>0</v>
      </c>
      <c r="DP42" s="301">
        <f t="shared" si="7"/>
        <v>0</v>
      </c>
      <c r="DS42" s="309"/>
      <c r="DT42" s="300">
        <f t="shared" si="8"/>
        <v>0</v>
      </c>
      <c r="DX42" s="301">
        <f t="shared" si="9"/>
        <v>0</v>
      </c>
      <c r="EB42" s="301">
        <f t="shared" si="10"/>
        <v>0</v>
      </c>
      <c r="EF42" s="301">
        <f t="shared" si="11"/>
        <v>0</v>
      </c>
      <c r="EJ42" s="301">
        <f t="shared" si="12"/>
        <v>0</v>
      </c>
      <c r="EN42" s="301">
        <f t="shared" si="13"/>
        <v>0</v>
      </c>
      <c r="ER42" s="300">
        <f t="shared" si="14"/>
        <v>0</v>
      </c>
      <c r="EV42" s="300">
        <f t="shared" si="15"/>
        <v>0</v>
      </c>
      <c r="EZ42" s="301">
        <f t="shared" si="16"/>
        <v>0</v>
      </c>
      <c r="FD42" s="301">
        <f t="shared" si="17"/>
        <v>0</v>
      </c>
      <c r="FG42" s="309"/>
      <c r="FH42" s="300">
        <f t="shared" si="18"/>
        <v>0</v>
      </c>
      <c r="FL42" s="301">
        <f t="shared" si="19"/>
        <v>0</v>
      </c>
      <c r="FP42" s="301">
        <f t="shared" si="20"/>
        <v>0</v>
      </c>
      <c r="FT42" s="301">
        <f t="shared" si="21"/>
        <v>0</v>
      </c>
      <c r="FX42" s="301">
        <f t="shared" si="22"/>
        <v>0</v>
      </c>
      <c r="FY42" s="338">
        <f>'[1]ООО КПД-2 Жилсервис'!K127/1000</f>
        <v>7.4838699999999996</v>
      </c>
      <c r="FZ42" s="338">
        <f>'[1]ООО КПД-2 Жилсервис'!L127/1000</f>
        <v>13.470966000000001</v>
      </c>
      <c r="GA42" s="338">
        <f>'[1]ООО КПД-2 Жилсервис'!M127/1000</f>
        <v>13.470966000000001</v>
      </c>
      <c r="GB42" s="301">
        <f t="shared" si="23"/>
        <v>0</v>
      </c>
      <c r="GF42" s="301">
        <f t="shared" si="24"/>
        <v>0</v>
      </c>
      <c r="GJ42" s="301">
        <f t="shared" si="42"/>
        <v>0</v>
      </c>
      <c r="GN42" s="301">
        <f t="shared" si="43"/>
        <v>0</v>
      </c>
      <c r="GR42" s="301">
        <f t="shared" si="44"/>
        <v>0</v>
      </c>
      <c r="GV42" s="301">
        <f t="shared" si="45"/>
        <v>0</v>
      </c>
      <c r="GZ42" s="301">
        <f t="shared" si="46"/>
        <v>0</v>
      </c>
      <c r="HA42" s="328"/>
      <c r="HB42" s="339"/>
      <c r="HC42" s="286"/>
      <c r="HD42" s="286"/>
      <c r="HE42" s="286"/>
      <c r="HF42" s="286"/>
      <c r="HG42" s="286"/>
      <c r="HH42" s="286"/>
      <c r="HI42" s="286"/>
      <c r="HJ42" s="286"/>
      <c r="HK42" s="286"/>
      <c r="HL42" s="286"/>
      <c r="HM42" s="286"/>
      <c r="HN42" s="286"/>
      <c r="HO42" s="286"/>
      <c r="HP42" s="286"/>
      <c r="HQ42" s="286"/>
      <c r="HR42" s="286"/>
      <c r="HS42" s="306"/>
      <c r="HT42" s="306"/>
      <c r="HU42" s="306"/>
      <c r="HV42" s="306"/>
      <c r="HW42" s="286"/>
      <c r="HX42" s="286"/>
      <c r="HY42" s="286"/>
      <c r="HZ42" s="286"/>
      <c r="IA42" s="286"/>
      <c r="IB42" s="286"/>
      <c r="IC42" s="286"/>
      <c r="ID42" s="286"/>
      <c r="IE42" s="286"/>
      <c r="IF42" s="286"/>
      <c r="IG42" s="286"/>
      <c r="IH42" s="286"/>
      <c r="II42" s="286"/>
      <c r="IJ42" s="286"/>
      <c r="IK42" s="286"/>
      <c r="IL42" s="286"/>
      <c r="IM42" s="286"/>
      <c r="IN42" s="286"/>
      <c r="IO42" s="286"/>
      <c r="IP42" s="286"/>
      <c r="IQ42" s="286"/>
      <c r="IR42" s="286"/>
      <c r="IS42" s="286"/>
      <c r="IT42" s="286"/>
      <c r="IU42" s="286"/>
      <c r="IV42" s="286"/>
    </row>
    <row r="43" spans="1:256" s="309" customFormat="1" ht="13.5" hidden="1" customHeight="1">
      <c r="A43" s="909"/>
      <c r="B43" s="285"/>
      <c r="C43" s="285" t="s">
        <v>213</v>
      </c>
      <c r="D43" s="337" t="s">
        <v>162</v>
      </c>
      <c r="E43" s="299">
        <f t="shared" si="54"/>
        <v>22.186580000000003</v>
      </c>
      <c r="F43" s="299">
        <f t="shared" si="54"/>
        <v>14.421277000000002</v>
      </c>
      <c r="G43" s="299">
        <f t="shared" si="54"/>
        <v>14.421277000000002</v>
      </c>
      <c r="H43" s="299">
        <f t="shared" si="54"/>
        <v>0</v>
      </c>
      <c r="I43" s="338"/>
      <c r="J43" s="338"/>
      <c r="K43" s="338"/>
      <c r="L43" s="300">
        <f t="shared" si="25"/>
        <v>0</v>
      </c>
      <c r="M43" s="338"/>
      <c r="N43" s="338"/>
      <c r="O43" s="338"/>
      <c r="P43" s="301">
        <f t="shared" si="26"/>
        <v>0</v>
      </c>
      <c r="Q43" s="338"/>
      <c r="R43" s="338"/>
      <c r="S43" s="338"/>
      <c r="T43" s="301">
        <f t="shared" si="27"/>
        <v>0</v>
      </c>
      <c r="U43" s="338"/>
      <c r="V43" s="338"/>
      <c r="W43" s="338"/>
      <c r="X43" s="301">
        <f t="shared" si="28"/>
        <v>0</v>
      </c>
      <c r="Y43" s="338"/>
      <c r="Z43" s="338"/>
      <c r="AA43" s="338"/>
      <c r="AB43" s="301">
        <f t="shared" si="29"/>
        <v>0</v>
      </c>
      <c r="AC43" s="338"/>
      <c r="AD43" s="338"/>
      <c r="AE43" s="338"/>
      <c r="AF43" s="300">
        <f t="shared" si="30"/>
        <v>0</v>
      </c>
      <c r="AG43" s="338"/>
      <c r="AH43" s="338"/>
      <c r="AI43" s="338"/>
      <c r="AJ43" s="300">
        <f t="shared" si="31"/>
        <v>0</v>
      </c>
      <c r="AK43" s="338"/>
      <c r="AL43" s="338"/>
      <c r="AM43" s="338"/>
      <c r="AN43" s="301">
        <f t="shared" si="32"/>
        <v>0</v>
      </c>
      <c r="AO43" s="338"/>
      <c r="AP43" s="338"/>
      <c r="AQ43" s="338"/>
      <c r="AR43" s="300">
        <f t="shared" si="33"/>
        <v>0</v>
      </c>
      <c r="AS43" s="338"/>
      <c r="AT43" s="338"/>
      <c r="AU43" s="338"/>
      <c r="AV43" s="301">
        <f t="shared" si="34"/>
        <v>0</v>
      </c>
      <c r="AW43" s="338"/>
      <c r="AX43" s="338"/>
      <c r="AY43" s="338"/>
      <c r="AZ43" s="301">
        <f t="shared" si="35"/>
        <v>0</v>
      </c>
      <c r="BA43" s="338"/>
      <c r="BB43" s="338"/>
      <c r="BC43" s="338"/>
      <c r="BD43" s="301">
        <f t="shared" si="36"/>
        <v>0</v>
      </c>
      <c r="BE43" s="338"/>
      <c r="BF43" s="338"/>
      <c r="BG43" s="338"/>
      <c r="BH43" s="301">
        <f t="shared" si="37"/>
        <v>0</v>
      </c>
      <c r="BI43" s="338"/>
      <c r="BJ43" s="338"/>
      <c r="BK43" s="338"/>
      <c r="BL43" s="301">
        <f t="shared" si="38"/>
        <v>0</v>
      </c>
      <c r="BM43" s="338"/>
      <c r="BN43" s="338"/>
      <c r="BO43" s="338"/>
      <c r="BP43" s="301">
        <f t="shared" si="52"/>
        <v>0</v>
      </c>
      <c r="BQ43" s="338"/>
      <c r="BR43" s="338"/>
      <c r="BS43" s="338"/>
      <c r="BT43" s="301">
        <f t="shared" si="39"/>
        <v>0</v>
      </c>
      <c r="BU43" s="338"/>
      <c r="BV43" s="338"/>
      <c r="BW43" s="338"/>
      <c r="BX43" s="301">
        <f t="shared" si="40"/>
        <v>0</v>
      </c>
      <c r="BY43" s="338"/>
      <c r="BZ43" s="338"/>
      <c r="CA43" s="338"/>
      <c r="CB43" s="301">
        <f t="shared" si="41"/>
        <v>0</v>
      </c>
      <c r="CC43" s="338"/>
      <c r="CD43" s="338"/>
      <c r="CE43" s="338"/>
      <c r="CF43" s="300">
        <f t="shared" si="49"/>
        <v>0</v>
      </c>
      <c r="CG43" s="338"/>
      <c r="CH43" s="338"/>
      <c r="CJ43" s="301">
        <f t="shared" si="0"/>
        <v>0</v>
      </c>
      <c r="CN43" s="301">
        <f t="shared" si="1"/>
        <v>0</v>
      </c>
      <c r="CR43" s="301">
        <f t="shared" si="2"/>
        <v>0</v>
      </c>
      <c r="CV43" s="301">
        <f t="shared" si="3"/>
        <v>0</v>
      </c>
      <c r="CZ43" s="301">
        <f t="shared" si="4"/>
        <v>0</v>
      </c>
      <c r="DD43" s="300">
        <f t="shared" si="5"/>
        <v>0</v>
      </c>
      <c r="DH43" s="301">
        <f t="shared" si="6"/>
        <v>0</v>
      </c>
      <c r="DI43" s="309">
        <f>'[1]ООО УК Инвестстрой М'!K121/1000</f>
        <v>22.186580000000003</v>
      </c>
      <c r="DJ43" s="309">
        <f>'[1]ООО УК Инвестстрой М'!L121/1000</f>
        <v>14.421277000000002</v>
      </c>
      <c r="DK43" s="309">
        <f>'[1]ООО УК Инвестстрой М'!M121/1000</f>
        <v>14.421277000000002</v>
      </c>
      <c r="DL43" s="301">
        <f t="shared" si="50"/>
        <v>0</v>
      </c>
      <c r="DP43" s="301">
        <f t="shared" si="7"/>
        <v>0</v>
      </c>
      <c r="DT43" s="300">
        <f t="shared" si="8"/>
        <v>0</v>
      </c>
      <c r="DX43" s="301">
        <f t="shared" si="9"/>
        <v>0</v>
      </c>
      <c r="EB43" s="301">
        <f t="shared" si="10"/>
        <v>0</v>
      </c>
      <c r="EF43" s="301">
        <f t="shared" si="11"/>
        <v>0</v>
      </c>
      <c r="EJ43" s="301">
        <f t="shared" si="12"/>
        <v>0</v>
      </c>
      <c r="EN43" s="301">
        <f t="shared" si="13"/>
        <v>0</v>
      </c>
      <c r="ER43" s="300">
        <f t="shared" si="14"/>
        <v>0</v>
      </c>
      <c r="EV43" s="300">
        <f t="shared" si="15"/>
        <v>0</v>
      </c>
      <c r="EW43" s="338"/>
      <c r="EX43" s="338"/>
      <c r="EY43" s="338"/>
      <c r="EZ43" s="301">
        <f t="shared" si="16"/>
        <v>0</v>
      </c>
      <c r="FD43" s="301">
        <f t="shared" si="17"/>
        <v>0</v>
      </c>
      <c r="FH43" s="300">
        <f t="shared" si="18"/>
        <v>0</v>
      </c>
      <c r="FL43" s="301">
        <f t="shared" si="19"/>
        <v>0</v>
      </c>
      <c r="FP43" s="301">
        <f t="shared" si="20"/>
        <v>0</v>
      </c>
      <c r="FT43" s="301">
        <f t="shared" si="21"/>
        <v>0</v>
      </c>
      <c r="FX43" s="301">
        <f t="shared" si="22"/>
        <v>0</v>
      </c>
      <c r="GB43" s="301">
        <f t="shared" si="23"/>
        <v>0</v>
      </c>
      <c r="GF43" s="301">
        <f t="shared" si="24"/>
        <v>0</v>
      </c>
      <c r="GJ43" s="301">
        <f t="shared" si="42"/>
        <v>0</v>
      </c>
      <c r="GN43" s="301">
        <f t="shared" si="43"/>
        <v>0</v>
      </c>
      <c r="GR43" s="301">
        <f t="shared" si="44"/>
        <v>0</v>
      </c>
      <c r="GV43" s="301">
        <f t="shared" si="45"/>
        <v>0</v>
      </c>
      <c r="GZ43" s="301">
        <f t="shared" si="46"/>
        <v>0</v>
      </c>
      <c r="HA43" s="328"/>
      <c r="HB43" s="339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306"/>
      <c r="HT43" s="306"/>
      <c r="HU43" s="306"/>
      <c r="HV43" s="30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  <c r="IQ43" s="286"/>
      <c r="IR43" s="286"/>
      <c r="IS43" s="286"/>
      <c r="IT43" s="286"/>
      <c r="IU43" s="286"/>
      <c r="IV43" s="286"/>
    </row>
    <row r="44" spans="1:256" s="324" customFormat="1" ht="13.5" hidden="1" customHeight="1">
      <c r="A44" s="325" t="s">
        <v>214</v>
      </c>
      <c r="B44" s="362" t="s">
        <v>215</v>
      </c>
      <c r="C44" s="363"/>
      <c r="D44" s="327" t="s">
        <v>162</v>
      </c>
      <c r="E44" s="317">
        <f t="shared" si="54"/>
        <v>8571.5414600000022</v>
      </c>
      <c r="F44" s="317">
        <f t="shared" si="54"/>
        <v>5569.6946117200005</v>
      </c>
      <c r="G44" s="317">
        <f t="shared" si="54"/>
        <v>5569.6946117200005</v>
      </c>
      <c r="H44" s="317">
        <f t="shared" si="54"/>
        <v>0</v>
      </c>
      <c r="I44" s="320">
        <f>'[1]ГК РЭС'!K198/1000</f>
        <v>49.756989999999995</v>
      </c>
      <c r="J44" s="320">
        <f>'[1]ГК РЭС'!L198/1000</f>
        <v>33.337183300000007</v>
      </c>
      <c r="K44" s="320">
        <f>'[1]ГК РЭС'!M198/1000</f>
        <v>33.337183300000007</v>
      </c>
      <c r="L44" s="300">
        <f t="shared" si="25"/>
        <v>0</v>
      </c>
      <c r="M44" s="320">
        <f>'[1]УМУП УК ЖКХ г.Ульяновска'!K457/1000</f>
        <v>4.4010400000000001</v>
      </c>
      <c r="N44" s="320">
        <f>'[1]УМУП УК ЖКХ г.Ульяновска'!L457/1000</f>
        <v>1.251298</v>
      </c>
      <c r="O44" s="320">
        <f>'[1]УМУП УК ЖКХ г.Ульяновска'!M457/1000</f>
        <v>1.251298</v>
      </c>
      <c r="P44" s="301">
        <f t="shared" si="26"/>
        <v>0</v>
      </c>
      <c r="Q44" s="320">
        <f>'[1]ОАО ДК Засвияжье 1'!K542/1000</f>
        <v>1292.85457</v>
      </c>
      <c r="R44" s="320">
        <f>'[1]ОАО ДК Засвияжье 1'!L542/1000</f>
        <v>668.16863720000003</v>
      </c>
      <c r="S44" s="320">
        <f>'[1]ОАО ДК Засвияжье 1'!M542/1000</f>
        <v>668.16863720000003</v>
      </c>
      <c r="T44" s="301">
        <f t="shared" si="27"/>
        <v>0</v>
      </c>
      <c r="U44" s="320">
        <f>'[1]ОАО ДК Заволж р-на'!K541/1000</f>
        <v>716.33384999999987</v>
      </c>
      <c r="V44" s="320">
        <f>'[1]ОАО ДК Заволж р-на'!L541/1000</f>
        <v>357.99056749999988</v>
      </c>
      <c r="W44" s="320">
        <f>'[1]ОАО ДК Заволж р-на'!M541/1000</f>
        <v>357.99056749999988</v>
      </c>
      <c r="X44" s="301">
        <f t="shared" si="28"/>
        <v>0</v>
      </c>
      <c r="Y44" s="320">
        <f>Y6</f>
        <v>415.37040999999999</v>
      </c>
      <c r="Z44" s="320">
        <f>'[1]ООО ЖСС'!L224/1000</f>
        <v>279.84955600000001</v>
      </c>
      <c r="AA44" s="320">
        <f>'[1]ООО ЖСС'!M224/1000</f>
        <v>279.84955600000001</v>
      </c>
      <c r="AB44" s="301">
        <f t="shared" si="29"/>
        <v>0</v>
      </c>
      <c r="AC44" s="320">
        <f>AC6</f>
        <v>247.29827</v>
      </c>
      <c r="AD44" s="320">
        <f>[1]МегаЛинк!L265/1000</f>
        <v>149.8351174</v>
      </c>
      <c r="AE44" s="320">
        <f>[1]МегаЛинк!M265/1000</f>
        <v>149.8351174</v>
      </c>
      <c r="AF44" s="300">
        <f t="shared" si="30"/>
        <v>0</v>
      </c>
      <c r="AG44" s="320">
        <f>[1]Вымпел!K182/1000</f>
        <v>0</v>
      </c>
      <c r="AH44" s="320">
        <f>[1]Вымпел!L182/1000</f>
        <v>0</v>
      </c>
      <c r="AI44" s="320">
        <f>[1]Вымпел!M182/1000</f>
        <v>0</v>
      </c>
      <c r="AJ44" s="300">
        <f t="shared" si="31"/>
        <v>0</v>
      </c>
      <c r="AK44" s="320">
        <f>'[1]ООО РЭС'!K251/1000</f>
        <v>422.7220200000001</v>
      </c>
      <c r="AL44" s="320">
        <f>'[1]ООО РЭС'!L251/1000</f>
        <v>253.63321200000001</v>
      </c>
      <c r="AM44" s="320">
        <f>'[1]ООО РЭС'!M251/1000</f>
        <v>253.63321200000001</v>
      </c>
      <c r="AN44" s="301">
        <f t="shared" si="32"/>
        <v>0</v>
      </c>
      <c r="AO44" s="320">
        <f>'[1]ЗАО ГК Аметист'!K616/1000</f>
        <v>1146.7660799999999</v>
      </c>
      <c r="AP44" s="320">
        <f>'[1]ЗАО ГК Аметист'!L616/1000</f>
        <v>860.91956939999989</v>
      </c>
      <c r="AQ44" s="320">
        <f>'[1]ЗАО ГК Аметист'!M616/1000</f>
        <v>860.91956939999989</v>
      </c>
      <c r="AR44" s="300">
        <f t="shared" si="33"/>
        <v>0</v>
      </c>
      <c r="AS44" s="320">
        <f>'[1]Фундамент СК ООО'!K428/1000</f>
        <v>230.98446999999999</v>
      </c>
      <c r="AT44" s="320">
        <f>'[1]Фундамент СК ООО'!L428/1000</f>
        <v>166.30881839999998</v>
      </c>
      <c r="AU44" s="320">
        <f>'[1]Фундамент СК ООО'!M428/1000</f>
        <v>166.30881839999998</v>
      </c>
      <c r="AV44" s="301">
        <f t="shared" si="34"/>
        <v>0</v>
      </c>
      <c r="AW44" s="320">
        <f>'[1]Ульяновский _2 ТСЖ'!K181/1000</f>
        <v>0</v>
      </c>
      <c r="AX44" s="320">
        <f>'[1]Ульяновский _2 ТСЖ'!L181/1000</f>
        <v>0</v>
      </c>
      <c r="AY44" s="320">
        <f>'[1]Ульяновский _2 ТСЖ'!M181/1000</f>
        <v>0</v>
      </c>
      <c r="AZ44" s="301">
        <f t="shared" si="35"/>
        <v>0</v>
      </c>
      <c r="BA44" s="320">
        <f>'[1]ДоМ ТСЖ'!K181/1000</f>
        <v>0</v>
      </c>
      <c r="BB44" s="320">
        <f>'[1]ДоМ ТСЖ'!L181/1000</f>
        <v>0</v>
      </c>
      <c r="BC44" s="320">
        <f>'[1]ДоМ ТСЖ'!M181/1000</f>
        <v>0</v>
      </c>
      <c r="BD44" s="301">
        <f t="shared" si="36"/>
        <v>0</v>
      </c>
      <c r="BE44" s="320">
        <f>'[1]ООО ТехноГрад'!K185/1000</f>
        <v>0</v>
      </c>
      <c r="BF44" s="320">
        <f>'[1]ООО ТехноГрад'!L185/1000</f>
        <v>0</v>
      </c>
      <c r="BG44" s="320">
        <f>'[1]ООО ТехноГрад'!M185/1000</f>
        <v>0</v>
      </c>
      <c r="BH44" s="301">
        <f t="shared" si="37"/>
        <v>0</v>
      </c>
      <c r="BI44" s="320">
        <f>[1]СМУ!K451/1000</f>
        <v>0</v>
      </c>
      <c r="BJ44" s="320">
        <f>[1]СМУ!L451/1000</f>
        <v>0</v>
      </c>
      <c r="BK44" s="320">
        <f>[1]СМУ!M451/1000</f>
        <v>0</v>
      </c>
      <c r="BL44" s="301">
        <f t="shared" si="38"/>
        <v>0</v>
      </c>
      <c r="BM44" s="320">
        <f>'[1]Евро-Строй-Сервис'!K253/1000</f>
        <v>52.514559999999996</v>
      </c>
      <c r="BN44" s="320">
        <f>'[1]Евро-Строй-Сервис'!L253/1000</f>
        <v>33.489629100000009</v>
      </c>
      <c r="BO44" s="320">
        <f>'[1]Евро-Строй-Сервис'!M253/1000</f>
        <v>33.489629100000009</v>
      </c>
      <c r="BP44" s="301">
        <f t="shared" si="52"/>
        <v>0</v>
      </c>
      <c r="BQ44" s="320">
        <f>'[1]ОАО ДК Засвияжье 2'!K576/1000</f>
        <v>66.750810000000001</v>
      </c>
      <c r="BR44" s="320">
        <f>'[1]ОАО ДК Засвияжье 2'!L576/1000</f>
        <v>51.885347700000004</v>
      </c>
      <c r="BS44" s="320">
        <f>'[1]ОАО ДК Засвияжье 2'!M576/1000</f>
        <v>51.885347700000004</v>
      </c>
      <c r="BT44" s="301">
        <f t="shared" si="39"/>
        <v>0</v>
      </c>
      <c r="BU44" s="320">
        <f>BU6</f>
        <v>927.27217999999971</v>
      </c>
      <c r="BV44" s="320">
        <f>'[1]ОАО ДК Лен р-на'!L766/1000</f>
        <v>560.97636309999996</v>
      </c>
      <c r="BW44" s="320">
        <f>'[1]ОАО ДК Лен р-на'!M766/1000</f>
        <v>560.97636309999996</v>
      </c>
      <c r="BX44" s="301">
        <f t="shared" si="40"/>
        <v>0</v>
      </c>
      <c r="BY44" s="320">
        <f>BY6</f>
        <v>1165.1320600000001</v>
      </c>
      <c r="BZ44" s="320">
        <f>'[1]ОАО ДК ЖД р-на'!L1084/1000</f>
        <v>886.13934730000028</v>
      </c>
      <c r="CA44" s="320">
        <f>'[1]ОАО ДК ЖД р-на'!M1084/1000</f>
        <v>886.13934730000028</v>
      </c>
      <c r="CB44" s="301">
        <f t="shared" si="41"/>
        <v>0</v>
      </c>
      <c r="CC44" s="320">
        <f>[1]СУК!K182/1000</f>
        <v>0</v>
      </c>
      <c r="CD44" s="320">
        <f>[1]СУК!L182/1000</f>
        <v>0</v>
      </c>
      <c r="CE44" s="320">
        <f>[1]СУК!M182/1000</f>
        <v>0</v>
      </c>
      <c r="CF44" s="300">
        <f t="shared" si="49"/>
        <v>0</v>
      </c>
      <c r="CG44" s="320">
        <f>'[1]УК ЖСС'!K255/1000</f>
        <v>1100.11753</v>
      </c>
      <c r="CH44" s="320">
        <f>'[1]УК ЖСС'!L255/1000</f>
        <v>767.78360639999994</v>
      </c>
      <c r="CI44" s="320">
        <f>'[1]УК ЖСС'!M255/1000</f>
        <v>767.78360639999994</v>
      </c>
      <c r="CJ44" s="301">
        <f t="shared" si="0"/>
        <v>0</v>
      </c>
      <c r="CK44" s="320">
        <f>'[1]ТСЖ Народ контроль R'!K182/1000</f>
        <v>52.980319999999999</v>
      </c>
      <c r="CL44" s="320">
        <f>'[1]ТСЖ Народ контроль R'!L182/1000</f>
        <v>42.384256000000001</v>
      </c>
      <c r="CM44" s="320">
        <f>'[1]ТСЖ Народ контроль R'!M182/1000</f>
        <v>42.384256000000001</v>
      </c>
      <c r="CN44" s="301">
        <f t="shared" si="1"/>
        <v>0</v>
      </c>
      <c r="CO44" s="320">
        <f>'[1]Север-1'!K543/1000</f>
        <v>0</v>
      </c>
      <c r="CP44" s="320">
        <f>'[1]Север-1'!L543/1000</f>
        <v>0</v>
      </c>
      <c r="CQ44" s="320">
        <f>'[1]Север-1'!M543/1000</f>
        <v>0</v>
      </c>
      <c r="CR44" s="301">
        <f t="shared" si="2"/>
        <v>0</v>
      </c>
      <c r="CS44" s="320">
        <f>'[1]МостОтряд №51'!K182/1000</f>
        <v>0</v>
      </c>
      <c r="CT44" s="320">
        <f>'[1]МостОтряд №51'!L182/1000</f>
        <v>0</v>
      </c>
      <c r="CU44" s="320">
        <f>'[1]МостОтряд №51'!M182/1000</f>
        <v>0</v>
      </c>
      <c r="CV44" s="301">
        <f t="shared" si="3"/>
        <v>0</v>
      </c>
      <c r="CW44" s="320">
        <f>'[1]Пр-т Гая'!K696/1000</f>
        <v>34.971150000000002</v>
      </c>
      <c r="CX44" s="320">
        <f>'[1]Пр-т Гая'!L696/1000</f>
        <v>10.1717356</v>
      </c>
      <c r="CY44" s="320">
        <f>'[1]Пр-т Гая'!M696/1000</f>
        <v>10.1717356</v>
      </c>
      <c r="CZ44" s="301">
        <f t="shared" si="4"/>
        <v>0</v>
      </c>
      <c r="DA44" s="320">
        <f>[1]Стасова!K411/1000</f>
        <v>0</v>
      </c>
      <c r="DB44" s="320">
        <f>[1]Стасова!L411/1000</f>
        <v>0</v>
      </c>
      <c r="DC44" s="320">
        <f>[1]Стасова!M411/1000</f>
        <v>0</v>
      </c>
      <c r="DD44" s="300">
        <f t="shared" si="5"/>
        <v>0</v>
      </c>
      <c r="DE44" s="320">
        <f>'[1]Мегаполис ТСЖ'!K182/1000</f>
        <v>0</v>
      </c>
      <c r="DF44" s="320">
        <f>'[1]Мегаполис ТСЖ'!L182/1000</f>
        <v>0</v>
      </c>
      <c r="DG44" s="320">
        <f>'[1]Мегаполис ТСЖ'!M182/1000</f>
        <v>0</v>
      </c>
      <c r="DH44" s="301">
        <f t="shared" si="6"/>
        <v>0</v>
      </c>
      <c r="DI44" s="320">
        <f>'[1]ООО УК Инвестстрой М'!K184/1000</f>
        <v>22.186580000000003</v>
      </c>
      <c r="DJ44" s="320">
        <f>'[1]ООО УК Инвестстрой М'!L184/1000</f>
        <v>14.421277000000002</v>
      </c>
      <c r="DK44" s="320">
        <f>'[1]ООО УК Инвестстрой М'!M184/1000</f>
        <v>14.421277000000002</v>
      </c>
      <c r="DL44" s="301">
        <f t="shared" si="50"/>
        <v>0</v>
      </c>
      <c r="DM44" s="320">
        <f>'[1]Альфаком-У'!K447/1000</f>
        <v>267.49553000000003</v>
      </c>
      <c r="DN44" s="320">
        <f>'[1]Альфаком-У'!L447/1000</f>
        <v>201.99441999999999</v>
      </c>
      <c r="DO44" s="320">
        <f>'[1]Альфаком-У'!M447/1000</f>
        <v>201.99441999999999</v>
      </c>
      <c r="DP44" s="301">
        <f t="shared" si="7"/>
        <v>0</v>
      </c>
      <c r="DQ44" s="320">
        <f>'[1]ТСЖ Дачный'!K411/1000</f>
        <v>0.17898</v>
      </c>
      <c r="DR44" s="320">
        <f>'[1]ТСЖ Дачный'!L411/1000</f>
        <v>7.3381799999999997E-2</v>
      </c>
      <c r="DS44" s="320">
        <f>'[1]ТСЖ Дачный'!M411/1000</f>
        <v>7.3381799999999997E-2</v>
      </c>
      <c r="DT44" s="300">
        <f t="shared" si="8"/>
        <v>0</v>
      </c>
      <c r="DU44" s="320">
        <f>'[1]Альфаком-У-ТСЖ З-2'!K424/1000</f>
        <v>54.455589999999994</v>
      </c>
      <c r="DV44" s="320">
        <f>'[1]Альфаком-У-ТСЖ З-2'!L424/1000</f>
        <v>40.841692500000001</v>
      </c>
      <c r="DW44" s="320">
        <f>'[1]Альфаком-У-ТСЖ З-2'!M424/1000</f>
        <v>40.841692500000001</v>
      </c>
      <c r="DX44" s="301">
        <f t="shared" si="9"/>
        <v>0</v>
      </c>
      <c r="DY44" s="320">
        <f>'[1]ЖСК Электромаш'!K182/1000</f>
        <v>0</v>
      </c>
      <c r="DZ44" s="320">
        <f>'[1]ЖСК Электромаш'!L182/1000</f>
        <v>0</v>
      </c>
      <c r="EA44" s="320">
        <f>'[1]ЖСК Электромаш'!M182/1000</f>
        <v>0</v>
      </c>
      <c r="EB44" s="301">
        <f t="shared" si="10"/>
        <v>0</v>
      </c>
      <c r="EC44" s="320">
        <f>'[1]ЗАО Авиастар-СП'!K182/1000</f>
        <v>0</v>
      </c>
      <c r="ED44" s="320">
        <f>'[1]ЗАО Авиастар-СП'!L182/1000</f>
        <v>0</v>
      </c>
      <c r="EE44" s="320">
        <f>'[1]ЗАО Авиастар-СП'!M182/1000</f>
        <v>0</v>
      </c>
      <c r="EF44" s="301">
        <f t="shared" si="11"/>
        <v>0</v>
      </c>
      <c r="EG44" s="320">
        <f>EG6</f>
        <v>178.29168999999999</v>
      </c>
      <c r="EH44" s="320">
        <f>'[1]ООО ЦЭТ'!L579/1000</f>
        <v>118.71410201999998</v>
      </c>
      <c r="EI44" s="320">
        <f>'[1]ООО ЦЭТ'!M579/1000</f>
        <v>118.71410201999998</v>
      </c>
      <c r="EJ44" s="301">
        <f t="shared" si="12"/>
        <v>0</v>
      </c>
      <c r="EK44" s="320">
        <f>'[1]ТСЖ Форт'!K182/1000</f>
        <v>0</v>
      </c>
      <c r="EL44" s="320">
        <f>'[1]ТСЖ Форт'!L182/1000</f>
        <v>0</v>
      </c>
      <c r="EM44" s="320">
        <f>'[1]ТСЖ Форт'!M182/1000</f>
        <v>0</v>
      </c>
      <c r="EN44" s="301">
        <f t="shared" si="13"/>
        <v>0</v>
      </c>
      <c r="EO44" s="320">
        <f>'[2]ТСЖ Северный венец'!K566/1000</f>
        <v>0</v>
      </c>
      <c r="EP44" s="320">
        <f>'[2]ТСЖ Северный венец'!L566/1000</f>
        <v>0</v>
      </c>
      <c r="EQ44" s="320">
        <f>'[2]ТСЖ Северный венец'!M566/1000</f>
        <v>0</v>
      </c>
      <c r="ER44" s="300">
        <f t="shared" si="14"/>
        <v>0</v>
      </c>
      <c r="ES44" s="320">
        <f>'[1]УК ЖКХ Симбирск'!K566/1000</f>
        <v>7.80715</v>
      </c>
      <c r="ET44" s="320">
        <f>'[1]УК ЖКХ Симбирск'!L566/1000</f>
        <v>2.6736228</v>
      </c>
      <c r="EU44" s="320">
        <f>'[1]УК ЖКХ Симбирск'!M566/1000</f>
        <v>2.6736228</v>
      </c>
      <c r="EV44" s="300">
        <f t="shared" si="15"/>
        <v>0</v>
      </c>
      <c r="EW44" s="320">
        <f>'[1]ООО Наш Дом 010212'!K476/1000</f>
        <v>16.32809</v>
      </c>
      <c r="EX44" s="320">
        <f>'[1]ООО Наш Дом 010212'!L476/1000</f>
        <v>8.9516779999999994</v>
      </c>
      <c r="EY44" s="320">
        <f>'[1]ООО Наш Дом 010212'!M476/1000</f>
        <v>8.9516779999999994</v>
      </c>
      <c r="EZ44" s="301">
        <f t="shared" si="16"/>
        <v>0</v>
      </c>
      <c r="FA44" s="320">
        <v>0</v>
      </c>
      <c r="FB44" s="320">
        <f>FA44*0.25*FB$162/1000</f>
        <v>0</v>
      </c>
      <c r="FC44" s="320">
        <f>FB44</f>
        <v>0</v>
      </c>
      <c r="FD44" s="301">
        <f t="shared" si="17"/>
        <v>0</v>
      </c>
      <c r="FE44" s="320">
        <f>FE6</f>
        <v>23.927109999999999</v>
      </c>
      <c r="FF44" s="320">
        <f>'[1]ООО ЖКиСР УправДом'!L592/1000</f>
        <v>12.920639400000002</v>
      </c>
      <c r="FG44" s="320">
        <f>FF44</f>
        <v>12.920639400000002</v>
      </c>
      <c r="FH44" s="300">
        <f t="shared" si="18"/>
        <v>0</v>
      </c>
      <c r="FI44" s="320">
        <f>'[1]ТСЖ Малахит'!K179/1000</f>
        <v>6.03599</v>
      </c>
      <c r="FJ44" s="320">
        <f>'[1]ТСЖ Малахит'!L179/1000</f>
        <v>5.3116712000000001</v>
      </c>
      <c r="FK44" s="320">
        <f>'[1]ТСЖ Малахит'!M179/1000</f>
        <v>5.3116712000000001</v>
      </c>
      <c r="FL44" s="301">
        <f t="shared" si="19"/>
        <v>0</v>
      </c>
      <c r="FM44" s="320">
        <f>'[1]ТСЖ Малахит'!O179/1000</f>
        <v>0</v>
      </c>
      <c r="FN44" s="320">
        <f>'[1]ТСЖ Малахит'!P179/1000</f>
        <v>0</v>
      </c>
      <c r="FO44" s="320">
        <f>'[1]ТСЖ Малахит'!Q179/1000</f>
        <v>0</v>
      </c>
      <c r="FP44" s="301">
        <f t="shared" si="20"/>
        <v>0</v>
      </c>
      <c r="FQ44" s="320">
        <f>'[1]ООО ЖКХ Лен-го района'!K507/1000</f>
        <v>0</v>
      </c>
      <c r="FR44" s="320">
        <f>'[1]ООО ЖКХ Лен-го района'!L507/1000</f>
        <v>0</v>
      </c>
      <c r="FS44" s="320">
        <f>'[1]ООО ЖКХ Лен-го района'!M507/1000</f>
        <v>0</v>
      </c>
      <c r="FT44" s="301">
        <f t="shared" si="21"/>
        <v>0</v>
      </c>
      <c r="FU44" s="320">
        <f>'[1]ООО УК КПД-1'!K205/1000</f>
        <v>51.670549999999999</v>
      </c>
      <c r="FV44" s="320">
        <f>'[1]ООО УК КПД-1'!L205/1000</f>
        <v>25.791898</v>
      </c>
      <c r="FW44" s="320">
        <f>'[1]ООО УК КПД-1'!M205/1000</f>
        <v>25.791898</v>
      </c>
      <c r="FX44" s="301">
        <f t="shared" si="22"/>
        <v>0</v>
      </c>
      <c r="FY44" s="320">
        <f>'[1]ООО КПД-2 Жилсервис'!K190/1000</f>
        <v>7.4838699999999996</v>
      </c>
      <c r="FZ44" s="320">
        <f>'[1]ООО КПД-2 Жилсервис'!L190/1000</f>
        <v>8.6812891999999984</v>
      </c>
      <c r="GA44" s="320">
        <f>'[1]ООО КПД-2 Жилсервис'!M190/1000</f>
        <v>8.6812891999999984</v>
      </c>
      <c r="GB44" s="301">
        <f t="shared" si="23"/>
        <v>0</v>
      </c>
      <c r="GC44" s="320">
        <f>'[1]ООО УК ЦЭТ'!K546/1000</f>
        <v>9.4540199999999999</v>
      </c>
      <c r="GD44" s="320">
        <f>'[1]ООО УК ЦЭТ'!L546/1000</f>
        <v>5.1946953999999996</v>
      </c>
      <c r="GE44" s="320">
        <f>'[1]ООО УК ЦЭТ'!M546/1000</f>
        <v>5.1946953999999996</v>
      </c>
      <c r="GF44" s="301">
        <f t="shared" si="24"/>
        <v>0</v>
      </c>
      <c r="GG44" s="320">
        <f>'[1]ООО УК ЦЭТ'!O546/1000</f>
        <v>0</v>
      </c>
      <c r="GH44" s="320">
        <f>'[1]ООО УК ЦЭТ'!P546/1000</f>
        <v>0</v>
      </c>
      <c r="GI44" s="320">
        <f>'[1]ООО УК ЦЭТ'!Q546/1000</f>
        <v>0</v>
      </c>
      <c r="GJ44" s="301">
        <f t="shared" si="42"/>
        <v>0</v>
      </c>
      <c r="GK44" s="320">
        <f>'[1]ООО УК ЦЭТ'!S546/1000</f>
        <v>0</v>
      </c>
      <c r="GL44" s="320">
        <f>'[1]ООО УК ЦЭТ'!T546/1000</f>
        <v>0</v>
      </c>
      <c r="GM44" s="320">
        <f>'[1]ООО УК ЦЭТ'!U546/1000</f>
        <v>0</v>
      </c>
      <c r="GN44" s="301">
        <f t="shared" si="43"/>
        <v>0</v>
      </c>
      <c r="GO44" s="320">
        <f>'[1]ООО УК КПД-1'!AE205/1000</f>
        <v>0</v>
      </c>
      <c r="GP44" s="320">
        <f>'[1]ООО УК КПД-1'!AF205/1000</f>
        <v>0</v>
      </c>
      <c r="GQ44" s="320">
        <f>'[1]ООО УК КПД-1'!AG205/1000</f>
        <v>0</v>
      </c>
      <c r="GR44" s="301">
        <f t="shared" si="44"/>
        <v>0</v>
      </c>
      <c r="GS44" s="320">
        <f>'[1]ООО УК КПД-1'!AI205/1000</f>
        <v>0</v>
      </c>
      <c r="GT44" s="320">
        <f>'[1]ООО УК КПД-1'!AJ205/1000</f>
        <v>0</v>
      </c>
      <c r="GU44" s="320">
        <f>'[1]ООО УК КПД-1'!AK205/1000</f>
        <v>0</v>
      </c>
      <c r="GV44" s="301">
        <f t="shared" si="45"/>
        <v>0</v>
      </c>
      <c r="GW44" s="320">
        <f>'[1]ООО УК КПД-1'!AM205/1000</f>
        <v>0</v>
      </c>
      <c r="GX44" s="320">
        <f>'[1]ООО УК КПД-1'!AN205/1000</f>
        <v>0</v>
      </c>
      <c r="GY44" s="320">
        <f>'[1]ООО УК КПД-1'!AO205/1000</f>
        <v>0</v>
      </c>
      <c r="GZ44" s="301">
        <f t="shared" si="46"/>
        <v>0</v>
      </c>
      <c r="HA44" s="328"/>
      <c r="HS44" s="306"/>
      <c r="HT44" s="306"/>
      <c r="HU44" s="306"/>
      <c r="HV44" s="306"/>
    </row>
    <row r="45" spans="1:256" s="301" customFormat="1" ht="13.5" hidden="1" customHeight="1">
      <c r="A45" s="364" t="s">
        <v>216</v>
      </c>
      <c r="B45" s="365" t="s">
        <v>217</v>
      </c>
      <c r="C45" s="366"/>
      <c r="D45" s="367" t="s">
        <v>162</v>
      </c>
      <c r="E45" s="299">
        <f t="shared" si="54"/>
        <v>260.16329999999999</v>
      </c>
      <c r="F45" s="299">
        <f t="shared" si="54"/>
        <v>792.94953959999998</v>
      </c>
      <c r="G45" s="299">
        <f t="shared" si="54"/>
        <v>792.94953959999998</v>
      </c>
      <c r="H45" s="299">
        <f t="shared" si="54"/>
        <v>0</v>
      </c>
      <c r="I45" s="301">
        <f>'[1]ГК РЭС'!K44/1000</f>
        <v>0</v>
      </c>
      <c r="J45" s="301">
        <f>'[1]ГК РЭС'!L44/1000</f>
        <v>0</v>
      </c>
      <c r="K45" s="301">
        <f>'[1]ГК РЭС'!M44/1000</f>
        <v>0</v>
      </c>
      <c r="L45" s="300">
        <f t="shared" si="25"/>
        <v>0</v>
      </c>
      <c r="P45" s="301">
        <f t="shared" si="26"/>
        <v>0</v>
      </c>
      <c r="T45" s="301">
        <f t="shared" si="27"/>
        <v>0</v>
      </c>
      <c r="U45" s="301">
        <f>'[1]ОАО ДК Заволж р-на'!K220/1000</f>
        <v>15.995640000000002</v>
      </c>
      <c r="V45" s="301">
        <f>'[1]ОАО ДК Заволж р-на'!L220/1000</f>
        <v>137.72597619999999</v>
      </c>
      <c r="W45" s="301">
        <f>'[1]ОАО ДК Заволж р-на'!M220/1000</f>
        <v>137.72597619999999</v>
      </c>
      <c r="X45" s="301">
        <f t="shared" si="28"/>
        <v>0</v>
      </c>
      <c r="Y45" s="301">
        <f>'[1]ООО ЖСС'!K75/1000</f>
        <v>15.827720000000001</v>
      </c>
      <c r="Z45" s="301">
        <f>'[1]ООО ЖСС'!L75/1000</f>
        <v>47.483160000000005</v>
      </c>
      <c r="AA45" s="301">
        <f>'[1]ООО ЖСС'!M75/1000</f>
        <v>47.483160000000005</v>
      </c>
      <c r="AB45" s="301">
        <f t="shared" si="29"/>
        <v>0</v>
      </c>
      <c r="AC45" s="301">
        <f>[1]МегаЛинк!K67/1000</f>
        <v>0</v>
      </c>
      <c r="AD45" s="301">
        <f>[1]МегаЛинк!L67/1000</f>
        <v>0</v>
      </c>
      <c r="AE45" s="301">
        <f>[1]МегаЛинк!M67/1000</f>
        <v>0</v>
      </c>
      <c r="AF45" s="300">
        <f t="shared" si="30"/>
        <v>0</v>
      </c>
      <c r="AG45" s="301">
        <f>[1]Вымпел!K36/1000</f>
        <v>38.173019999999994</v>
      </c>
      <c r="AH45" s="301">
        <f>[1]Вымпел!L36/1000</f>
        <v>45.807623999999997</v>
      </c>
      <c r="AI45" s="301">
        <f>[1]Вымпел!M36/1000</f>
        <v>45.807623999999997</v>
      </c>
      <c r="AJ45" s="300">
        <f t="shared" si="31"/>
        <v>0</v>
      </c>
      <c r="AK45" s="301">
        <f>'[1]ООО РЭС'!K89/1000</f>
        <v>0</v>
      </c>
      <c r="AL45" s="301">
        <f>'[1]ООО РЭС'!L89/1000</f>
        <v>0</v>
      </c>
      <c r="AM45" s="301">
        <f>'[1]ООО РЭС'!M89/1000</f>
        <v>0</v>
      </c>
      <c r="AN45" s="301">
        <f t="shared" si="32"/>
        <v>0</v>
      </c>
      <c r="AO45" s="301">
        <f>'[1]ЗАО ГК Аметист'!K102/1000</f>
        <v>37.184269999999998</v>
      </c>
      <c r="AP45" s="301">
        <f>'[1]ЗАО ГК Аметист'!L102/1000</f>
        <v>74.368539999999996</v>
      </c>
      <c r="AQ45" s="301">
        <f>'[1]ЗАО ГК Аметист'!M102/1000</f>
        <v>74.368539999999996</v>
      </c>
      <c r="AR45" s="300">
        <f t="shared" si="33"/>
        <v>0</v>
      </c>
      <c r="AV45" s="301">
        <f t="shared" si="34"/>
        <v>0</v>
      </c>
      <c r="AW45" s="301">
        <f>'[1]Ульяновский _2 ТСЖ'!K35/1000</f>
        <v>0</v>
      </c>
      <c r="AX45" s="301">
        <f>'[1]Ульяновский _2 ТСЖ'!L35/1000</f>
        <v>0</v>
      </c>
      <c r="AY45" s="301">
        <f>'[1]Ульяновский _2 ТСЖ'!M35/1000</f>
        <v>0</v>
      </c>
      <c r="AZ45" s="301">
        <f t="shared" si="35"/>
        <v>0</v>
      </c>
      <c r="BA45" s="301">
        <f>'[1]ДоМ ТСЖ'!K35/1000</f>
        <v>13.06911</v>
      </c>
      <c r="BB45" s="301">
        <f>'[1]ДоМ ТСЖ'!L35/1000</f>
        <v>26.13822</v>
      </c>
      <c r="BC45" s="301">
        <f>'[1]ДоМ ТСЖ'!M35/1000</f>
        <v>26.13822</v>
      </c>
      <c r="BD45" s="301">
        <f t="shared" si="36"/>
        <v>0</v>
      </c>
      <c r="BE45" s="301">
        <f>'[1]ООО ТехноГрад'!K35/1000</f>
        <v>0</v>
      </c>
      <c r="BF45" s="301">
        <f>'[1]ООО ТехноГрад'!L35/1000</f>
        <v>0</v>
      </c>
      <c r="BG45" s="301">
        <f>'[1]ООО ТехноГрад'!M35/1000</f>
        <v>0</v>
      </c>
      <c r="BH45" s="301">
        <f t="shared" si="37"/>
        <v>0</v>
      </c>
      <c r="BI45" s="301">
        <f>[1]СМУ!K97/1000</f>
        <v>9.4882899999999992</v>
      </c>
      <c r="BJ45" s="301">
        <f>[1]СМУ!L97/1000</f>
        <v>18.936907999999999</v>
      </c>
      <c r="BK45" s="301">
        <f>[1]СМУ!M97/1000</f>
        <v>18.936907999999999</v>
      </c>
      <c r="BL45" s="301">
        <f t="shared" si="38"/>
        <v>0</v>
      </c>
      <c r="BP45" s="301">
        <f t="shared" si="52"/>
        <v>0</v>
      </c>
      <c r="BT45" s="301">
        <f t="shared" si="39"/>
        <v>0</v>
      </c>
      <c r="BU45" s="301">
        <f>'[1]ОАО ДК Лен р-на'!K169/1000</f>
        <v>5.4799999999999995E-2</v>
      </c>
      <c r="BV45" s="301">
        <f>'[1]ОАО ДК Лен р-на'!L169/1000</f>
        <v>0.16439999999999999</v>
      </c>
      <c r="BW45" s="301">
        <f>'[1]ОАО ДК Лен р-на'!M169/1000</f>
        <v>0.16439999999999999</v>
      </c>
      <c r="BX45" s="301">
        <f t="shared" si="40"/>
        <v>0</v>
      </c>
      <c r="BY45" s="301">
        <f>'[1]ОАО ДК ЖД р-на'!K342/1000</f>
        <v>32.306159999999998</v>
      </c>
      <c r="BZ45" s="301">
        <f>'[1]ОАО ДК ЖД р-на'!L342/1000</f>
        <v>159.9049594</v>
      </c>
      <c r="CA45" s="301">
        <f>'[1]ОАО ДК ЖД р-на'!M342/1000</f>
        <v>159.9049594</v>
      </c>
      <c r="CB45" s="301">
        <f t="shared" si="41"/>
        <v>0</v>
      </c>
      <c r="CC45" s="301">
        <f>[1]СУК!K36/1000</f>
        <v>0</v>
      </c>
      <c r="CD45" s="301">
        <f>[1]СУК!L36/1000</f>
        <v>0</v>
      </c>
      <c r="CE45" s="301">
        <f>[1]СУК!M36/1000</f>
        <v>0</v>
      </c>
      <c r="CF45" s="300">
        <f t="shared" si="49"/>
        <v>0</v>
      </c>
      <c r="CG45" s="301">
        <f>'[1]УК ЖСС'!K100/1000</f>
        <v>73.150260000000003</v>
      </c>
      <c r="CH45" s="301">
        <f>'[1]УК ЖСС'!L100/1000</f>
        <v>219.45078000000004</v>
      </c>
      <c r="CI45" s="301">
        <f>'[1]УК ЖСС'!M100/1000</f>
        <v>219.45078000000004</v>
      </c>
      <c r="CJ45" s="301">
        <f t="shared" si="0"/>
        <v>0</v>
      </c>
      <c r="CK45" s="301">
        <f>'[1]ТСЖ Народ контроль R'!K36/1000</f>
        <v>0</v>
      </c>
      <c r="CL45" s="301">
        <f>'[1]ТСЖ Народ контроль R'!L36/1000</f>
        <v>0</v>
      </c>
      <c r="CM45" s="301">
        <f>'[1]ТСЖ Народ контроль R'!M36/1000</f>
        <v>0</v>
      </c>
      <c r="CN45" s="301">
        <f t="shared" si="1"/>
        <v>0</v>
      </c>
      <c r="CO45" s="301">
        <f>'[1]Север-1'!K67/1000</f>
        <v>0</v>
      </c>
      <c r="CP45" s="301">
        <f>'[1]Север-1'!L67/1000</f>
        <v>0</v>
      </c>
      <c r="CQ45" s="301">
        <f>'[1]Север-1'!M67/1000</f>
        <v>0</v>
      </c>
      <c r="CR45" s="301">
        <f t="shared" si="2"/>
        <v>0</v>
      </c>
      <c r="CS45" s="301">
        <f>'[1]МостОтряд №51'!K36/1000</f>
        <v>0</v>
      </c>
      <c r="CT45" s="301">
        <f>'[1]МостОтряд №51'!L36/1000</f>
        <v>0</v>
      </c>
      <c r="CU45" s="301">
        <f>'[1]МостОтряд №51'!M36/1000</f>
        <v>0</v>
      </c>
      <c r="CV45" s="301">
        <f t="shared" si="3"/>
        <v>0</v>
      </c>
      <c r="CZ45" s="301">
        <f t="shared" si="4"/>
        <v>0</v>
      </c>
      <c r="DD45" s="300">
        <f t="shared" si="5"/>
        <v>0</v>
      </c>
      <c r="DE45" s="301">
        <f>'[1]Мегаполис ТСЖ'!K36/1000</f>
        <v>0</v>
      </c>
      <c r="DF45" s="301">
        <f>'[1]Мегаполис ТСЖ'!L36/1000</f>
        <v>0</v>
      </c>
      <c r="DG45" s="301">
        <f>'[1]Мегаполис ТСЖ'!M36/1000</f>
        <v>0</v>
      </c>
      <c r="DH45" s="301">
        <f t="shared" si="6"/>
        <v>0</v>
      </c>
      <c r="DL45" s="301">
        <f t="shared" si="50"/>
        <v>0</v>
      </c>
      <c r="DP45" s="301">
        <f t="shared" si="7"/>
        <v>0</v>
      </c>
      <c r="DT45" s="300">
        <f t="shared" si="8"/>
        <v>0</v>
      </c>
      <c r="DX45" s="301">
        <f t="shared" si="9"/>
        <v>0</v>
      </c>
      <c r="DY45" s="301">
        <f>'[1]ЖСК Электромаш'!K36/1000</f>
        <v>0</v>
      </c>
      <c r="DZ45" s="301">
        <f>'[1]ЖСК Электромаш'!L36/1000</f>
        <v>0</v>
      </c>
      <c r="EA45" s="301">
        <f>'[1]ЖСК Электромаш'!M36/1000</f>
        <v>0</v>
      </c>
      <c r="EB45" s="301">
        <f t="shared" si="10"/>
        <v>0</v>
      </c>
      <c r="EC45" s="301">
        <f>'[1]ЗАО Авиастар-СП'!K36/1000</f>
        <v>0</v>
      </c>
      <c r="ED45" s="301">
        <f>'[1]ЗАО Авиастар-СП'!L36/1000</f>
        <v>0</v>
      </c>
      <c r="EE45" s="301">
        <f>'[1]ЗАО Авиастар-СП'!M36/1000</f>
        <v>0</v>
      </c>
      <c r="EF45" s="301">
        <f t="shared" si="11"/>
        <v>0</v>
      </c>
      <c r="EG45" s="301">
        <f>'[1]ООО ЦЭТ'!K97/1000</f>
        <v>15.460669999999999</v>
      </c>
      <c r="EH45" s="301">
        <f>'[1]ООО ЦЭТ'!L97/1000</f>
        <v>33.810141999999999</v>
      </c>
      <c r="EI45" s="301">
        <f>'[1]ООО ЦЭТ'!M97/1000</f>
        <v>33.810141999999999</v>
      </c>
      <c r="EJ45" s="301">
        <f t="shared" si="12"/>
        <v>0</v>
      </c>
      <c r="EK45" s="301">
        <f>'[1]ТСЖ Форт'!K36/1000</f>
        <v>0.25645999999999997</v>
      </c>
      <c r="EL45" s="301">
        <f>'[1]ТСЖ Форт'!L36/1000</f>
        <v>1.2823</v>
      </c>
      <c r="EM45" s="301">
        <f>'[1]ТСЖ Форт'!M36/1000</f>
        <v>1.2823</v>
      </c>
      <c r="EN45" s="301">
        <f t="shared" si="13"/>
        <v>0</v>
      </c>
      <c r="EO45" s="301">
        <f>'[2]ТСЖ Северный венец'!K84/1000</f>
        <v>0</v>
      </c>
      <c r="EP45" s="301">
        <f>'[2]ТСЖ Северный венец'!L84/1000</f>
        <v>0</v>
      </c>
      <c r="EQ45" s="301">
        <f>'[2]ТСЖ Северный венец'!M84/1000</f>
        <v>0</v>
      </c>
      <c r="ER45" s="300">
        <f t="shared" si="14"/>
        <v>0</v>
      </c>
      <c r="ES45" s="301">
        <f>'[1]УК ЖКХ Симбирск'!K84/1000</f>
        <v>0</v>
      </c>
      <c r="ET45" s="301">
        <f>'[1]УК ЖКХ Симбирск'!L84/1000</f>
        <v>0</v>
      </c>
      <c r="EU45" s="301">
        <f>'[1]УК ЖКХ Симбирск'!M84/1000</f>
        <v>0</v>
      </c>
      <c r="EV45" s="300">
        <f t="shared" si="15"/>
        <v>0</v>
      </c>
      <c r="EZ45" s="301">
        <f t="shared" si="16"/>
        <v>0</v>
      </c>
      <c r="FA45" s="301">
        <f>'[1]ООО Истоки+'!K72/1000</f>
        <v>0</v>
      </c>
      <c r="FB45" s="301">
        <f>'[1]ООО Истоки+'!L72/1000</f>
        <v>0</v>
      </c>
      <c r="FC45" s="301">
        <f>'[1]ООО Истоки+'!M72/1000</f>
        <v>0</v>
      </c>
      <c r="FD45" s="301">
        <f t="shared" si="17"/>
        <v>0</v>
      </c>
      <c r="FH45" s="300">
        <f t="shared" si="18"/>
        <v>0</v>
      </c>
      <c r="FI45" s="301">
        <f>'[1]ТСЖ Малахит'!K54/1000</f>
        <v>6.03599</v>
      </c>
      <c r="FJ45" s="301">
        <f>'[1]ТСЖ Малахит'!L54/1000</f>
        <v>12.07198</v>
      </c>
      <c r="FK45" s="301">
        <f>'[1]ТСЖ Малахит'!M54/1000</f>
        <v>12.07198</v>
      </c>
      <c r="FL45" s="301">
        <f t="shared" si="19"/>
        <v>0</v>
      </c>
      <c r="FP45" s="301">
        <f t="shared" si="20"/>
        <v>0</v>
      </c>
      <c r="FQ45" s="301">
        <f>'[1]ООО ЖКХ Лен-го района'!K67/100</f>
        <v>0</v>
      </c>
      <c r="FR45" s="301">
        <f>'[1]ООО ЖКХ Лен-го района'!L67/100</f>
        <v>0</v>
      </c>
      <c r="FS45" s="301">
        <f>'[1]ООО ЖКХ Лен-го района'!M67/100</f>
        <v>0</v>
      </c>
      <c r="FT45" s="301">
        <f t="shared" si="21"/>
        <v>0</v>
      </c>
      <c r="FX45" s="301">
        <f t="shared" si="22"/>
        <v>0</v>
      </c>
      <c r="FY45" s="301">
        <f>'[1]ООО КПД-2 Жилсервис'!K35/1000</f>
        <v>0</v>
      </c>
      <c r="FZ45" s="301">
        <f>'[1]ООО КПД-2 Жилсервис'!L35/1000</f>
        <v>0</v>
      </c>
      <c r="GA45" s="301">
        <f>'[1]ООО КПД-2 Жилсервис'!M35/1000</f>
        <v>0</v>
      </c>
      <c r="GB45" s="301">
        <f t="shared" si="23"/>
        <v>0</v>
      </c>
      <c r="GF45" s="301">
        <f t="shared" si="24"/>
        <v>0</v>
      </c>
      <c r="GJ45" s="301">
        <f t="shared" si="42"/>
        <v>0</v>
      </c>
      <c r="GN45" s="301">
        <f t="shared" si="43"/>
        <v>0</v>
      </c>
      <c r="GR45" s="301">
        <f t="shared" si="44"/>
        <v>0</v>
      </c>
      <c r="GV45" s="301">
        <f t="shared" si="45"/>
        <v>0</v>
      </c>
      <c r="GW45" s="301">
        <f>'[1]ТСЖ Володарец'!K33/1000</f>
        <v>3.1609099999999999</v>
      </c>
      <c r="GX45" s="301">
        <f>'[1]ТСЖ Володарец'!L33/1000</f>
        <v>15.804549999999999</v>
      </c>
      <c r="GY45" s="301">
        <f>'[1]ТСЖ Володарец'!M33/1000</f>
        <v>15.804549999999999</v>
      </c>
      <c r="GZ45" s="301">
        <f t="shared" si="46"/>
        <v>0</v>
      </c>
      <c r="HA45" s="328"/>
      <c r="HB45" s="305"/>
      <c r="HC45" s="305"/>
      <c r="HD45" s="305"/>
      <c r="HE45" s="305"/>
      <c r="HF45" s="305"/>
      <c r="HG45" s="305"/>
      <c r="HH45" s="305"/>
      <c r="HI45" s="305"/>
      <c r="HJ45" s="305"/>
      <c r="HK45" s="305"/>
      <c r="HL45" s="305"/>
      <c r="HM45" s="305"/>
      <c r="HN45" s="305"/>
      <c r="HO45" s="305"/>
      <c r="HP45" s="305"/>
      <c r="HQ45" s="305"/>
      <c r="HR45" s="305"/>
      <c r="HS45" s="306"/>
      <c r="HT45" s="306"/>
      <c r="HU45" s="306"/>
      <c r="HV45" s="306"/>
      <c r="HW45" s="305"/>
      <c r="HX45" s="305"/>
      <c r="HY45" s="305"/>
      <c r="HZ45" s="305"/>
      <c r="IA45" s="305"/>
      <c r="IB45" s="305"/>
      <c r="IC45" s="305"/>
      <c r="ID45" s="305"/>
      <c r="IE45" s="305"/>
      <c r="IF45" s="305"/>
      <c r="IG45" s="305"/>
      <c r="IH45" s="305"/>
      <c r="II45" s="305"/>
      <c r="IJ45" s="305"/>
      <c r="IK45" s="305"/>
      <c r="IL45" s="305"/>
      <c r="IM45" s="305"/>
      <c r="IN45" s="305"/>
      <c r="IO45" s="305"/>
      <c r="IP45" s="305"/>
      <c r="IQ45" s="305"/>
      <c r="IR45" s="305"/>
      <c r="IS45" s="305"/>
      <c r="IT45" s="305"/>
      <c r="IU45" s="305"/>
      <c r="IV45" s="305"/>
    </row>
    <row r="46" spans="1:256" s="320" customFormat="1" ht="13.5" hidden="1" customHeight="1">
      <c r="A46" s="368" t="s">
        <v>218</v>
      </c>
      <c r="B46" s="910" t="s">
        <v>219</v>
      </c>
      <c r="C46" s="910"/>
      <c r="D46" s="369" t="s">
        <v>220</v>
      </c>
      <c r="E46" s="299">
        <f t="shared" si="54"/>
        <v>365</v>
      </c>
      <c r="F46" s="299">
        <f t="shared" si="54"/>
        <v>109.5</v>
      </c>
      <c r="G46" s="299">
        <f t="shared" si="54"/>
        <v>109.5</v>
      </c>
      <c r="H46" s="299">
        <f t="shared" si="54"/>
        <v>0</v>
      </c>
      <c r="L46" s="300">
        <f t="shared" si="25"/>
        <v>0</v>
      </c>
      <c r="P46" s="301">
        <f t="shared" si="26"/>
        <v>0</v>
      </c>
      <c r="T46" s="301">
        <f t="shared" si="27"/>
        <v>0</v>
      </c>
      <c r="X46" s="301">
        <f t="shared" si="28"/>
        <v>0</v>
      </c>
      <c r="AB46" s="301">
        <f t="shared" si="29"/>
        <v>0</v>
      </c>
      <c r="AF46" s="300">
        <f t="shared" si="30"/>
        <v>0</v>
      </c>
      <c r="AJ46" s="300">
        <f t="shared" si="31"/>
        <v>0</v>
      </c>
      <c r="AN46" s="301">
        <f t="shared" si="32"/>
        <v>0</v>
      </c>
      <c r="AO46" s="301"/>
      <c r="AP46" s="301"/>
      <c r="AQ46" s="301"/>
      <c r="AR46" s="300">
        <f t="shared" si="33"/>
        <v>0</v>
      </c>
      <c r="AV46" s="301">
        <f t="shared" si="34"/>
        <v>0</v>
      </c>
      <c r="AZ46" s="301">
        <f t="shared" si="35"/>
        <v>0</v>
      </c>
      <c r="BD46" s="301">
        <f t="shared" si="36"/>
        <v>0</v>
      </c>
      <c r="BH46" s="301">
        <f t="shared" si="37"/>
        <v>0</v>
      </c>
      <c r="BL46" s="301">
        <f t="shared" si="38"/>
        <v>0</v>
      </c>
      <c r="BP46" s="301">
        <f t="shared" si="52"/>
        <v>0</v>
      </c>
      <c r="BT46" s="301">
        <f t="shared" si="39"/>
        <v>0</v>
      </c>
      <c r="BX46" s="301">
        <f t="shared" si="40"/>
        <v>0</v>
      </c>
      <c r="CB46" s="301">
        <f t="shared" si="41"/>
        <v>0</v>
      </c>
      <c r="CF46" s="300">
        <f t="shared" si="49"/>
        <v>0</v>
      </c>
      <c r="CJ46" s="301">
        <f t="shared" si="0"/>
        <v>0</v>
      </c>
      <c r="CN46" s="301">
        <f t="shared" si="1"/>
        <v>0</v>
      </c>
      <c r="CR46" s="301">
        <f t="shared" si="2"/>
        <v>0</v>
      </c>
      <c r="CV46" s="301">
        <f t="shared" si="3"/>
        <v>0</v>
      </c>
      <c r="CZ46" s="301">
        <f t="shared" si="4"/>
        <v>0</v>
      </c>
      <c r="DC46" s="309"/>
      <c r="DD46" s="300">
        <f t="shared" si="5"/>
        <v>0</v>
      </c>
      <c r="DH46" s="301">
        <f t="shared" si="6"/>
        <v>0</v>
      </c>
      <c r="DL46" s="301">
        <f t="shared" si="50"/>
        <v>0</v>
      </c>
      <c r="DP46" s="301">
        <f t="shared" si="7"/>
        <v>0</v>
      </c>
      <c r="DT46" s="300">
        <f t="shared" si="8"/>
        <v>0</v>
      </c>
      <c r="DX46" s="301">
        <f t="shared" si="9"/>
        <v>0</v>
      </c>
      <c r="EB46" s="301">
        <f t="shared" si="10"/>
        <v>0</v>
      </c>
      <c r="EF46" s="301">
        <f t="shared" si="11"/>
        <v>0</v>
      </c>
      <c r="EJ46" s="301">
        <f t="shared" si="12"/>
        <v>0</v>
      </c>
      <c r="EN46" s="301">
        <f t="shared" si="13"/>
        <v>0</v>
      </c>
      <c r="ER46" s="300">
        <f t="shared" si="14"/>
        <v>0</v>
      </c>
      <c r="EV46" s="300">
        <f t="shared" si="15"/>
        <v>0</v>
      </c>
      <c r="EZ46" s="301">
        <f t="shared" si="16"/>
        <v>0</v>
      </c>
      <c r="FA46" s="301">
        <f>'[1]ООО Истоки+'!K58</f>
        <v>365</v>
      </c>
      <c r="FB46" s="301">
        <f>'[1]ООО Истоки+'!L58/1000</f>
        <v>109.5</v>
      </c>
      <c r="FC46" s="301">
        <f>'[1]ООО Истоки+'!M58/1000</f>
        <v>109.5</v>
      </c>
      <c r="FD46" s="301">
        <f t="shared" si="17"/>
        <v>0</v>
      </c>
      <c r="FH46" s="300">
        <f t="shared" si="18"/>
        <v>0</v>
      </c>
      <c r="FL46" s="301">
        <f t="shared" si="19"/>
        <v>0</v>
      </c>
      <c r="FP46" s="301">
        <f t="shared" si="20"/>
        <v>0</v>
      </c>
      <c r="FT46" s="301">
        <f t="shared" si="21"/>
        <v>0</v>
      </c>
      <c r="FX46" s="301">
        <f t="shared" si="22"/>
        <v>0</v>
      </c>
      <c r="GB46" s="301">
        <f t="shared" si="23"/>
        <v>0</v>
      </c>
      <c r="GF46" s="301">
        <f t="shared" si="24"/>
        <v>0</v>
      </c>
      <c r="GJ46" s="301">
        <f t="shared" si="42"/>
        <v>0</v>
      </c>
      <c r="GN46" s="301">
        <f t="shared" si="43"/>
        <v>0</v>
      </c>
      <c r="GR46" s="301">
        <f t="shared" si="44"/>
        <v>0</v>
      </c>
      <c r="GV46" s="301">
        <f t="shared" si="45"/>
        <v>0</v>
      </c>
      <c r="GZ46" s="301">
        <f t="shared" si="46"/>
        <v>0</v>
      </c>
      <c r="HA46" s="328"/>
      <c r="HB46" s="324"/>
      <c r="HC46" s="324"/>
      <c r="HD46" s="324"/>
      <c r="HE46" s="324"/>
      <c r="HF46" s="324"/>
      <c r="HG46" s="324"/>
      <c r="HH46" s="324"/>
      <c r="HI46" s="324"/>
      <c r="HJ46" s="324"/>
      <c r="HK46" s="324"/>
      <c r="HL46" s="324"/>
      <c r="HM46" s="324"/>
      <c r="HN46" s="324"/>
      <c r="HO46" s="324"/>
      <c r="HP46" s="324"/>
      <c r="HQ46" s="324"/>
      <c r="HR46" s="324"/>
      <c r="HS46" s="306"/>
      <c r="HT46" s="306"/>
      <c r="HU46" s="306"/>
      <c r="HV46" s="306"/>
      <c r="HW46" s="324"/>
      <c r="HX46" s="324"/>
      <c r="HY46" s="324"/>
      <c r="HZ46" s="324"/>
      <c r="IA46" s="324"/>
      <c r="IB46" s="324"/>
      <c r="IC46" s="324"/>
      <c r="ID46" s="324"/>
      <c r="IE46" s="324"/>
      <c r="IF46" s="324"/>
      <c r="IG46" s="324"/>
      <c r="IH46" s="324"/>
      <c r="II46" s="324"/>
      <c r="IJ46" s="324"/>
      <c r="IK46" s="324"/>
      <c r="IL46" s="324"/>
      <c r="IM46" s="324"/>
      <c r="IN46" s="324"/>
      <c r="IO46" s="324"/>
      <c r="IP46" s="324"/>
      <c r="IQ46" s="324"/>
      <c r="IR46" s="324"/>
      <c r="IS46" s="324"/>
      <c r="IT46" s="324"/>
      <c r="IU46" s="324"/>
      <c r="IV46" s="324"/>
    </row>
    <row r="47" spans="1:256" s="320" customFormat="1" ht="13.5" hidden="1" customHeight="1">
      <c r="A47" s="368">
        <v>4</v>
      </c>
      <c r="B47" s="911" t="s">
        <v>221</v>
      </c>
      <c r="C47" s="911"/>
      <c r="D47" s="367" t="s">
        <v>162</v>
      </c>
      <c r="E47" s="299">
        <f>I47+M47+Q47+U47+Y47+AC47+AG47+AK47+AO47+AS47+AW47+BA47+BE47+BI47+BM47+BQ47+BU47+BY47+CC47+CG47+CK47+CO47+CS47+CW47+DA47+DE47+DI47+DM47+DQ47+DU47+DY47+EC47+EG47+EK47+EO47+ES47+EW47+FA47+FE47+FI47+FM47+FQ47+FU47+FY47+GC47+GK47+GG47+GO47+GS47+GW47</f>
        <v>36.413989999999998</v>
      </c>
      <c r="F47" s="299">
        <f>J47+N47+R47+V47+Z47+AD47+AH47+AL47+AP47+AT47+AX47+BB47+BF47+BJ47+BN47+BR47+BV47+BZ47+CD47+CH47+CL47+CP47+CT47+CX47+DB47+DF47+DJ47+DN47+DR47+DV47+DZ47+ED47+EH47+EL47+EP47+ET47+EX47+FB47+FF47+FJ47+FN47+FR47+FV47+FZ47+GD47+GL47+GH47+GP47+GT47+GX47</f>
        <v>136.47519</v>
      </c>
      <c r="G47" s="299">
        <f>K47+O47+S47+W47+AA47+AE47+AI47+AM47+AQ47+AU47+AY47+BC47+BG47+BK47+BO47+BS47+BW47+CA47+CE47+CI47+CM47+CQ47+CU47+CY47+DC47+DG47+DK47+DO47+DS47+DW47+EA47+EE47+EI47+EM47+EQ47+EU47+EY47+FC47+FG47+FK47+FO47+FS47+FW47+GA47+GE47+GM47+GI47+GQ47+GU47+GY47</f>
        <v>136.47519</v>
      </c>
      <c r="H47" s="299">
        <f>L47+P47+T47+X47+AB47+AF47+AJ47+AN47+AR47+AV47+AZ47+BD47+BH47+BL47+BP47+BT47+BX47+CB47+CF47+CJ47+CN47+CR47+CV47+CZ47+DD47+DH47+DL47+DP47+DT47+DX47+EB47+EF47+EJ47+EN47+ER47+EV47+EZ47+FD47+FH47+FL47+FP47+FT47+FX47+GB47+GF47+GN47+GJ47+GR47+GV47+GZ47</f>
        <v>0</v>
      </c>
      <c r="L47" s="300">
        <f t="shared" si="25"/>
        <v>0</v>
      </c>
      <c r="P47" s="301"/>
      <c r="T47" s="301"/>
      <c r="X47" s="301">
        <f t="shared" si="28"/>
        <v>0</v>
      </c>
      <c r="AB47" s="301">
        <f t="shared" si="29"/>
        <v>0</v>
      </c>
      <c r="AF47" s="300"/>
      <c r="AJ47" s="300"/>
      <c r="AN47" s="301"/>
      <c r="AO47" s="301"/>
      <c r="AP47" s="301"/>
      <c r="AQ47" s="301"/>
      <c r="AR47" s="300"/>
      <c r="AV47" s="301"/>
      <c r="AZ47" s="301"/>
      <c r="BD47" s="301"/>
      <c r="BH47" s="301"/>
      <c r="BL47" s="301"/>
      <c r="BP47" s="301"/>
      <c r="BT47" s="301"/>
      <c r="BU47" s="301">
        <f>'[1]ОАО ДК Лен р-на'!K472/1000</f>
        <v>36.413989999999998</v>
      </c>
      <c r="BV47" s="301">
        <f>'[1]ОАО ДК Лен р-на'!L472/1000</f>
        <v>136.47519</v>
      </c>
      <c r="BW47" s="301">
        <f>'[1]ОАО ДК Лен р-на'!M472/1000</f>
        <v>136.47519</v>
      </c>
      <c r="BX47" s="301">
        <f t="shared" si="40"/>
        <v>0</v>
      </c>
      <c r="CB47" s="301">
        <f t="shared" si="41"/>
        <v>0</v>
      </c>
      <c r="CF47" s="300"/>
      <c r="CJ47" s="301"/>
      <c r="CN47" s="301"/>
      <c r="CR47" s="301"/>
      <c r="CV47" s="301"/>
      <c r="CZ47" s="301"/>
      <c r="DC47" s="309"/>
      <c r="DD47" s="300"/>
      <c r="DH47" s="301"/>
      <c r="DL47" s="301"/>
      <c r="DP47" s="301"/>
      <c r="DT47" s="300"/>
      <c r="DX47" s="301"/>
      <c r="EB47" s="301"/>
      <c r="EF47" s="301"/>
      <c r="EJ47" s="301"/>
      <c r="EN47" s="301"/>
      <c r="ER47" s="300"/>
      <c r="EV47" s="300"/>
      <c r="EZ47" s="301"/>
      <c r="FA47" s="301"/>
      <c r="FB47" s="301"/>
      <c r="FC47" s="301"/>
      <c r="FD47" s="301"/>
      <c r="FH47" s="300"/>
      <c r="FL47" s="301"/>
      <c r="FP47" s="301">
        <f t="shared" si="20"/>
        <v>0</v>
      </c>
      <c r="FT47" s="301"/>
      <c r="FX47" s="301"/>
      <c r="GB47" s="301"/>
      <c r="GF47" s="301"/>
      <c r="GJ47" s="301"/>
      <c r="GN47" s="301"/>
      <c r="GR47" s="301"/>
      <c r="GV47" s="301"/>
      <c r="GZ47" s="301"/>
      <c r="HA47" s="328"/>
      <c r="HB47" s="324"/>
      <c r="HC47" s="324"/>
      <c r="HD47" s="324"/>
      <c r="HE47" s="324"/>
      <c r="HF47" s="324"/>
      <c r="HG47" s="324"/>
      <c r="HH47" s="324"/>
      <c r="HI47" s="324"/>
      <c r="HJ47" s="324"/>
      <c r="HK47" s="324"/>
      <c r="HL47" s="324"/>
      <c r="HM47" s="324"/>
      <c r="HN47" s="324"/>
      <c r="HO47" s="324"/>
      <c r="HP47" s="324"/>
      <c r="HQ47" s="324"/>
      <c r="HR47" s="324"/>
      <c r="HS47" s="306"/>
      <c r="HT47" s="306"/>
      <c r="HU47" s="306"/>
      <c r="HV47" s="306"/>
      <c r="HW47" s="324"/>
      <c r="HX47" s="324"/>
      <c r="HY47" s="324"/>
      <c r="HZ47" s="324"/>
      <c r="IA47" s="324"/>
      <c r="IB47" s="324"/>
      <c r="IC47" s="324"/>
      <c r="ID47" s="324"/>
      <c r="IE47" s="324"/>
      <c r="IF47" s="324"/>
      <c r="IG47" s="324"/>
      <c r="IH47" s="324"/>
      <c r="II47" s="324"/>
      <c r="IJ47" s="324"/>
      <c r="IK47" s="324"/>
      <c r="IL47" s="324"/>
      <c r="IM47" s="324"/>
      <c r="IN47" s="324"/>
      <c r="IO47" s="324"/>
      <c r="IP47" s="324"/>
      <c r="IQ47" s="324"/>
      <c r="IR47" s="324"/>
      <c r="IS47" s="324"/>
      <c r="IT47" s="324"/>
      <c r="IU47" s="324"/>
      <c r="IV47" s="324"/>
    </row>
    <row r="48" spans="1:256" s="320" customFormat="1" ht="13.5" hidden="1" customHeight="1">
      <c r="A48" s="368">
        <v>5</v>
      </c>
      <c r="B48" s="370" t="s">
        <v>222</v>
      </c>
      <c r="C48" s="371"/>
      <c r="D48" s="369" t="s">
        <v>220</v>
      </c>
      <c r="E48" s="299">
        <f t="shared" ref="E48:H54" si="55">I48+M48+Q48+U48+Y48+AC48+AG48+AK48+AO48+AS48+AW48+BA48+BE48+BI48+BM48+BQ48+BU48+BY48+CC48+CG48+CK48+CO48+CS48+CW48+DA48+DE48+DI48+DM48+DQ48+DU48+DY48+EC48+EG48+EK48+EO48+ES48+EW48+FA48+FE48+FI48+FM48+FQ48+FU48+FY48+GC48+GK48+GG48+GO48+GS48+GW48</f>
        <v>30</v>
      </c>
      <c r="F48" s="299">
        <f t="shared" si="55"/>
        <v>3</v>
      </c>
      <c r="G48" s="299">
        <f t="shared" si="55"/>
        <v>3</v>
      </c>
      <c r="H48" s="299">
        <f t="shared" si="55"/>
        <v>0</v>
      </c>
      <c r="L48" s="300">
        <f t="shared" si="25"/>
        <v>0</v>
      </c>
      <c r="P48" s="301">
        <f t="shared" si="26"/>
        <v>0</v>
      </c>
      <c r="T48" s="301">
        <f t="shared" si="27"/>
        <v>0</v>
      </c>
      <c r="X48" s="301">
        <f t="shared" si="28"/>
        <v>0</v>
      </c>
      <c r="AB48" s="301">
        <f t="shared" si="29"/>
        <v>0</v>
      </c>
      <c r="AF48" s="300">
        <f t="shared" si="30"/>
        <v>0</v>
      </c>
      <c r="AJ48" s="300">
        <f t="shared" si="31"/>
        <v>0</v>
      </c>
      <c r="AN48" s="301">
        <f t="shared" si="32"/>
        <v>0</v>
      </c>
      <c r="AR48" s="300">
        <f t="shared" si="33"/>
        <v>0</v>
      </c>
      <c r="AV48" s="301">
        <f t="shared" si="34"/>
        <v>0</v>
      </c>
      <c r="AZ48" s="301">
        <f t="shared" si="35"/>
        <v>0</v>
      </c>
      <c r="BD48" s="301">
        <f t="shared" si="36"/>
        <v>0</v>
      </c>
      <c r="BH48" s="301">
        <f t="shared" si="37"/>
        <v>0</v>
      </c>
      <c r="BL48" s="301">
        <f t="shared" si="38"/>
        <v>0</v>
      </c>
      <c r="BP48" s="301">
        <f t="shared" si="52"/>
        <v>0</v>
      </c>
      <c r="BT48" s="301">
        <f t="shared" si="39"/>
        <v>0</v>
      </c>
      <c r="BX48" s="301">
        <f t="shared" si="40"/>
        <v>0</v>
      </c>
      <c r="BY48" s="301"/>
      <c r="BZ48" s="301"/>
      <c r="CA48" s="301"/>
      <c r="CB48" s="301">
        <f t="shared" si="41"/>
        <v>0</v>
      </c>
      <c r="CF48" s="300">
        <f t="shared" si="49"/>
        <v>0</v>
      </c>
      <c r="CJ48" s="301">
        <f t="shared" si="0"/>
        <v>0</v>
      </c>
      <c r="CN48" s="301">
        <f t="shared" si="1"/>
        <v>0</v>
      </c>
      <c r="CO48" s="301">
        <f>'[1]Север-1'!K48</f>
        <v>30</v>
      </c>
      <c r="CP48" s="301">
        <f>'[1]Север-1'!L48/1000</f>
        <v>3</v>
      </c>
      <c r="CQ48" s="301">
        <f>'[1]Север-1'!M48/1000</f>
        <v>3</v>
      </c>
      <c r="CR48" s="301">
        <f t="shared" si="2"/>
        <v>0</v>
      </c>
      <c r="CV48" s="301">
        <f t="shared" si="3"/>
        <v>0</v>
      </c>
      <c r="CZ48" s="301">
        <f t="shared" si="4"/>
        <v>0</v>
      </c>
      <c r="DC48" s="309"/>
      <c r="DD48" s="300">
        <f t="shared" si="5"/>
        <v>0</v>
      </c>
      <c r="DH48" s="301">
        <f t="shared" si="6"/>
        <v>0</v>
      </c>
      <c r="DL48" s="301">
        <f t="shared" si="50"/>
        <v>0</v>
      </c>
      <c r="DP48" s="301">
        <f t="shared" si="7"/>
        <v>0</v>
      </c>
      <c r="DT48" s="300">
        <f t="shared" si="8"/>
        <v>0</v>
      </c>
      <c r="DX48" s="301">
        <f t="shared" si="9"/>
        <v>0</v>
      </c>
      <c r="EB48" s="301">
        <f t="shared" si="10"/>
        <v>0</v>
      </c>
      <c r="EF48" s="301">
        <f t="shared" si="11"/>
        <v>0</v>
      </c>
      <c r="EJ48" s="301">
        <f t="shared" si="12"/>
        <v>0</v>
      </c>
      <c r="EN48" s="301">
        <f t="shared" si="13"/>
        <v>0</v>
      </c>
      <c r="EO48" s="301">
        <f>'[1]ООО ЖЭК'!K99</f>
        <v>0</v>
      </c>
      <c r="EP48" s="301">
        <f>'[1]ООО ЖЭК'!L99/1000</f>
        <v>0</v>
      </c>
      <c r="EQ48" s="301">
        <f>'[1]ООО ЖЭК'!M99/1000</f>
        <v>0</v>
      </c>
      <c r="ER48" s="300">
        <f t="shared" si="14"/>
        <v>0</v>
      </c>
      <c r="EV48" s="300">
        <f t="shared" si="15"/>
        <v>0</v>
      </c>
      <c r="EZ48" s="301">
        <f t="shared" si="16"/>
        <v>0</v>
      </c>
      <c r="FA48" s="301">
        <f>'[1]ООО Истоки+'!K65</f>
        <v>0</v>
      </c>
      <c r="FB48" s="301">
        <f>'[1]ООО Истоки+'!L65/1000</f>
        <v>0</v>
      </c>
      <c r="FC48" s="301">
        <f>'[1]ООО Истоки+'!M65/1000</f>
        <v>0</v>
      </c>
      <c r="FD48" s="301">
        <f t="shared" si="17"/>
        <v>0</v>
      </c>
      <c r="FH48" s="300">
        <f t="shared" si="18"/>
        <v>0</v>
      </c>
      <c r="FL48" s="301">
        <f t="shared" si="19"/>
        <v>0</v>
      </c>
      <c r="FP48" s="301">
        <f t="shared" si="20"/>
        <v>0</v>
      </c>
      <c r="FT48" s="301">
        <f t="shared" si="21"/>
        <v>0</v>
      </c>
      <c r="FX48" s="301">
        <f t="shared" si="22"/>
        <v>0</v>
      </c>
      <c r="GB48" s="301">
        <f t="shared" si="23"/>
        <v>0</v>
      </c>
      <c r="GF48" s="301">
        <f t="shared" si="24"/>
        <v>0</v>
      </c>
      <c r="GJ48" s="301">
        <f t="shared" si="42"/>
        <v>0</v>
      </c>
      <c r="GN48" s="301">
        <f t="shared" si="43"/>
        <v>0</v>
      </c>
      <c r="GR48" s="301">
        <f t="shared" si="44"/>
        <v>0</v>
      </c>
      <c r="GV48" s="301">
        <f t="shared" si="45"/>
        <v>0</v>
      </c>
      <c r="GZ48" s="301">
        <f t="shared" si="46"/>
        <v>0</v>
      </c>
      <c r="HA48" s="328"/>
      <c r="HB48" s="324"/>
      <c r="HC48" s="324"/>
      <c r="HD48" s="324"/>
      <c r="HE48" s="324"/>
      <c r="HF48" s="324"/>
      <c r="HG48" s="324"/>
      <c r="HH48" s="324"/>
      <c r="HI48" s="324"/>
      <c r="HJ48" s="324"/>
      <c r="HK48" s="324"/>
      <c r="HL48" s="324"/>
      <c r="HM48" s="324"/>
      <c r="HN48" s="324"/>
      <c r="HO48" s="324"/>
      <c r="HP48" s="324"/>
      <c r="HQ48" s="324"/>
      <c r="HR48" s="324"/>
      <c r="HS48" s="306"/>
      <c r="HT48" s="306"/>
      <c r="HU48" s="306"/>
      <c r="HV48" s="306"/>
      <c r="HW48" s="324"/>
      <c r="HX48" s="324"/>
      <c r="HY48" s="324"/>
      <c r="HZ48" s="324"/>
      <c r="IA48" s="324"/>
      <c r="IB48" s="324"/>
      <c r="IC48" s="324"/>
      <c r="ID48" s="324"/>
      <c r="IE48" s="324"/>
      <c r="IF48" s="324"/>
      <c r="IG48" s="324"/>
      <c r="IH48" s="324"/>
      <c r="II48" s="324"/>
      <c r="IJ48" s="324"/>
      <c r="IK48" s="324"/>
      <c r="IL48" s="324"/>
      <c r="IM48" s="324"/>
      <c r="IN48" s="324"/>
      <c r="IO48" s="324"/>
      <c r="IP48" s="324"/>
      <c r="IQ48" s="324"/>
      <c r="IR48" s="324"/>
      <c r="IS48" s="324"/>
      <c r="IT48" s="324"/>
      <c r="IU48" s="324"/>
      <c r="IV48" s="324"/>
    </row>
    <row r="49" spans="1:256" s="320" customFormat="1" ht="13.5" hidden="1" customHeight="1">
      <c r="A49" s="368">
        <v>6</v>
      </c>
      <c r="B49" s="910" t="s">
        <v>222</v>
      </c>
      <c r="C49" s="910"/>
      <c r="D49" s="369" t="s">
        <v>162</v>
      </c>
      <c r="E49" s="299">
        <f t="shared" si="55"/>
        <v>7.4769500000000004</v>
      </c>
      <c r="F49" s="299">
        <f t="shared" si="55"/>
        <v>9.4503010000000014</v>
      </c>
      <c r="G49" s="299">
        <f t="shared" si="55"/>
        <v>9.4503010000000014</v>
      </c>
      <c r="H49" s="299">
        <f t="shared" si="55"/>
        <v>0</v>
      </c>
      <c r="I49" s="301"/>
      <c r="J49" s="301"/>
      <c r="K49" s="301"/>
      <c r="L49" s="300">
        <f t="shared" si="25"/>
        <v>0</v>
      </c>
      <c r="P49" s="301">
        <f t="shared" si="26"/>
        <v>0</v>
      </c>
      <c r="T49" s="301">
        <f t="shared" si="27"/>
        <v>0</v>
      </c>
      <c r="X49" s="301">
        <f t="shared" si="28"/>
        <v>0</v>
      </c>
      <c r="AB49" s="301">
        <f t="shared" si="29"/>
        <v>0</v>
      </c>
      <c r="AF49" s="300">
        <f t="shared" si="30"/>
        <v>0</v>
      </c>
      <c r="AJ49" s="300">
        <f t="shared" si="31"/>
        <v>0</v>
      </c>
      <c r="AK49" s="301"/>
      <c r="AL49" s="301"/>
      <c r="AM49" s="301"/>
      <c r="AN49" s="301">
        <f t="shared" si="32"/>
        <v>0</v>
      </c>
      <c r="AO49" s="301">
        <f>'[1]ЗАО ГК Аметист'!K105/1000</f>
        <v>0</v>
      </c>
      <c r="AP49" s="301">
        <f>'[1]ЗАО ГК Аметист'!L105/1000</f>
        <v>0</v>
      </c>
      <c r="AQ49" s="301">
        <f>'[1]ЗАО ГК Аметист'!M105/1000</f>
        <v>0</v>
      </c>
      <c r="AR49" s="300">
        <f t="shared" si="33"/>
        <v>0</v>
      </c>
      <c r="AV49" s="301">
        <f t="shared" si="34"/>
        <v>0</v>
      </c>
      <c r="AZ49" s="301">
        <f t="shared" si="35"/>
        <v>0</v>
      </c>
      <c r="BD49" s="301">
        <f t="shared" si="36"/>
        <v>0</v>
      </c>
      <c r="BH49" s="301">
        <f t="shared" si="37"/>
        <v>0</v>
      </c>
      <c r="BL49" s="301">
        <f t="shared" si="38"/>
        <v>0</v>
      </c>
      <c r="BP49" s="301">
        <f t="shared" si="52"/>
        <v>0</v>
      </c>
      <c r="BQ49" s="301">
        <f>'[1]ОАО ДК Засвияжье 2'!K156/1000</f>
        <v>4.4128100000000003</v>
      </c>
      <c r="BR49" s="301">
        <f>'[1]ОАО ДК Засвияжье 2'!L156/1000</f>
        <v>4.8540910000000013</v>
      </c>
      <c r="BS49" s="301">
        <f>'[1]ОАО ДК Засвияжье 2'!M156/1000</f>
        <v>4.8540910000000013</v>
      </c>
      <c r="BT49" s="301">
        <f t="shared" si="39"/>
        <v>0</v>
      </c>
      <c r="BU49" s="301">
        <f>'[1]ОАО ДК Лен р-на'!K642/1000</f>
        <v>3.0641400000000001</v>
      </c>
      <c r="BV49" s="301">
        <f>'[1]ОАО ДК Лен р-на'!L642/1000</f>
        <v>4.5962100000000001</v>
      </c>
      <c r="BW49" s="301">
        <f>'[1]ОАО ДК Лен р-на'!M642/1000</f>
        <v>4.5962100000000001</v>
      </c>
      <c r="BX49" s="301">
        <f t="shared" si="40"/>
        <v>0</v>
      </c>
      <c r="CB49" s="301">
        <f t="shared" si="41"/>
        <v>0</v>
      </c>
      <c r="CF49" s="300">
        <f t="shared" si="49"/>
        <v>0</v>
      </c>
      <c r="CJ49" s="301">
        <f t="shared" si="0"/>
        <v>0</v>
      </c>
      <c r="CN49" s="301">
        <f t="shared" si="1"/>
        <v>0</v>
      </c>
      <c r="CR49" s="301">
        <f t="shared" si="2"/>
        <v>0</v>
      </c>
      <c r="CV49" s="301">
        <f t="shared" si="3"/>
        <v>0</v>
      </c>
      <c r="CZ49" s="301">
        <f t="shared" si="4"/>
        <v>0</v>
      </c>
      <c r="DC49" s="309"/>
      <c r="DD49" s="300">
        <f t="shared" si="5"/>
        <v>0</v>
      </c>
      <c r="DH49" s="301">
        <f t="shared" si="6"/>
        <v>0</v>
      </c>
      <c r="DL49" s="301">
        <f t="shared" si="50"/>
        <v>0</v>
      </c>
      <c r="DP49" s="301">
        <f t="shared" si="7"/>
        <v>0</v>
      </c>
      <c r="DT49" s="300">
        <f t="shared" si="8"/>
        <v>0</v>
      </c>
      <c r="DX49" s="301">
        <f t="shared" si="9"/>
        <v>0</v>
      </c>
      <c r="EB49" s="301">
        <f t="shared" si="10"/>
        <v>0</v>
      </c>
      <c r="EF49" s="301">
        <f t="shared" si="11"/>
        <v>0</v>
      </c>
      <c r="EJ49" s="301">
        <f t="shared" si="12"/>
        <v>0</v>
      </c>
      <c r="EN49" s="301">
        <f t="shared" si="13"/>
        <v>0</v>
      </c>
      <c r="ER49" s="300">
        <f t="shared" si="14"/>
        <v>0</v>
      </c>
      <c r="EV49" s="300">
        <f t="shared" si="15"/>
        <v>0</v>
      </c>
      <c r="EZ49" s="301">
        <f t="shared" si="16"/>
        <v>0</v>
      </c>
      <c r="FA49" s="301"/>
      <c r="FB49" s="301"/>
      <c r="FC49" s="301"/>
      <c r="FD49" s="301">
        <f t="shared" si="17"/>
        <v>0</v>
      </c>
      <c r="FH49" s="300">
        <f t="shared" si="18"/>
        <v>0</v>
      </c>
      <c r="FL49" s="301">
        <f t="shared" si="19"/>
        <v>0</v>
      </c>
      <c r="FP49" s="301">
        <f t="shared" si="20"/>
        <v>0</v>
      </c>
      <c r="FT49" s="301">
        <f t="shared" si="21"/>
        <v>0</v>
      </c>
      <c r="FX49" s="301">
        <f t="shared" si="22"/>
        <v>0</v>
      </c>
      <c r="GB49" s="301">
        <f t="shared" si="23"/>
        <v>0</v>
      </c>
      <c r="GF49" s="301">
        <f t="shared" si="24"/>
        <v>0</v>
      </c>
      <c r="GJ49" s="301">
        <f t="shared" si="42"/>
        <v>0</v>
      </c>
      <c r="GN49" s="301">
        <f t="shared" si="43"/>
        <v>0</v>
      </c>
      <c r="GR49" s="301">
        <f t="shared" si="44"/>
        <v>0</v>
      </c>
      <c r="GV49" s="301">
        <f t="shared" si="45"/>
        <v>0</v>
      </c>
      <c r="GZ49" s="301">
        <f t="shared" si="46"/>
        <v>0</v>
      </c>
      <c r="HA49" s="328"/>
      <c r="HB49" s="324"/>
      <c r="HC49" s="324"/>
      <c r="HD49" s="324"/>
      <c r="HE49" s="324"/>
      <c r="HF49" s="324"/>
      <c r="HG49" s="324"/>
      <c r="HH49" s="324"/>
      <c r="HI49" s="324"/>
      <c r="HJ49" s="324"/>
      <c r="HK49" s="324"/>
      <c r="HL49" s="324"/>
      <c r="HM49" s="324"/>
      <c r="HN49" s="324"/>
      <c r="HO49" s="324"/>
      <c r="HP49" s="324"/>
      <c r="HQ49" s="324"/>
      <c r="HR49" s="324"/>
      <c r="HS49" s="306"/>
      <c r="HT49" s="306"/>
      <c r="HU49" s="306"/>
      <c r="HV49" s="306"/>
      <c r="HW49" s="324"/>
      <c r="HX49" s="324"/>
      <c r="HY49" s="324"/>
      <c r="HZ49" s="324"/>
      <c r="IA49" s="324"/>
      <c r="IB49" s="324"/>
      <c r="IC49" s="324"/>
      <c r="ID49" s="324"/>
      <c r="IE49" s="324"/>
      <c r="IF49" s="324"/>
      <c r="IG49" s="324"/>
      <c r="IH49" s="324"/>
      <c r="II49" s="324"/>
      <c r="IJ49" s="324"/>
      <c r="IK49" s="324"/>
      <c r="IL49" s="324"/>
      <c r="IM49" s="324"/>
      <c r="IN49" s="324"/>
      <c r="IO49" s="324"/>
      <c r="IP49" s="324"/>
      <c r="IQ49" s="324"/>
      <c r="IR49" s="324"/>
      <c r="IS49" s="324"/>
      <c r="IT49" s="324"/>
      <c r="IU49" s="324"/>
      <c r="IV49" s="324"/>
    </row>
    <row r="50" spans="1:256" s="320" customFormat="1" ht="13.5" hidden="1" customHeight="1">
      <c r="A50" s="368">
        <v>7</v>
      </c>
      <c r="B50" s="910" t="s">
        <v>222</v>
      </c>
      <c r="C50" s="910"/>
      <c r="D50" s="369" t="s">
        <v>223</v>
      </c>
      <c r="E50" s="299">
        <f t="shared" si="55"/>
        <v>0</v>
      </c>
      <c r="F50" s="299">
        <f t="shared" si="55"/>
        <v>0</v>
      </c>
      <c r="G50" s="299">
        <f t="shared" si="55"/>
        <v>0</v>
      </c>
      <c r="H50" s="299">
        <f t="shared" si="55"/>
        <v>0</v>
      </c>
      <c r="I50" s="301"/>
      <c r="J50" s="301"/>
      <c r="K50" s="301"/>
      <c r="L50" s="300">
        <f t="shared" si="25"/>
        <v>0</v>
      </c>
      <c r="P50" s="301">
        <f t="shared" si="26"/>
        <v>0</v>
      </c>
      <c r="T50" s="301">
        <f t="shared" si="27"/>
        <v>0</v>
      </c>
      <c r="X50" s="301">
        <f t="shared" si="28"/>
        <v>0</v>
      </c>
      <c r="AB50" s="301">
        <f t="shared" si="29"/>
        <v>0</v>
      </c>
      <c r="AF50" s="300">
        <f t="shared" si="30"/>
        <v>0</v>
      </c>
      <c r="AJ50" s="300">
        <f t="shared" si="31"/>
        <v>0</v>
      </c>
      <c r="AK50" s="301"/>
      <c r="AL50" s="301"/>
      <c r="AM50" s="301"/>
      <c r="AN50" s="301">
        <f t="shared" si="32"/>
        <v>0</v>
      </c>
      <c r="AO50" s="301"/>
      <c r="AP50" s="301"/>
      <c r="AQ50" s="301"/>
      <c r="AR50" s="300">
        <f t="shared" si="33"/>
        <v>0</v>
      </c>
      <c r="AV50" s="301">
        <f t="shared" si="34"/>
        <v>0</v>
      </c>
      <c r="AZ50" s="301">
        <f t="shared" si="35"/>
        <v>0</v>
      </c>
      <c r="BD50" s="301">
        <f t="shared" si="36"/>
        <v>0</v>
      </c>
      <c r="BH50" s="301">
        <f t="shared" si="37"/>
        <v>0</v>
      </c>
      <c r="BL50" s="301">
        <f t="shared" si="38"/>
        <v>0</v>
      </c>
      <c r="BP50" s="301">
        <f t="shared" si="52"/>
        <v>0</v>
      </c>
      <c r="BT50" s="301">
        <f t="shared" si="39"/>
        <v>0</v>
      </c>
      <c r="BX50" s="301">
        <f t="shared" si="40"/>
        <v>0</v>
      </c>
      <c r="BY50" s="301">
        <f>'[1]ОАО ДК ЖД р-на'!K474</f>
        <v>0</v>
      </c>
      <c r="BZ50" s="301">
        <f>'[1]ОАО ДК ЖД р-на'!L474/1000</f>
        <v>0</v>
      </c>
      <c r="CA50" s="301">
        <f>'[1]ОАО ДК ЖД р-на'!M474/1000</f>
        <v>0</v>
      </c>
      <c r="CB50" s="301">
        <f t="shared" si="41"/>
        <v>0</v>
      </c>
      <c r="CF50" s="300">
        <f t="shared" si="49"/>
        <v>0</v>
      </c>
      <c r="CJ50" s="301">
        <f t="shared" si="0"/>
        <v>0</v>
      </c>
      <c r="CN50" s="301">
        <f t="shared" si="1"/>
        <v>0</v>
      </c>
      <c r="CR50" s="301">
        <f t="shared" si="2"/>
        <v>0</v>
      </c>
      <c r="CV50" s="301">
        <f t="shared" si="3"/>
        <v>0</v>
      </c>
      <c r="CZ50" s="301">
        <f t="shared" si="4"/>
        <v>0</v>
      </c>
      <c r="DC50" s="309"/>
      <c r="DD50" s="300">
        <f t="shared" si="5"/>
        <v>0</v>
      </c>
      <c r="DH50" s="301">
        <f t="shared" si="6"/>
        <v>0</v>
      </c>
      <c r="DL50" s="301">
        <f t="shared" si="50"/>
        <v>0</v>
      </c>
      <c r="DP50" s="301">
        <f t="shared" si="7"/>
        <v>0</v>
      </c>
      <c r="DT50" s="300">
        <f t="shared" si="8"/>
        <v>0</v>
      </c>
      <c r="DX50" s="301">
        <f t="shared" si="9"/>
        <v>0</v>
      </c>
      <c r="EB50" s="301">
        <f t="shared" si="10"/>
        <v>0</v>
      </c>
      <c r="EF50" s="301">
        <f t="shared" si="11"/>
        <v>0</v>
      </c>
      <c r="EJ50" s="301">
        <f t="shared" si="12"/>
        <v>0</v>
      </c>
      <c r="EN50" s="301">
        <f t="shared" si="13"/>
        <v>0</v>
      </c>
      <c r="ER50" s="300">
        <f t="shared" si="14"/>
        <v>0</v>
      </c>
      <c r="EV50" s="300">
        <f t="shared" si="15"/>
        <v>0</v>
      </c>
      <c r="EZ50" s="301">
        <f t="shared" si="16"/>
        <v>0</v>
      </c>
      <c r="FA50" s="301"/>
      <c r="FB50" s="301"/>
      <c r="FC50" s="301"/>
      <c r="FD50" s="301">
        <f t="shared" si="17"/>
        <v>0</v>
      </c>
      <c r="FH50" s="300">
        <f t="shared" si="18"/>
        <v>0</v>
      </c>
      <c r="FL50" s="301">
        <f t="shared" si="19"/>
        <v>0</v>
      </c>
      <c r="FP50" s="301">
        <f t="shared" si="20"/>
        <v>0</v>
      </c>
      <c r="FT50" s="301">
        <f t="shared" si="21"/>
        <v>0</v>
      </c>
      <c r="FX50" s="301">
        <f t="shared" si="22"/>
        <v>0</v>
      </c>
      <c r="GB50" s="301">
        <f t="shared" si="23"/>
        <v>0</v>
      </c>
      <c r="GF50" s="301">
        <f t="shared" si="24"/>
        <v>0</v>
      </c>
      <c r="GJ50" s="301">
        <f t="shared" si="42"/>
        <v>0</v>
      </c>
      <c r="GN50" s="301">
        <f t="shared" si="43"/>
        <v>0</v>
      </c>
      <c r="GR50" s="301">
        <f t="shared" si="44"/>
        <v>0</v>
      </c>
      <c r="GV50" s="301">
        <f t="shared" si="45"/>
        <v>0</v>
      </c>
      <c r="GZ50" s="301">
        <f t="shared" si="46"/>
        <v>0</v>
      </c>
      <c r="HA50" s="328"/>
      <c r="HB50" s="324"/>
      <c r="HC50" s="324"/>
      <c r="HD50" s="324"/>
      <c r="HE50" s="324"/>
      <c r="HF50" s="324"/>
      <c r="HG50" s="324"/>
      <c r="HH50" s="324"/>
      <c r="HI50" s="324"/>
      <c r="HJ50" s="324"/>
      <c r="HK50" s="324"/>
      <c r="HL50" s="324"/>
      <c r="HM50" s="324"/>
      <c r="HN50" s="324"/>
      <c r="HO50" s="324"/>
      <c r="HP50" s="324"/>
      <c r="HQ50" s="324"/>
      <c r="HR50" s="324"/>
      <c r="HS50" s="306"/>
      <c r="HT50" s="306"/>
      <c r="HU50" s="306"/>
      <c r="HV50" s="306"/>
      <c r="HW50" s="324"/>
      <c r="HX50" s="324"/>
      <c r="HY50" s="324"/>
      <c r="HZ50" s="324"/>
      <c r="IA50" s="324"/>
      <c r="IB50" s="324"/>
      <c r="IC50" s="324"/>
      <c r="ID50" s="324"/>
      <c r="IE50" s="324"/>
      <c r="IF50" s="324"/>
      <c r="IG50" s="324"/>
      <c r="IH50" s="324"/>
      <c r="II50" s="324"/>
      <c r="IJ50" s="324"/>
      <c r="IK50" s="324"/>
      <c r="IL50" s="324"/>
      <c r="IM50" s="324"/>
      <c r="IN50" s="324"/>
      <c r="IO50" s="324"/>
      <c r="IP50" s="324"/>
      <c r="IQ50" s="324"/>
      <c r="IR50" s="324"/>
      <c r="IS50" s="324"/>
      <c r="IT50" s="324"/>
      <c r="IU50" s="324"/>
      <c r="IV50" s="324"/>
    </row>
    <row r="51" spans="1:256" s="320" customFormat="1" ht="13.5" hidden="1" customHeight="1">
      <c r="A51" s="368">
        <v>7</v>
      </c>
      <c r="B51" s="911" t="s">
        <v>224</v>
      </c>
      <c r="C51" s="911"/>
      <c r="D51" s="369" t="s">
        <v>162</v>
      </c>
      <c r="E51" s="299">
        <f t="shared" si="55"/>
        <v>214.35203999999999</v>
      </c>
      <c r="F51" s="299">
        <f t="shared" si="55"/>
        <v>208.16650660000005</v>
      </c>
      <c r="G51" s="299">
        <f t="shared" si="55"/>
        <v>208.16650660000005</v>
      </c>
      <c r="H51" s="299">
        <f t="shared" si="55"/>
        <v>0</v>
      </c>
      <c r="I51" s="301"/>
      <c r="J51" s="301"/>
      <c r="K51" s="301"/>
      <c r="L51" s="300">
        <f t="shared" si="25"/>
        <v>0</v>
      </c>
      <c r="P51" s="301">
        <f t="shared" si="26"/>
        <v>0</v>
      </c>
      <c r="T51" s="301">
        <f t="shared" si="27"/>
        <v>0</v>
      </c>
      <c r="X51" s="301">
        <f t="shared" si="28"/>
        <v>0</v>
      </c>
      <c r="AB51" s="301">
        <f t="shared" si="29"/>
        <v>0</v>
      </c>
      <c r="AF51" s="300">
        <f t="shared" si="30"/>
        <v>0</v>
      </c>
      <c r="AJ51" s="300">
        <f t="shared" si="31"/>
        <v>0</v>
      </c>
      <c r="AK51" s="301"/>
      <c r="AL51" s="301"/>
      <c r="AM51" s="301"/>
      <c r="AN51" s="301">
        <f t="shared" si="32"/>
        <v>0</v>
      </c>
      <c r="AO51" s="301"/>
      <c r="AP51" s="301"/>
      <c r="AQ51" s="301"/>
      <c r="AR51" s="300">
        <f t="shared" si="33"/>
        <v>0</v>
      </c>
      <c r="AS51" s="301">
        <f>'[1]Фундамент СК ООО'!K94/1000</f>
        <v>197.97216</v>
      </c>
      <c r="AT51" s="301">
        <f>'[1]Фундамент СК ООО'!L94/1000</f>
        <v>196.58932250000004</v>
      </c>
      <c r="AU51" s="301">
        <f>'[1]Фундамент СК ООО'!M94/1000</f>
        <v>196.58932250000004</v>
      </c>
      <c r="AV51" s="301">
        <f t="shared" si="34"/>
        <v>0</v>
      </c>
      <c r="AZ51" s="301">
        <f t="shared" si="35"/>
        <v>0</v>
      </c>
      <c r="BD51" s="301"/>
      <c r="BH51" s="301"/>
      <c r="BL51" s="301"/>
      <c r="BP51" s="301">
        <f t="shared" si="52"/>
        <v>0</v>
      </c>
      <c r="BT51" s="301">
        <f t="shared" si="39"/>
        <v>0</v>
      </c>
      <c r="BX51" s="301">
        <f t="shared" si="40"/>
        <v>0</v>
      </c>
      <c r="BY51" s="301"/>
      <c r="BZ51" s="301"/>
      <c r="CA51" s="301"/>
      <c r="CB51" s="301">
        <f t="shared" si="41"/>
        <v>0</v>
      </c>
      <c r="CF51" s="300">
        <f t="shared" si="49"/>
        <v>0</v>
      </c>
      <c r="CJ51" s="301"/>
      <c r="CN51" s="301"/>
      <c r="CR51" s="301">
        <f t="shared" si="2"/>
        <v>0</v>
      </c>
      <c r="CV51" s="301">
        <f t="shared" si="3"/>
        <v>0</v>
      </c>
      <c r="CZ51" s="301">
        <f t="shared" si="4"/>
        <v>0</v>
      </c>
      <c r="DC51" s="309"/>
      <c r="DD51" s="300">
        <f t="shared" si="5"/>
        <v>0</v>
      </c>
      <c r="DH51" s="301">
        <f t="shared" si="6"/>
        <v>0</v>
      </c>
      <c r="DL51" s="301"/>
      <c r="DP51" s="301">
        <f t="shared" si="7"/>
        <v>0</v>
      </c>
      <c r="DT51" s="300">
        <f t="shared" si="8"/>
        <v>0</v>
      </c>
      <c r="DX51" s="301">
        <f t="shared" si="9"/>
        <v>0</v>
      </c>
      <c r="EB51" s="301">
        <f t="shared" si="10"/>
        <v>0</v>
      </c>
      <c r="EF51" s="301">
        <f t="shared" si="11"/>
        <v>0</v>
      </c>
      <c r="EJ51" s="301">
        <f t="shared" si="12"/>
        <v>0</v>
      </c>
      <c r="EN51" s="301">
        <f t="shared" si="13"/>
        <v>0</v>
      </c>
      <c r="ER51" s="300">
        <f t="shared" si="14"/>
        <v>0</v>
      </c>
      <c r="EV51" s="300"/>
      <c r="EZ51" s="301"/>
      <c r="FA51" s="301"/>
      <c r="FB51" s="301"/>
      <c r="FC51" s="301"/>
      <c r="FD51" s="301">
        <f t="shared" si="17"/>
        <v>0</v>
      </c>
      <c r="FE51" s="301">
        <f>('[1]ООО ЖКиСР УправДом'!K137)/1000</f>
        <v>16.37988</v>
      </c>
      <c r="FF51" s="301">
        <f>('[1]ООО ЖКиСР УправДом'!L137)/1000</f>
        <v>11.577184099999998</v>
      </c>
      <c r="FG51" s="301">
        <f>('[1]ООО ЖКиСР УправДом'!M137)/1000</f>
        <v>11.577184099999998</v>
      </c>
      <c r="FH51" s="300">
        <f t="shared" si="18"/>
        <v>0</v>
      </c>
      <c r="FL51" s="301">
        <f t="shared" si="19"/>
        <v>0</v>
      </c>
      <c r="FP51" s="301">
        <f t="shared" si="20"/>
        <v>0</v>
      </c>
      <c r="FT51" s="301"/>
      <c r="FX51" s="301">
        <f t="shared" si="22"/>
        <v>0</v>
      </c>
      <c r="GB51" s="301">
        <f t="shared" si="23"/>
        <v>0</v>
      </c>
      <c r="GF51" s="301">
        <f t="shared" si="24"/>
        <v>0</v>
      </c>
      <c r="GJ51" s="301">
        <f t="shared" si="42"/>
        <v>0</v>
      </c>
      <c r="GN51" s="301">
        <f t="shared" si="43"/>
        <v>0</v>
      </c>
      <c r="GR51" s="301">
        <f t="shared" si="44"/>
        <v>0</v>
      </c>
      <c r="GV51" s="301">
        <f t="shared" si="45"/>
        <v>0</v>
      </c>
      <c r="GZ51" s="301">
        <f t="shared" si="46"/>
        <v>0</v>
      </c>
      <c r="HA51" s="328"/>
      <c r="HB51" s="324"/>
      <c r="HC51" s="324"/>
      <c r="HD51" s="324"/>
      <c r="HE51" s="324"/>
      <c r="HF51" s="324"/>
      <c r="HG51" s="324"/>
      <c r="HH51" s="324"/>
      <c r="HI51" s="324"/>
      <c r="HJ51" s="324"/>
      <c r="HK51" s="324"/>
      <c r="HL51" s="324"/>
      <c r="HM51" s="324"/>
      <c r="HN51" s="324"/>
      <c r="HO51" s="324"/>
      <c r="HP51" s="324"/>
      <c r="HQ51" s="324"/>
      <c r="HR51" s="324"/>
      <c r="HS51" s="306"/>
      <c r="HT51" s="306"/>
      <c r="HU51" s="306"/>
      <c r="HV51" s="306"/>
      <c r="HW51" s="324"/>
      <c r="HX51" s="324"/>
      <c r="HY51" s="324"/>
      <c r="HZ51" s="324"/>
      <c r="IA51" s="324"/>
      <c r="IB51" s="324"/>
      <c r="IC51" s="324"/>
      <c r="ID51" s="324"/>
      <c r="IE51" s="324"/>
      <c r="IF51" s="324"/>
      <c r="IG51" s="324"/>
      <c r="IH51" s="324"/>
      <c r="II51" s="324"/>
      <c r="IJ51" s="324"/>
      <c r="IK51" s="324"/>
      <c r="IL51" s="324"/>
      <c r="IM51" s="324"/>
      <c r="IN51" s="324"/>
      <c r="IO51" s="324"/>
      <c r="IP51" s="324"/>
      <c r="IQ51" s="324"/>
      <c r="IR51" s="324"/>
      <c r="IS51" s="324"/>
      <c r="IT51" s="324"/>
      <c r="IU51" s="324"/>
      <c r="IV51" s="324"/>
    </row>
    <row r="52" spans="1:256" s="320" customFormat="1" ht="13.5" hidden="1" customHeight="1">
      <c r="A52" s="368">
        <v>8</v>
      </c>
      <c r="B52" s="910" t="s">
        <v>225</v>
      </c>
      <c r="C52" s="910"/>
      <c r="D52" s="369" t="s">
        <v>220</v>
      </c>
      <c r="E52" s="299">
        <f t="shared" si="55"/>
        <v>7544</v>
      </c>
      <c r="F52" s="299">
        <f t="shared" si="55"/>
        <v>117.85</v>
      </c>
      <c r="G52" s="299">
        <f t="shared" si="55"/>
        <v>117.85</v>
      </c>
      <c r="H52" s="299">
        <f t="shared" si="55"/>
        <v>0</v>
      </c>
      <c r="I52" s="301">
        <f>'[1]ГК РЭС'!K33</f>
        <v>1559</v>
      </c>
      <c r="J52" s="301">
        <f>'[1]ГК РЭС'!L33/1000</f>
        <v>23.385000000000002</v>
      </c>
      <c r="K52" s="301">
        <f>'[1]ГК РЭС'!M33/1000</f>
        <v>23.385000000000002</v>
      </c>
      <c r="L52" s="300">
        <f t="shared" si="25"/>
        <v>0</v>
      </c>
      <c r="P52" s="301">
        <f t="shared" si="26"/>
        <v>0</v>
      </c>
      <c r="T52" s="301">
        <f t="shared" si="27"/>
        <v>0</v>
      </c>
      <c r="X52" s="301">
        <f t="shared" si="28"/>
        <v>0</v>
      </c>
      <c r="AB52" s="301">
        <f t="shared" si="29"/>
        <v>0</v>
      </c>
      <c r="AF52" s="300">
        <f t="shared" si="30"/>
        <v>0</v>
      </c>
      <c r="AJ52" s="300">
        <f t="shared" si="31"/>
        <v>0</v>
      </c>
      <c r="AK52" s="301">
        <f>('[1]ООО РЭС'!K73+'[1]ООО РЭС'!K75+'[1]ООО РЭС'!K77)</f>
        <v>5886</v>
      </c>
      <c r="AL52" s="301">
        <f>('[1]ООО РЭС'!L73+'[1]ООО РЭС'!L75+'[1]ООО РЭС'!L77)/1000</f>
        <v>90.504999999999995</v>
      </c>
      <c r="AM52" s="301">
        <f>('[1]ООО РЭС'!M73+'[1]ООО РЭС'!M75+'[1]ООО РЭС'!M77)/1000</f>
        <v>90.504999999999995</v>
      </c>
      <c r="AN52" s="301">
        <f t="shared" si="32"/>
        <v>0</v>
      </c>
      <c r="AO52" s="301"/>
      <c r="AP52" s="301"/>
      <c r="AQ52" s="301"/>
      <c r="AR52" s="300">
        <f t="shared" si="33"/>
        <v>0</v>
      </c>
      <c r="AV52" s="301">
        <f t="shared" si="34"/>
        <v>0</v>
      </c>
      <c r="AZ52" s="301">
        <f t="shared" si="35"/>
        <v>0</v>
      </c>
      <c r="BD52" s="301">
        <f t="shared" si="36"/>
        <v>0</v>
      </c>
      <c r="BH52" s="301">
        <f t="shared" si="37"/>
        <v>0</v>
      </c>
      <c r="BL52" s="301">
        <f t="shared" si="38"/>
        <v>0</v>
      </c>
      <c r="BP52" s="301">
        <f t="shared" si="52"/>
        <v>0</v>
      </c>
      <c r="BT52" s="301">
        <f t="shared" si="39"/>
        <v>0</v>
      </c>
      <c r="BX52" s="301">
        <f t="shared" si="40"/>
        <v>0</v>
      </c>
      <c r="CB52" s="301">
        <f t="shared" si="41"/>
        <v>0</v>
      </c>
      <c r="CF52" s="300">
        <f t="shared" si="49"/>
        <v>0</v>
      </c>
      <c r="CJ52" s="301">
        <f t="shared" si="0"/>
        <v>0</v>
      </c>
      <c r="CN52" s="301">
        <f t="shared" si="1"/>
        <v>0</v>
      </c>
      <c r="CR52" s="301">
        <f t="shared" si="2"/>
        <v>0</v>
      </c>
      <c r="CV52" s="301">
        <f t="shared" si="3"/>
        <v>0</v>
      </c>
      <c r="CZ52" s="301">
        <f t="shared" si="4"/>
        <v>0</v>
      </c>
      <c r="DC52" s="309"/>
      <c r="DD52" s="300">
        <f t="shared" si="5"/>
        <v>0</v>
      </c>
      <c r="DH52" s="301">
        <f t="shared" si="6"/>
        <v>0</v>
      </c>
      <c r="DL52" s="301">
        <f t="shared" si="50"/>
        <v>0</v>
      </c>
      <c r="DM52" s="301">
        <f>'[1]Альфаком-У'!K173</f>
        <v>99</v>
      </c>
      <c r="DN52" s="301">
        <f>'[1]Альфаком-У'!L173/1000</f>
        <v>3.96</v>
      </c>
      <c r="DO52" s="301">
        <f>'[1]Альфаком-У'!M173/1000</f>
        <v>3.96</v>
      </c>
      <c r="DP52" s="301">
        <f t="shared" si="7"/>
        <v>0</v>
      </c>
      <c r="DT52" s="300">
        <f t="shared" si="8"/>
        <v>0</v>
      </c>
      <c r="DX52" s="301">
        <f t="shared" si="9"/>
        <v>0</v>
      </c>
      <c r="EB52" s="301">
        <f t="shared" si="10"/>
        <v>0</v>
      </c>
      <c r="EF52" s="301">
        <f t="shared" si="11"/>
        <v>0</v>
      </c>
      <c r="EJ52" s="301">
        <f t="shared" si="12"/>
        <v>0</v>
      </c>
      <c r="EN52" s="301">
        <f t="shared" si="13"/>
        <v>0</v>
      </c>
      <c r="ER52" s="300">
        <f t="shared" si="14"/>
        <v>0</v>
      </c>
      <c r="EV52" s="300">
        <f t="shared" si="15"/>
        <v>0</v>
      </c>
      <c r="EZ52" s="301">
        <f t="shared" si="16"/>
        <v>0</v>
      </c>
      <c r="FA52" s="301"/>
      <c r="FB52" s="301"/>
      <c r="FC52" s="301"/>
      <c r="FD52" s="301">
        <f t="shared" si="17"/>
        <v>0</v>
      </c>
      <c r="FH52" s="300">
        <f t="shared" si="18"/>
        <v>0</v>
      </c>
      <c r="FL52" s="301">
        <f t="shared" si="19"/>
        <v>0</v>
      </c>
      <c r="FP52" s="301">
        <f t="shared" si="20"/>
        <v>0</v>
      </c>
      <c r="FT52" s="301">
        <f t="shared" si="21"/>
        <v>0</v>
      </c>
      <c r="FX52" s="301">
        <f t="shared" si="22"/>
        <v>0</v>
      </c>
      <c r="GB52" s="301">
        <f t="shared" si="23"/>
        <v>0</v>
      </c>
      <c r="GF52" s="301">
        <f t="shared" si="24"/>
        <v>0</v>
      </c>
      <c r="GJ52" s="301">
        <f t="shared" si="42"/>
        <v>0</v>
      </c>
      <c r="GN52" s="301">
        <f t="shared" si="43"/>
        <v>0</v>
      </c>
      <c r="GR52" s="301">
        <f t="shared" si="44"/>
        <v>0</v>
      </c>
      <c r="GV52" s="301">
        <f t="shared" si="45"/>
        <v>0</v>
      </c>
      <c r="GZ52" s="301">
        <f t="shared" si="46"/>
        <v>0</v>
      </c>
      <c r="HA52" s="328"/>
      <c r="HB52" s="324"/>
      <c r="HC52" s="324"/>
      <c r="HD52" s="324"/>
      <c r="HE52" s="324"/>
      <c r="HF52" s="324"/>
      <c r="HG52" s="324"/>
      <c r="HH52" s="324"/>
      <c r="HI52" s="324"/>
      <c r="HJ52" s="324"/>
      <c r="HK52" s="324"/>
      <c r="HL52" s="324"/>
      <c r="HM52" s="324"/>
      <c r="HN52" s="324"/>
      <c r="HO52" s="324"/>
      <c r="HP52" s="324"/>
      <c r="HQ52" s="324"/>
      <c r="HR52" s="324"/>
      <c r="HS52" s="306"/>
      <c r="HT52" s="306"/>
      <c r="HU52" s="306"/>
      <c r="HV52" s="306"/>
      <c r="HW52" s="324"/>
      <c r="HX52" s="324"/>
      <c r="HY52" s="324"/>
      <c r="HZ52" s="324"/>
      <c r="IA52" s="324"/>
      <c r="IB52" s="324"/>
      <c r="IC52" s="324"/>
      <c r="ID52" s="324"/>
      <c r="IE52" s="324"/>
      <c r="IF52" s="324"/>
      <c r="IG52" s="324"/>
      <c r="IH52" s="324"/>
      <c r="II52" s="324"/>
      <c r="IJ52" s="324"/>
      <c r="IK52" s="324"/>
      <c r="IL52" s="324"/>
      <c r="IM52" s="324"/>
      <c r="IN52" s="324"/>
      <c r="IO52" s="324"/>
      <c r="IP52" s="324"/>
      <c r="IQ52" s="324"/>
      <c r="IR52" s="324"/>
      <c r="IS52" s="324"/>
      <c r="IT52" s="324"/>
      <c r="IU52" s="324"/>
      <c r="IV52" s="324"/>
    </row>
    <row r="53" spans="1:256" s="320" customFormat="1" ht="13.5" hidden="1" customHeight="1">
      <c r="A53" s="368">
        <v>9</v>
      </c>
      <c r="B53" s="910" t="s">
        <v>225</v>
      </c>
      <c r="C53" s="910"/>
      <c r="D53" s="369" t="s">
        <v>162</v>
      </c>
      <c r="E53" s="299">
        <f t="shared" si="55"/>
        <v>1232.3745000000001</v>
      </c>
      <c r="F53" s="299">
        <f t="shared" si="55"/>
        <v>393.67756120000007</v>
      </c>
      <c r="G53" s="299">
        <f t="shared" si="55"/>
        <v>393.67756120000007</v>
      </c>
      <c r="H53" s="299">
        <f t="shared" si="55"/>
        <v>0</v>
      </c>
      <c r="I53" s="301"/>
      <c r="J53" s="301"/>
      <c r="K53" s="301"/>
      <c r="L53" s="300">
        <f t="shared" si="25"/>
        <v>0</v>
      </c>
      <c r="P53" s="301">
        <f t="shared" si="26"/>
        <v>0</v>
      </c>
      <c r="Q53" s="301">
        <f>('[1]ОАО ДК Засвияжье 1'!K91+'[1]ОАО ДК Засвияжье 1'!K93)/1000</f>
        <v>17.860130000000002</v>
      </c>
      <c r="R53" s="301">
        <f>('[1]ОАО ДК Засвияжье 1'!L91+'[1]ОАО ДК Засвияжье 1'!L93)/1000</f>
        <v>20.119166199999999</v>
      </c>
      <c r="S53" s="301">
        <f>('[1]ОАО ДК Засвияжье 1'!M91+'[1]ОАО ДК Засвияжье 1'!M93)/1000</f>
        <v>20.119166199999999</v>
      </c>
      <c r="T53" s="301">
        <f t="shared" si="27"/>
        <v>0</v>
      </c>
      <c r="X53" s="301">
        <f t="shared" si="28"/>
        <v>0</v>
      </c>
      <c r="Y53" s="301">
        <f>'[1]ООО ЖСС'!K37/1000</f>
        <v>280.37205999999998</v>
      </c>
      <c r="Z53" s="301">
        <f>'[1]ООО ЖСС'!L37/1000</f>
        <v>84.111618000000007</v>
      </c>
      <c r="AA53" s="301">
        <f>'[1]ООО ЖСС'!M37/1000</f>
        <v>84.111618000000007</v>
      </c>
      <c r="AB53" s="301">
        <f t="shared" si="29"/>
        <v>0</v>
      </c>
      <c r="AC53" s="301">
        <f>[1]МегаЛинк!K183/1000</f>
        <v>26.932470000000002</v>
      </c>
      <c r="AD53" s="301">
        <f>[1]МегаЛинк!L183/1000</f>
        <v>8.0797410000000003</v>
      </c>
      <c r="AE53" s="301">
        <f>[1]МегаЛинк!M183/1000</f>
        <v>8.0797410000000003</v>
      </c>
      <c r="AF53" s="300">
        <f t="shared" si="30"/>
        <v>0</v>
      </c>
      <c r="AJ53" s="300">
        <f t="shared" si="31"/>
        <v>0</v>
      </c>
      <c r="AK53" s="301"/>
      <c r="AL53" s="301"/>
      <c r="AM53" s="301"/>
      <c r="AN53" s="301">
        <f t="shared" si="32"/>
        <v>0</v>
      </c>
      <c r="AO53" s="301"/>
      <c r="AP53" s="301"/>
      <c r="AQ53" s="301"/>
      <c r="AR53" s="300">
        <f t="shared" si="33"/>
        <v>0</v>
      </c>
      <c r="AV53" s="301">
        <f t="shared" si="34"/>
        <v>0</v>
      </c>
      <c r="AZ53" s="301">
        <f t="shared" si="35"/>
        <v>0</v>
      </c>
      <c r="BD53" s="301">
        <f t="shared" si="36"/>
        <v>0</v>
      </c>
      <c r="BH53" s="301">
        <f t="shared" si="37"/>
        <v>0</v>
      </c>
      <c r="BL53" s="301">
        <f t="shared" si="38"/>
        <v>0</v>
      </c>
      <c r="BP53" s="301">
        <f t="shared" si="52"/>
        <v>0</v>
      </c>
      <c r="BT53" s="301">
        <f t="shared" si="39"/>
        <v>0</v>
      </c>
      <c r="BU53" s="301">
        <f>'[1]ОАО ДК Лен р-на'!K479/1000</f>
        <v>12.947509999999999</v>
      </c>
      <c r="BV53" s="301">
        <f>'[1]ОАО ДК Лен р-на'!L479/1000</f>
        <v>4.7098230000000001</v>
      </c>
      <c r="BW53" s="301">
        <f>'[1]ОАО ДК Лен р-на'!M479/1000</f>
        <v>4.7098230000000001</v>
      </c>
      <c r="BX53" s="301">
        <f t="shared" si="40"/>
        <v>0</v>
      </c>
      <c r="CB53" s="301">
        <f t="shared" si="41"/>
        <v>0</v>
      </c>
      <c r="CF53" s="300">
        <f t="shared" si="49"/>
        <v>0</v>
      </c>
      <c r="CG53" s="301">
        <f>'[1]УК ЖСС'!K62/1000</f>
        <v>865.79699000000005</v>
      </c>
      <c r="CH53" s="301">
        <f>'[1]УК ЖСС'!L62/1000</f>
        <v>261.29053900000002</v>
      </c>
      <c r="CI53" s="301">
        <f>'[1]УК ЖСС'!M62/1000</f>
        <v>261.29053900000002</v>
      </c>
      <c r="CJ53" s="301">
        <f t="shared" si="0"/>
        <v>0</v>
      </c>
      <c r="CN53" s="301">
        <f t="shared" si="1"/>
        <v>0</v>
      </c>
      <c r="CR53" s="301">
        <f t="shared" si="2"/>
        <v>0</v>
      </c>
      <c r="CV53" s="301">
        <f t="shared" si="3"/>
        <v>0</v>
      </c>
      <c r="CZ53" s="301">
        <f t="shared" si="4"/>
        <v>0</v>
      </c>
      <c r="DC53" s="309"/>
      <c r="DD53" s="300">
        <f t="shared" si="5"/>
        <v>0</v>
      </c>
      <c r="DH53" s="301">
        <f t="shared" si="6"/>
        <v>0</v>
      </c>
      <c r="DL53" s="301">
        <f t="shared" si="50"/>
        <v>0</v>
      </c>
      <c r="DM53" s="301">
        <f>'[1]Альфаком-У'!K177/1000</f>
        <v>25.417540000000002</v>
      </c>
      <c r="DN53" s="301">
        <f>'[1]Альфаком-У'!L177/1000</f>
        <v>7.6252619999999993</v>
      </c>
      <c r="DO53" s="301">
        <f>'[1]Альфаком-У'!M177/1000</f>
        <v>7.6252619999999993</v>
      </c>
      <c r="DP53" s="301">
        <f t="shared" si="7"/>
        <v>0</v>
      </c>
      <c r="DT53" s="300">
        <f t="shared" si="8"/>
        <v>0</v>
      </c>
      <c r="DX53" s="301">
        <f t="shared" si="9"/>
        <v>0</v>
      </c>
      <c r="EB53" s="301">
        <f t="shared" si="10"/>
        <v>0</v>
      </c>
      <c r="EF53" s="301">
        <f t="shared" si="11"/>
        <v>0</v>
      </c>
      <c r="EG53" s="301">
        <f>'[1]ООО ЦЭТ'!K331/1000</f>
        <v>3.0478000000000001</v>
      </c>
      <c r="EH53" s="301">
        <f>'[1]ООО ЦЭТ'!L331/1000</f>
        <v>7.7414120000000004</v>
      </c>
      <c r="EI53" s="301">
        <f>'[1]ООО ЦЭТ'!M331/1000</f>
        <v>7.7414120000000004</v>
      </c>
      <c r="EJ53" s="301">
        <f t="shared" si="12"/>
        <v>0</v>
      </c>
      <c r="EN53" s="301">
        <f t="shared" si="13"/>
        <v>0</v>
      </c>
      <c r="ER53" s="300">
        <f t="shared" si="14"/>
        <v>0</v>
      </c>
      <c r="EV53" s="300">
        <f t="shared" si="15"/>
        <v>0</v>
      </c>
      <c r="EZ53" s="301">
        <f t="shared" si="16"/>
        <v>0</v>
      </c>
      <c r="FA53" s="301"/>
      <c r="FB53" s="301"/>
      <c r="FC53" s="301"/>
      <c r="FD53" s="301">
        <f t="shared" si="17"/>
        <v>0</v>
      </c>
      <c r="FH53" s="300">
        <f t="shared" si="18"/>
        <v>0</v>
      </c>
      <c r="FL53" s="301">
        <f t="shared" si="19"/>
        <v>0</v>
      </c>
      <c r="FP53" s="301">
        <f t="shared" si="20"/>
        <v>0</v>
      </c>
      <c r="FT53" s="301">
        <f t="shared" si="21"/>
        <v>0</v>
      </c>
      <c r="FX53" s="301">
        <f t="shared" si="22"/>
        <v>0</v>
      </c>
      <c r="GB53" s="301">
        <f t="shared" si="23"/>
        <v>0</v>
      </c>
      <c r="GF53" s="301">
        <f t="shared" si="24"/>
        <v>0</v>
      </c>
      <c r="GJ53" s="301">
        <f t="shared" si="42"/>
        <v>0</v>
      </c>
      <c r="GN53" s="301">
        <f t="shared" si="43"/>
        <v>0</v>
      </c>
      <c r="GR53" s="301">
        <f t="shared" si="44"/>
        <v>0</v>
      </c>
      <c r="GV53" s="301">
        <f t="shared" si="45"/>
        <v>0</v>
      </c>
      <c r="GZ53" s="301">
        <f t="shared" si="46"/>
        <v>0</v>
      </c>
      <c r="HA53" s="328"/>
      <c r="HB53" s="324"/>
      <c r="HC53" s="324"/>
      <c r="HD53" s="324"/>
      <c r="HE53" s="324"/>
      <c r="HF53" s="324"/>
      <c r="HG53" s="324"/>
      <c r="HH53" s="324"/>
      <c r="HI53" s="324"/>
      <c r="HJ53" s="324"/>
      <c r="HK53" s="324"/>
      <c r="HL53" s="324"/>
      <c r="HM53" s="324"/>
      <c r="HN53" s="324"/>
      <c r="HO53" s="324"/>
      <c r="HP53" s="324"/>
      <c r="HQ53" s="324"/>
      <c r="HR53" s="324"/>
      <c r="HS53" s="306"/>
      <c r="HT53" s="306"/>
      <c r="HU53" s="306"/>
      <c r="HV53" s="306"/>
      <c r="HW53" s="324"/>
      <c r="HX53" s="324"/>
      <c r="HY53" s="324"/>
      <c r="HZ53" s="324"/>
      <c r="IA53" s="324"/>
      <c r="IB53" s="324"/>
      <c r="IC53" s="324"/>
      <c r="ID53" s="324"/>
      <c r="IE53" s="324"/>
      <c r="IF53" s="324"/>
      <c r="IG53" s="324"/>
      <c r="IH53" s="324"/>
      <c r="II53" s="324"/>
      <c r="IJ53" s="324"/>
      <c r="IK53" s="324"/>
      <c r="IL53" s="324"/>
      <c r="IM53" s="324"/>
      <c r="IN53" s="324"/>
      <c r="IO53" s="324"/>
      <c r="IP53" s="324"/>
      <c r="IQ53" s="324"/>
      <c r="IR53" s="324"/>
      <c r="IS53" s="324"/>
      <c r="IT53" s="324"/>
      <c r="IU53" s="324"/>
      <c r="IV53" s="324"/>
    </row>
    <row r="54" spans="1:256" s="301" customFormat="1" ht="13.5" hidden="1" customHeight="1">
      <c r="A54" s="368">
        <v>10</v>
      </c>
      <c r="B54" s="370" t="s">
        <v>226</v>
      </c>
      <c r="C54" s="370"/>
      <c r="D54" s="369" t="s">
        <v>223</v>
      </c>
      <c r="E54" s="299">
        <f t="shared" si="55"/>
        <v>3007</v>
      </c>
      <c r="F54" s="299">
        <f t="shared" si="55"/>
        <v>144.87697</v>
      </c>
      <c r="G54" s="299">
        <f t="shared" si="55"/>
        <v>144.87697</v>
      </c>
      <c r="H54" s="299">
        <f t="shared" si="55"/>
        <v>0</v>
      </c>
      <c r="L54" s="300">
        <f t="shared" si="25"/>
        <v>0</v>
      </c>
      <c r="M54" s="301">
        <f>('[1]УМУП УК ЖКХ г.Ульяновска'!K334)</f>
        <v>106</v>
      </c>
      <c r="N54" s="301">
        <f>('[1]УМУП УК ЖКХ г.Ульяновска'!L334)/1000</f>
        <v>10.94355</v>
      </c>
      <c r="O54" s="301">
        <f>('[1]УМУП УК ЖКХ г.Ульяновска'!M334)/1000</f>
        <v>10.94355</v>
      </c>
      <c r="P54" s="301">
        <f t="shared" si="26"/>
        <v>0</v>
      </c>
      <c r="Q54" s="301">
        <f>'[1]ОАО ДК Засвияжье 1'!K377</f>
        <v>0</v>
      </c>
      <c r="R54" s="301">
        <f>'[1]ОАО ДК Засвияжье 1'!L377/1000</f>
        <v>0</v>
      </c>
      <c r="S54" s="301">
        <f>'[1]ОАО ДК Засвияжье 1'!M377/1000</f>
        <v>0</v>
      </c>
      <c r="T54" s="301">
        <f t="shared" si="27"/>
        <v>0</v>
      </c>
      <c r="U54" s="301">
        <f>'[1]ОАО ДК Заволж р-на'!K435</f>
        <v>395</v>
      </c>
      <c r="V54" s="301">
        <f>'[1]ОАО ДК Заволж р-на'!L435/1000</f>
        <v>10.507</v>
      </c>
      <c r="W54" s="301">
        <f>'[1]ОАО ДК Заволж р-на'!M435/1000</f>
        <v>10.507</v>
      </c>
      <c r="X54" s="301">
        <f t="shared" si="28"/>
        <v>0</v>
      </c>
      <c r="AB54" s="301">
        <f t="shared" si="29"/>
        <v>0</v>
      </c>
      <c r="AC54" s="301">
        <f>[1]МегаЛинк!K167</f>
        <v>0</v>
      </c>
      <c r="AD54" s="301">
        <f>[1]МегаЛинк!L167/1000</f>
        <v>0</v>
      </c>
      <c r="AE54" s="301">
        <f>[1]МегаЛинк!M167/1000</f>
        <v>0</v>
      </c>
      <c r="AF54" s="300">
        <f t="shared" si="30"/>
        <v>0</v>
      </c>
      <c r="AJ54" s="300">
        <f t="shared" si="31"/>
        <v>0</v>
      </c>
      <c r="AN54" s="301">
        <f t="shared" si="32"/>
        <v>0</v>
      </c>
      <c r="AO54" s="301">
        <f>'[1]ЗАО ГК Аметист'!K440</f>
        <v>0</v>
      </c>
      <c r="AP54" s="301">
        <f>'[1]ЗАО ГК Аметист'!L440/1000</f>
        <v>0</v>
      </c>
      <c r="AQ54" s="301">
        <f>'[1]ЗАО ГК Аметист'!M440/1000</f>
        <v>0</v>
      </c>
      <c r="AR54" s="300">
        <f t="shared" si="33"/>
        <v>0</v>
      </c>
      <c r="AS54" s="301">
        <v>0</v>
      </c>
      <c r="AT54" s="301">
        <v>0</v>
      </c>
      <c r="AU54" s="301">
        <v>0</v>
      </c>
      <c r="AV54" s="301">
        <f t="shared" si="34"/>
        <v>0</v>
      </c>
      <c r="AZ54" s="301">
        <f t="shared" si="35"/>
        <v>0</v>
      </c>
      <c r="BD54" s="301">
        <f t="shared" si="36"/>
        <v>0</v>
      </c>
      <c r="BH54" s="301">
        <f t="shared" si="37"/>
        <v>0</v>
      </c>
      <c r="BI54" s="301">
        <f>[1]СМУ!K327</f>
        <v>0</v>
      </c>
      <c r="BJ54" s="301">
        <f>[1]СМУ!L327/1000</f>
        <v>0</v>
      </c>
      <c r="BK54" s="301">
        <f>[1]СМУ!M327/1000</f>
        <v>0</v>
      </c>
      <c r="BL54" s="301">
        <f t="shared" si="38"/>
        <v>0</v>
      </c>
      <c r="BM54" s="301">
        <f>'[1]Евро-Строй-Сервис'!K175</f>
        <v>0</v>
      </c>
      <c r="BN54" s="301">
        <f>'[1]Евро-Строй-Сервис'!L175/1000</f>
        <v>0</v>
      </c>
      <c r="BO54" s="301">
        <f>'[1]Евро-Строй-Сервис'!M175/1000</f>
        <v>0</v>
      </c>
      <c r="BP54" s="301">
        <f t="shared" si="52"/>
        <v>0</v>
      </c>
      <c r="BQ54" s="301">
        <f>'[1]ОАО ДК Засвияжье 2'!K383</f>
        <v>0</v>
      </c>
      <c r="BR54" s="301">
        <f>'[1]ОАО ДК Засвияжье 2'!L383/1000</f>
        <v>0</v>
      </c>
      <c r="BS54" s="301">
        <f>'[1]ОАО ДК Засвияжье 2'!M383/1000</f>
        <v>0</v>
      </c>
      <c r="BT54" s="301">
        <f t="shared" si="39"/>
        <v>0</v>
      </c>
      <c r="BU54" s="301">
        <f>('[1]ОАО ДК Лен р-на'!K609+'[1]ООО Технология'!K303)</f>
        <v>622</v>
      </c>
      <c r="BV54" s="301">
        <f>('[1]ОАО ДК Лен р-на'!L609+'[1]ООО Технология'!L303)/1000</f>
        <v>30.876079999999998</v>
      </c>
      <c r="BW54" s="301">
        <f>('[1]ОАО ДК Лен р-на'!M609+'[1]ООО Технология'!M303)/1000</f>
        <v>30.876079999999998</v>
      </c>
      <c r="BX54" s="301">
        <f t="shared" si="40"/>
        <v>0</v>
      </c>
      <c r="BY54" s="301">
        <f>'[1]ОАО ДК ЖД р-на'!K799</f>
        <v>1484</v>
      </c>
      <c r="BZ54" s="301">
        <f>'[1]ОАО ДК ЖД р-на'!L799/1000</f>
        <v>66.78</v>
      </c>
      <c r="CA54" s="301">
        <f>'[1]ОАО ДК ЖД р-на'!M799/1000</f>
        <v>66.78</v>
      </c>
      <c r="CB54" s="301">
        <f t="shared" si="41"/>
        <v>0</v>
      </c>
      <c r="CC54" s="301">
        <f>[1]СУК!K109</f>
        <v>0</v>
      </c>
      <c r="CD54" s="301">
        <f>[1]СУК!L109/1000</f>
        <v>0</v>
      </c>
      <c r="CE54" s="301">
        <f>[1]СУК!M109/1000</f>
        <v>0</v>
      </c>
      <c r="CF54" s="300">
        <f t="shared" si="49"/>
        <v>0</v>
      </c>
      <c r="CG54" s="301">
        <f>'[1]УК ЖСС'!K176</f>
        <v>0</v>
      </c>
      <c r="CH54" s="301">
        <f>'[1]УК ЖСС'!L176/1000</f>
        <v>0</v>
      </c>
      <c r="CI54" s="301">
        <f>'[1]УК ЖСС'!M176/1000</f>
        <v>0</v>
      </c>
      <c r="CJ54" s="301">
        <f t="shared" si="0"/>
        <v>0</v>
      </c>
      <c r="CN54" s="301">
        <f t="shared" si="1"/>
        <v>0</v>
      </c>
      <c r="CO54" s="301">
        <f>'[1]Север-1'!K397</f>
        <v>0</v>
      </c>
      <c r="CP54" s="301">
        <f>'[1]Север-1'!L397/1000</f>
        <v>0</v>
      </c>
      <c r="CQ54" s="301">
        <f>'[1]Север-1'!M397/1000</f>
        <v>0</v>
      </c>
      <c r="CR54" s="301">
        <f t="shared" si="2"/>
        <v>0</v>
      </c>
      <c r="CS54" s="301">
        <f>'[1]МостОтряд №51'!K103</f>
        <v>0</v>
      </c>
      <c r="CT54" s="301">
        <f>'[1]МостОтряд №51'!L103/1000</f>
        <v>0</v>
      </c>
      <c r="CU54" s="301">
        <f>'[1]МостОтряд №51'!M103/1000</f>
        <v>0</v>
      </c>
      <c r="CV54" s="301">
        <f t="shared" si="3"/>
        <v>0</v>
      </c>
      <c r="CW54" s="301">
        <f>'[1]Пр-т Гая'!K414</f>
        <v>32</v>
      </c>
      <c r="CX54" s="301">
        <f>'[1]Пр-т Гая'!L414/1000</f>
        <v>2.12032</v>
      </c>
      <c r="CY54" s="301">
        <f>'[1]Пр-т Гая'!M414/1000</f>
        <v>2.12032</v>
      </c>
      <c r="CZ54" s="301">
        <f t="shared" si="4"/>
        <v>0</v>
      </c>
      <c r="DA54" s="301">
        <f>[1]Стасова!K253</f>
        <v>0</v>
      </c>
      <c r="DB54" s="301">
        <f>[1]Стасова!L253/1000</f>
        <v>0</v>
      </c>
      <c r="DC54" s="301">
        <f>[1]Стасова!M253/1000</f>
        <v>0</v>
      </c>
      <c r="DD54" s="300">
        <f t="shared" si="5"/>
        <v>0</v>
      </c>
      <c r="DH54" s="301">
        <f t="shared" si="6"/>
        <v>0</v>
      </c>
      <c r="DL54" s="301">
        <f t="shared" si="50"/>
        <v>0</v>
      </c>
      <c r="DM54" s="301">
        <f>'[1]Альфаком-У'!K289</f>
        <v>0</v>
      </c>
      <c r="DN54" s="301">
        <f>'[1]Альфаком-У'!L289/1000</f>
        <v>0</v>
      </c>
      <c r="DO54" s="301">
        <f>'[1]Альфаком-У'!M289/1000</f>
        <v>0</v>
      </c>
      <c r="DP54" s="301">
        <f t="shared" si="7"/>
        <v>0</v>
      </c>
      <c r="DQ54" s="301">
        <f>'[1]ТСЖ Дачный'!K253</f>
        <v>0</v>
      </c>
      <c r="DR54" s="301">
        <f>'[1]ТСЖ Дачный'!L253/1000</f>
        <v>0</v>
      </c>
      <c r="DS54" s="301">
        <f>'[1]ТСЖ Дачный'!M253/1000</f>
        <v>0</v>
      </c>
      <c r="DT54" s="300">
        <f t="shared" si="8"/>
        <v>0</v>
      </c>
      <c r="DU54" s="301">
        <f>'[1]Альфаком-У-ТСЖ З-2'!K266</f>
        <v>0</v>
      </c>
      <c r="DV54" s="301">
        <f>'[1]Альфаком-У-ТСЖ З-2'!L266/1000</f>
        <v>0</v>
      </c>
      <c r="DW54" s="301">
        <f>'[1]Альфаком-У-ТСЖ З-2'!M266/1000</f>
        <v>0</v>
      </c>
      <c r="DX54" s="301">
        <f t="shared" si="9"/>
        <v>0</v>
      </c>
      <c r="EB54" s="301">
        <f t="shared" si="10"/>
        <v>0</v>
      </c>
      <c r="EF54" s="301">
        <f t="shared" si="11"/>
        <v>0</v>
      </c>
      <c r="EG54" s="301">
        <f>'[1]ООО ЦЭТ'!K433</f>
        <v>0</v>
      </c>
      <c r="EH54" s="301">
        <f>'[1]ООО ЦЭТ'!L433/1000</f>
        <v>0</v>
      </c>
      <c r="EI54" s="301">
        <f>'[1]ООО ЦЭТ'!M433/1000</f>
        <v>0</v>
      </c>
      <c r="EJ54" s="301">
        <f t="shared" si="12"/>
        <v>0</v>
      </c>
      <c r="EN54" s="301">
        <f t="shared" si="13"/>
        <v>0</v>
      </c>
      <c r="EO54" s="301">
        <f>'[2]ТСЖ Северный венец'!K420</f>
        <v>0</v>
      </c>
      <c r="EP54" s="301">
        <f>'[2]ТСЖ Северный венец'!L420/1000</f>
        <v>0</v>
      </c>
      <c r="EQ54" s="301">
        <f>'[2]ТСЖ Северный венец'!M420/1000</f>
        <v>0</v>
      </c>
      <c r="ER54" s="300">
        <f t="shared" si="14"/>
        <v>0</v>
      </c>
      <c r="ES54" s="301">
        <f>'[1]УК ЖКХ Симбирск'!K420</f>
        <v>0</v>
      </c>
      <c r="ET54" s="301">
        <f>'[1]УК ЖКХ Симбирск'!L420/1000</f>
        <v>0</v>
      </c>
      <c r="EU54" s="301">
        <f>'[1]УК ЖКХ Симбирск'!M420/1000</f>
        <v>0</v>
      </c>
      <c r="EV54" s="300">
        <f t="shared" si="15"/>
        <v>0</v>
      </c>
      <c r="EW54" s="301">
        <f>'[1]ООО Наш Дом 010212'!K286</f>
        <v>51</v>
      </c>
      <c r="EX54" s="301">
        <f>'[1]ООО Наш Дом 010212'!L286/1000</f>
        <v>9.5074199999999998</v>
      </c>
      <c r="EY54" s="301">
        <f>'[1]ООО Наш Дом 010212'!M286/1000</f>
        <v>9.5074199999999998</v>
      </c>
      <c r="EZ54" s="301">
        <f t="shared" si="16"/>
        <v>0</v>
      </c>
      <c r="FA54" s="301">
        <f>'[1]ООО Истоки+'!K266</f>
        <v>0</v>
      </c>
      <c r="FB54" s="301">
        <f>'[1]ООО Истоки+'!L266/1000</f>
        <v>0</v>
      </c>
      <c r="FC54" s="301">
        <f>'[1]ООО Истоки+'!M266/1000</f>
        <v>0</v>
      </c>
      <c r="FD54" s="301">
        <f t="shared" si="17"/>
        <v>0</v>
      </c>
      <c r="FE54" s="301">
        <f>'[1]ООО ЖКиСР УправДом'!K349</f>
        <v>0</v>
      </c>
      <c r="FF54" s="301">
        <f>'[1]ООО ЖКиСР УправДом'!L349/1000</f>
        <v>0</v>
      </c>
      <c r="FG54" s="301">
        <f>'[1]ООО ЖКиСР УправДом'!M349/1000</f>
        <v>0</v>
      </c>
      <c r="FH54" s="300">
        <f t="shared" si="18"/>
        <v>0</v>
      </c>
      <c r="FI54" s="301">
        <f>'[1]ТСЖ Малахит'!K107</f>
        <v>0</v>
      </c>
      <c r="FJ54" s="301">
        <f>'[1]ТСЖ Малахит'!L107/1000</f>
        <v>0</v>
      </c>
      <c r="FK54" s="301">
        <f>'[1]ТСЖ Малахит'!M107/1000</f>
        <v>0</v>
      </c>
      <c r="FL54" s="301">
        <f t="shared" si="19"/>
        <v>0</v>
      </c>
      <c r="FM54" s="301">
        <v>0</v>
      </c>
      <c r="FN54" s="301">
        <v>0</v>
      </c>
      <c r="FO54" s="301">
        <v>0</v>
      </c>
      <c r="FP54" s="301">
        <f t="shared" si="20"/>
        <v>0</v>
      </c>
      <c r="FQ54" s="301">
        <f>'[1]ООО ЖКХ Лен-го района'!K367</f>
        <v>167</v>
      </c>
      <c r="FR54" s="301">
        <f>'[1]ООО ЖКХ Лен-го района'!L367/1000</f>
        <v>8.0364400000000007</v>
      </c>
      <c r="FS54" s="301">
        <f>'[1]ООО ЖКХ Лен-го района'!M367/1000</f>
        <v>8.0364400000000007</v>
      </c>
      <c r="FT54" s="301">
        <f t="shared" si="21"/>
        <v>0</v>
      </c>
      <c r="FX54" s="301">
        <f t="shared" si="22"/>
        <v>0</v>
      </c>
      <c r="GB54" s="301">
        <f t="shared" si="23"/>
        <v>0</v>
      </c>
      <c r="GF54" s="301">
        <f t="shared" si="24"/>
        <v>0</v>
      </c>
      <c r="GJ54" s="301">
        <f t="shared" si="42"/>
        <v>0</v>
      </c>
      <c r="GN54" s="301">
        <f t="shared" si="43"/>
        <v>0</v>
      </c>
      <c r="GO54" s="301">
        <f>'[1]ООО УО Партнер'!K186</f>
        <v>150</v>
      </c>
      <c r="GP54" s="301">
        <f>'[1]ООО УО Партнер'!L186/1000</f>
        <v>6.1061600000000009</v>
      </c>
      <c r="GQ54" s="301">
        <f>'[1]ООО УО Партнер'!M186/1000</f>
        <v>6.1061600000000009</v>
      </c>
      <c r="GR54" s="301">
        <f t="shared" si="44"/>
        <v>0</v>
      </c>
      <c r="GV54" s="301">
        <f t="shared" si="45"/>
        <v>0</v>
      </c>
      <c r="GZ54" s="301">
        <f t="shared" si="46"/>
        <v>0</v>
      </c>
      <c r="HA54" s="328"/>
      <c r="HB54" s="305"/>
      <c r="HC54" s="305"/>
      <c r="HD54" s="305"/>
      <c r="HE54" s="305"/>
      <c r="HF54" s="305"/>
      <c r="HG54" s="305"/>
      <c r="HH54" s="305"/>
      <c r="HI54" s="305"/>
      <c r="HJ54" s="305"/>
      <c r="HK54" s="305"/>
      <c r="HL54" s="305"/>
      <c r="HM54" s="305"/>
      <c r="HN54" s="305"/>
      <c r="HO54" s="305"/>
      <c r="HP54" s="305"/>
      <c r="HQ54" s="305"/>
      <c r="HR54" s="305"/>
      <c r="HS54" s="306"/>
      <c r="HT54" s="306"/>
      <c r="HU54" s="306"/>
      <c r="HV54" s="306"/>
      <c r="HW54" s="305"/>
      <c r="HX54" s="305"/>
      <c r="HY54" s="305"/>
      <c r="HZ54" s="305"/>
      <c r="IA54" s="305"/>
      <c r="IB54" s="305"/>
      <c r="IC54" s="305"/>
      <c r="ID54" s="305"/>
      <c r="IE54" s="305"/>
      <c r="IF54" s="305"/>
      <c r="IG54" s="305"/>
      <c r="IH54" s="305"/>
      <c r="II54" s="305"/>
      <c r="IJ54" s="305"/>
      <c r="IK54" s="305"/>
      <c r="IL54" s="305"/>
      <c r="IM54" s="305"/>
      <c r="IN54" s="305"/>
      <c r="IO54" s="305"/>
      <c r="IP54" s="305"/>
      <c r="IQ54" s="305"/>
      <c r="IR54" s="305"/>
      <c r="IS54" s="305"/>
      <c r="IT54" s="305"/>
      <c r="IU54" s="305"/>
      <c r="IV54" s="305"/>
    </row>
    <row r="55" spans="1:256" s="305" customFormat="1" ht="13.5" hidden="1" customHeight="1">
      <c r="A55" s="368">
        <v>11</v>
      </c>
      <c r="B55" s="372" t="s">
        <v>227</v>
      </c>
      <c r="C55" s="365"/>
      <c r="D55" s="367" t="s">
        <v>162</v>
      </c>
      <c r="E55" s="301">
        <f>SUM(E56:E57)</f>
        <v>9847.794899999999</v>
      </c>
      <c r="F55" s="301">
        <f>SUM(F56:F57)</f>
        <v>137999.12642539994</v>
      </c>
      <c r="G55" s="301">
        <f>SUM(G56:G57)</f>
        <v>137999.12642539994</v>
      </c>
      <c r="H55" s="301">
        <f>L55+P55+T55+X55+AB55+AF55+AJ55+AN55+AR55+AV55+AZ55+BD55+BH55+BL55+BP55+BT55+BX55+CB55+CF55+CJ55+CN55+CR55+CV55+CZ55+DD55+DH55+DL55+DP55+DT55+DX55+EB55+EF55+EJ55+EN55+ER55+EV55+EZ55+FD55+FH55+FL55+FP55</f>
        <v>0</v>
      </c>
      <c r="I55" s="301">
        <f t="shared" ref="I55:AU55" si="56">I57+I56</f>
        <v>49.756989999999995</v>
      </c>
      <c r="J55" s="301">
        <f>J57+J56</f>
        <v>840.95021399999996</v>
      </c>
      <c r="K55" s="301">
        <f>K57+K56</f>
        <v>840.95021399999996</v>
      </c>
      <c r="L55" s="300">
        <f t="shared" si="25"/>
        <v>0</v>
      </c>
      <c r="M55" s="301">
        <f t="shared" si="56"/>
        <v>1.6079999999999999</v>
      </c>
      <c r="N55" s="301">
        <f t="shared" si="56"/>
        <v>37.218128800000009</v>
      </c>
      <c r="O55" s="301">
        <f t="shared" si="56"/>
        <v>37.218128800000009</v>
      </c>
      <c r="P55" s="301">
        <f t="shared" si="26"/>
        <v>0</v>
      </c>
      <c r="Q55" s="301">
        <f t="shared" si="56"/>
        <v>1292.5380299999999</v>
      </c>
      <c r="R55" s="301">
        <f t="shared" si="56"/>
        <v>17939.612807499998</v>
      </c>
      <c r="S55" s="301">
        <f t="shared" si="56"/>
        <v>17939.612807499998</v>
      </c>
      <c r="T55" s="301">
        <f t="shared" si="27"/>
        <v>0</v>
      </c>
      <c r="U55" s="301">
        <f t="shared" si="56"/>
        <v>714.53367999999989</v>
      </c>
      <c r="V55" s="301">
        <f t="shared" si="56"/>
        <v>13990.560278100002</v>
      </c>
      <c r="W55" s="301">
        <f t="shared" si="56"/>
        <v>13990.560278100002</v>
      </c>
      <c r="X55" s="301">
        <f t="shared" si="28"/>
        <v>0</v>
      </c>
      <c r="Y55" s="301">
        <f t="shared" si="56"/>
        <v>415.40178000000003</v>
      </c>
      <c r="Z55" s="301">
        <f t="shared" si="56"/>
        <v>2453.9581064999998</v>
      </c>
      <c r="AA55" s="301">
        <f t="shared" si="56"/>
        <v>2453.9581064999998</v>
      </c>
      <c r="AB55" s="301">
        <f t="shared" si="29"/>
        <v>0</v>
      </c>
      <c r="AC55" s="301">
        <f t="shared" si="56"/>
        <v>247.45010000000002</v>
      </c>
      <c r="AD55" s="301">
        <f t="shared" si="56"/>
        <v>1821.8421469999998</v>
      </c>
      <c r="AE55" s="301">
        <f t="shared" si="56"/>
        <v>1821.8421469999998</v>
      </c>
      <c r="AF55" s="300">
        <f t="shared" si="30"/>
        <v>0</v>
      </c>
      <c r="AG55" s="301">
        <f t="shared" si="56"/>
        <v>43.925539999999998</v>
      </c>
      <c r="AH55" s="301">
        <f t="shared" si="56"/>
        <v>240.62653149999997</v>
      </c>
      <c r="AI55" s="301">
        <f t="shared" si="56"/>
        <v>240.62653149999997</v>
      </c>
      <c r="AJ55" s="300">
        <f t="shared" si="31"/>
        <v>0</v>
      </c>
      <c r="AK55" s="301">
        <f t="shared" si="56"/>
        <v>422.75711999999999</v>
      </c>
      <c r="AL55" s="301">
        <f t="shared" si="56"/>
        <v>6750.6712525000003</v>
      </c>
      <c r="AM55" s="301">
        <f t="shared" si="56"/>
        <v>6750.6712525000003</v>
      </c>
      <c r="AN55" s="301">
        <f t="shared" si="32"/>
        <v>0</v>
      </c>
      <c r="AO55" s="301">
        <f t="shared" si="56"/>
        <v>1936.2528</v>
      </c>
      <c r="AP55" s="301">
        <f t="shared" si="56"/>
        <v>21017.724017599998</v>
      </c>
      <c r="AQ55" s="301">
        <f>AQ57+AQ56</f>
        <v>21017.724017599998</v>
      </c>
      <c r="AR55" s="300">
        <f t="shared" si="33"/>
        <v>0</v>
      </c>
      <c r="AS55" s="301">
        <f t="shared" si="56"/>
        <v>231.10322000000002</v>
      </c>
      <c r="AT55" s="301">
        <f t="shared" si="56"/>
        <v>465.75700560000007</v>
      </c>
      <c r="AU55" s="301">
        <f t="shared" si="56"/>
        <v>465.75700560000007</v>
      </c>
      <c r="AV55" s="301">
        <f t="shared" si="34"/>
        <v>0</v>
      </c>
      <c r="AW55" s="301">
        <f t="shared" ref="AW55:CA55" si="57">AW57+AW56</f>
        <v>42.779980000000002</v>
      </c>
      <c r="AX55" s="301">
        <f t="shared" si="57"/>
        <v>0</v>
      </c>
      <c r="AY55" s="301">
        <f t="shared" si="57"/>
        <v>0</v>
      </c>
      <c r="AZ55" s="301">
        <f t="shared" si="35"/>
        <v>0</v>
      </c>
      <c r="BA55" s="301">
        <f t="shared" si="57"/>
        <v>15.410689999999999</v>
      </c>
      <c r="BB55" s="301">
        <f t="shared" si="57"/>
        <v>1.6939404999999998</v>
      </c>
      <c r="BC55" s="301">
        <f t="shared" si="57"/>
        <v>1.6939404999999998</v>
      </c>
      <c r="BD55" s="301">
        <f t="shared" si="36"/>
        <v>0</v>
      </c>
      <c r="BE55" s="301">
        <f t="shared" si="57"/>
        <v>12.374739999999999</v>
      </c>
      <c r="BF55" s="301">
        <f t="shared" si="57"/>
        <v>64.933880500000001</v>
      </c>
      <c r="BG55" s="301">
        <f t="shared" si="57"/>
        <v>64.933880500000001</v>
      </c>
      <c r="BH55" s="301">
        <f t="shared" si="37"/>
        <v>0</v>
      </c>
      <c r="BI55" s="301">
        <f t="shared" si="57"/>
        <v>306.31046000000003</v>
      </c>
      <c r="BJ55" s="301">
        <f t="shared" si="57"/>
        <v>6226.3223788999994</v>
      </c>
      <c r="BK55" s="301">
        <f t="shared" si="57"/>
        <v>6226.3223788999994</v>
      </c>
      <c r="BL55" s="301">
        <f t="shared" si="38"/>
        <v>0</v>
      </c>
      <c r="BM55" s="301">
        <f t="shared" si="57"/>
        <v>52.485260000000004</v>
      </c>
      <c r="BN55" s="301">
        <f t="shared" si="57"/>
        <v>1101.7788329</v>
      </c>
      <c r="BO55" s="301">
        <f t="shared" si="57"/>
        <v>1101.7788329</v>
      </c>
      <c r="BP55" s="301">
        <f t="shared" si="52"/>
        <v>0</v>
      </c>
      <c r="BQ55" s="301">
        <f t="shared" si="57"/>
        <v>51.724440000000001</v>
      </c>
      <c r="BR55" s="301">
        <f t="shared" si="57"/>
        <v>1051.5096727</v>
      </c>
      <c r="BS55" s="301">
        <f t="shared" si="57"/>
        <v>1051.5096727</v>
      </c>
      <c r="BT55" s="301">
        <f t="shared" si="39"/>
        <v>0</v>
      </c>
      <c r="BU55" s="301">
        <f t="shared" si="57"/>
        <v>877.6157599999998</v>
      </c>
      <c r="BV55" s="301">
        <f t="shared" si="57"/>
        <v>19435.773613099998</v>
      </c>
      <c r="BW55" s="301">
        <f t="shared" si="57"/>
        <v>19435.773613099998</v>
      </c>
      <c r="BX55" s="301">
        <f t="shared" si="40"/>
        <v>0</v>
      </c>
      <c r="BY55" s="301">
        <f t="shared" si="57"/>
        <v>1101.3656800000001</v>
      </c>
      <c r="BZ55" s="301">
        <f t="shared" si="57"/>
        <v>22158.105281199998</v>
      </c>
      <c r="CA55" s="301">
        <f t="shared" si="57"/>
        <v>22158.105281199998</v>
      </c>
      <c r="CB55" s="301">
        <f t="shared" si="41"/>
        <v>0</v>
      </c>
      <c r="CC55" s="301">
        <f>CC57+CC56</f>
        <v>9.7036899999999999</v>
      </c>
      <c r="CD55" s="301">
        <f>CD57+CD56</f>
        <v>0</v>
      </c>
      <c r="CE55" s="301">
        <f>CE57+CE56</f>
        <v>0</v>
      </c>
      <c r="CF55" s="300">
        <f t="shared" si="49"/>
        <v>0</v>
      </c>
      <c r="CG55" s="301">
        <f>CG57+CG56</f>
        <v>1100.34816</v>
      </c>
      <c r="CH55" s="301">
        <f>CH57+CH56</f>
        <v>9732.2548312999988</v>
      </c>
      <c r="CI55" s="301">
        <f>CI57+CI56</f>
        <v>9732.2548312999988</v>
      </c>
      <c r="CJ55" s="301">
        <f t="shared" si="0"/>
        <v>0</v>
      </c>
      <c r="CK55" s="301">
        <f>CK57+CK56</f>
        <v>52.980319999999999</v>
      </c>
      <c r="CL55" s="301">
        <f>CL57+CL56</f>
        <v>137.8835856</v>
      </c>
      <c r="CM55" s="301">
        <f>CM57+CM56</f>
        <v>137.8835856</v>
      </c>
      <c r="CN55" s="301">
        <f t="shared" si="1"/>
        <v>0</v>
      </c>
      <c r="CO55" s="301">
        <f>CO57+CO56</f>
        <v>17.689039999999999</v>
      </c>
      <c r="CP55" s="301">
        <f>CP57+CP56</f>
        <v>320.07117240000002</v>
      </c>
      <c r="CQ55" s="301">
        <f>CQ57+CQ56</f>
        <v>320.07117240000002</v>
      </c>
      <c r="CR55" s="301">
        <f t="shared" si="2"/>
        <v>0</v>
      </c>
      <c r="CS55" s="301">
        <f>CS57+CS56</f>
        <v>8.3820800000000002</v>
      </c>
      <c r="CT55" s="301">
        <f>CT57+CT56</f>
        <v>189.2587316</v>
      </c>
      <c r="CU55" s="301">
        <f>CU57+CU56</f>
        <v>189.2587316</v>
      </c>
      <c r="CV55" s="301">
        <f t="shared" si="3"/>
        <v>0</v>
      </c>
      <c r="CW55" s="301">
        <f>CW57+CW56</f>
        <v>34.561280000000004</v>
      </c>
      <c r="CX55" s="301">
        <f>CX57+CX56</f>
        <v>649.20492139999988</v>
      </c>
      <c r="CY55" s="301">
        <f>CY57+CY56</f>
        <v>649.20492139999988</v>
      </c>
      <c r="CZ55" s="301">
        <f t="shared" si="4"/>
        <v>0</v>
      </c>
      <c r="DA55" s="301">
        <f>DA57+DA56</f>
        <v>18.94933</v>
      </c>
      <c r="DB55" s="301">
        <f>DB57+DB56</f>
        <v>282.30936689999999</v>
      </c>
      <c r="DC55" s="301">
        <f>DC57+DC56</f>
        <v>282.30936689999999</v>
      </c>
      <c r="DD55" s="300">
        <f t="shared" si="5"/>
        <v>0</v>
      </c>
      <c r="DE55" s="301">
        <f>DE57+DE56</f>
        <v>31.089820000000003</v>
      </c>
      <c r="DF55" s="301">
        <f>DF57+DF56</f>
        <v>575.0416727999999</v>
      </c>
      <c r="DG55" s="301">
        <f>DG57+DG56</f>
        <v>575.0416727999999</v>
      </c>
      <c r="DH55" s="301">
        <f t="shared" si="6"/>
        <v>0</v>
      </c>
      <c r="DI55" s="301">
        <f>DI57+DI56</f>
        <v>22.186580000000003</v>
      </c>
      <c r="DJ55" s="301">
        <f>DJ57+DJ56</f>
        <v>0</v>
      </c>
      <c r="DK55" s="301">
        <f>DK57+DK56</f>
        <v>0</v>
      </c>
      <c r="DL55" s="301">
        <f t="shared" si="50"/>
        <v>0</v>
      </c>
      <c r="DM55" s="301">
        <f>DM57+DM56</f>
        <v>267.78390999999999</v>
      </c>
      <c r="DN55" s="301">
        <f>DN57+DN56</f>
        <v>5142.7447715999997</v>
      </c>
      <c r="DO55" s="301">
        <f>DO57+DO56</f>
        <v>5142.7447715999997</v>
      </c>
      <c r="DP55" s="301">
        <f t="shared" si="7"/>
        <v>0</v>
      </c>
      <c r="DQ55" s="301">
        <f>DQ57+DQ56</f>
        <v>0</v>
      </c>
      <c r="DR55" s="301">
        <f>DR57+DR56</f>
        <v>0</v>
      </c>
      <c r="DS55" s="301">
        <f>DS57+DS56</f>
        <v>0</v>
      </c>
      <c r="DT55" s="300">
        <f t="shared" si="8"/>
        <v>0</v>
      </c>
      <c r="DU55" s="301">
        <f>DU57+DU56</f>
        <v>54.455590000000001</v>
      </c>
      <c r="DV55" s="301">
        <f>DV57+DV56</f>
        <v>1006.4711232</v>
      </c>
      <c r="DW55" s="301">
        <f>DW57+DW56</f>
        <v>1006.4711232</v>
      </c>
      <c r="DX55" s="301">
        <f t="shared" si="9"/>
        <v>0</v>
      </c>
      <c r="DY55" s="301">
        <f>DY57+DY56</f>
        <v>13.18249</v>
      </c>
      <c r="DZ55" s="301">
        <f>DZ57+DZ56</f>
        <v>78.78026650000001</v>
      </c>
      <c r="EA55" s="301">
        <f>EA57+EA56</f>
        <v>78.78026650000001</v>
      </c>
      <c r="EB55" s="301">
        <f t="shared" si="10"/>
        <v>0</v>
      </c>
      <c r="EC55" s="301">
        <f>EC57+EC56</f>
        <v>3.8118099999999999</v>
      </c>
      <c r="ED55" s="301">
        <f>ED57+ED56</f>
        <v>72.233799499999989</v>
      </c>
      <c r="EE55" s="301">
        <f>EE57+EE56</f>
        <v>72.233799499999989</v>
      </c>
      <c r="EF55" s="301">
        <f t="shared" si="11"/>
        <v>0</v>
      </c>
      <c r="EG55" s="301">
        <f>EG57+EG56</f>
        <v>177.61729</v>
      </c>
      <c r="EH55" s="301">
        <f>EH57+EH56</f>
        <v>3049.4713197999999</v>
      </c>
      <c r="EI55" s="301">
        <f>EI57+EI56</f>
        <v>3049.4713197999999</v>
      </c>
      <c r="EJ55" s="301">
        <f t="shared" si="12"/>
        <v>0</v>
      </c>
      <c r="EK55" s="301">
        <f>EK57+EK56</f>
        <v>0.25645999999999997</v>
      </c>
      <c r="EL55" s="301">
        <f>EL57+EL56</f>
        <v>5.3548847999999989</v>
      </c>
      <c r="EM55" s="301">
        <f>EM57+EM56</f>
        <v>5.3548847999999989</v>
      </c>
      <c r="EN55" s="301">
        <f t="shared" si="13"/>
        <v>0</v>
      </c>
      <c r="EO55" s="301">
        <f>EO57+EO56</f>
        <v>16.676379999999998</v>
      </c>
      <c r="EP55" s="301">
        <f>EP57+EP56</f>
        <v>313.64673139999996</v>
      </c>
      <c r="EQ55" s="301">
        <f>EQ57+EQ56</f>
        <v>313.64673139999996</v>
      </c>
      <c r="ER55" s="300">
        <f t="shared" si="14"/>
        <v>0</v>
      </c>
      <c r="ES55" s="301">
        <f>ES57+ES56</f>
        <v>7.5317399999999992</v>
      </c>
      <c r="ET55" s="301">
        <f>ET57+ET56</f>
        <v>115.88346730000001</v>
      </c>
      <c r="EU55" s="301">
        <f>EU57+EU56</f>
        <v>115.88346730000001</v>
      </c>
      <c r="EV55" s="300">
        <f t="shared" si="15"/>
        <v>0</v>
      </c>
      <c r="EW55" s="301">
        <f>EW57+EW56</f>
        <v>0</v>
      </c>
      <c r="EX55" s="301">
        <f>EX57+EX56</f>
        <v>0</v>
      </c>
      <c r="EY55" s="301">
        <f>EY57+EY56</f>
        <v>0</v>
      </c>
      <c r="EZ55" s="301">
        <f t="shared" si="16"/>
        <v>0</v>
      </c>
      <c r="FA55" s="301">
        <f>FA57+FA56</f>
        <v>56.711769999999994</v>
      </c>
      <c r="FB55" s="301">
        <f>FB57+FB56</f>
        <v>74.538941600000001</v>
      </c>
      <c r="FC55" s="301">
        <f>FC57+FC56</f>
        <v>74.538941600000001</v>
      </c>
      <c r="FD55" s="301">
        <f t="shared" si="17"/>
        <v>0</v>
      </c>
      <c r="FE55" s="301">
        <f>FE57+FE56</f>
        <v>23.88411</v>
      </c>
      <c r="FF55" s="301">
        <f>FF57+FF56</f>
        <v>45.318023800000006</v>
      </c>
      <c r="FG55" s="301">
        <f>FG57+FG56</f>
        <v>45.318023800000006</v>
      </c>
      <c r="FH55" s="300">
        <f t="shared" si="18"/>
        <v>0</v>
      </c>
      <c r="FI55" s="301">
        <f>FI57+FI56</f>
        <v>6.0359900000000009</v>
      </c>
      <c r="FJ55" s="301">
        <f>FJ57+FJ56</f>
        <v>1.3065775000000002</v>
      </c>
      <c r="FK55" s="301">
        <f>FK57+FK56</f>
        <v>1.3065775000000002</v>
      </c>
      <c r="FL55" s="301">
        <f t="shared" si="19"/>
        <v>0</v>
      </c>
      <c r="FM55" s="301">
        <f>FM57+FM56</f>
        <v>0</v>
      </c>
      <c r="FN55" s="301">
        <f>FN57+FN56</f>
        <v>0</v>
      </c>
      <c r="FO55" s="301">
        <f>FO57+FO56</f>
        <v>0</v>
      </c>
      <c r="FP55" s="301">
        <f t="shared" si="20"/>
        <v>0</v>
      </c>
      <c r="FQ55" s="301">
        <f>FQ57+FQ56</f>
        <v>15.321149999999998</v>
      </c>
      <c r="FR55" s="301">
        <f>FR57+FR56</f>
        <v>298.14977449999998</v>
      </c>
      <c r="FS55" s="301">
        <f>FS57+FS56</f>
        <v>298.14977449999998</v>
      </c>
      <c r="FT55" s="301">
        <f t="shared" si="21"/>
        <v>0</v>
      </c>
      <c r="FU55" s="301">
        <f>FU57+FU56</f>
        <v>51.670549999999992</v>
      </c>
      <c r="FV55" s="301">
        <f>FV57+FV56</f>
        <v>0</v>
      </c>
      <c r="FW55" s="301">
        <f>FW57+FW56</f>
        <v>0</v>
      </c>
      <c r="FX55" s="301">
        <f t="shared" si="22"/>
        <v>0</v>
      </c>
      <c r="FY55" s="301"/>
      <c r="FZ55" s="301"/>
      <c r="GA55" s="301"/>
      <c r="GB55" s="301">
        <f t="shared" si="23"/>
        <v>0</v>
      </c>
      <c r="GC55" s="301">
        <f>GC57+GC56</f>
        <v>9.4540199999999999</v>
      </c>
      <c r="GD55" s="301">
        <f>GD57+GD56</f>
        <v>197.39993760000002</v>
      </c>
      <c r="GE55" s="301">
        <f>GE57+GE56</f>
        <v>197.39993760000002</v>
      </c>
      <c r="GF55" s="301">
        <f t="shared" si="24"/>
        <v>0</v>
      </c>
      <c r="GG55" s="301">
        <f>GG57+GG56</f>
        <v>0</v>
      </c>
      <c r="GH55" s="301">
        <f>GH57+GH56</f>
        <v>0</v>
      </c>
      <c r="GI55" s="301">
        <f>GI57+GI56</f>
        <v>0</v>
      </c>
      <c r="GJ55" s="301">
        <f t="shared" si="42"/>
        <v>0</v>
      </c>
      <c r="GK55" s="301">
        <f>GK57+GK56</f>
        <v>0</v>
      </c>
      <c r="GL55" s="301">
        <f>GL57+GL56</f>
        <v>0</v>
      </c>
      <c r="GM55" s="301">
        <f>GM57+GM56</f>
        <v>0</v>
      </c>
      <c r="GN55" s="301">
        <f t="shared" si="43"/>
        <v>0</v>
      </c>
      <c r="GO55" s="301">
        <f>GO57+GO56</f>
        <v>11.482099999999999</v>
      </c>
      <c r="GP55" s="301">
        <f>GP57+GP56</f>
        <v>112.76443540000001</v>
      </c>
      <c r="GQ55" s="301">
        <f>GQ57+GQ56</f>
        <v>112.76443540000001</v>
      </c>
      <c r="GR55" s="301">
        <f t="shared" si="44"/>
        <v>0</v>
      </c>
      <c r="GS55" s="301">
        <f>GS57+GS56</f>
        <v>13.1511</v>
      </c>
      <c r="GT55" s="301">
        <f>GT57+GT56</f>
        <v>0</v>
      </c>
      <c r="GU55" s="301">
        <f>GU57+GU56</f>
        <v>0</v>
      </c>
      <c r="GV55" s="301">
        <f t="shared" si="45"/>
        <v>0</v>
      </c>
      <c r="GW55" s="301">
        <f>GW57+GW56</f>
        <v>0</v>
      </c>
      <c r="GX55" s="301">
        <f>GX57+GX56</f>
        <v>0</v>
      </c>
      <c r="GY55" s="301">
        <f>GY57+GY56</f>
        <v>0</v>
      </c>
      <c r="GZ55" s="301">
        <f t="shared" si="46"/>
        <v>0</v>
      </c>
      <c r="HA55" s="328"/>
      <c r="HS55" s="306"/>
      <c r="HT55" s="306"/>
      <c r="HU55" s="306"/>
      <c r="HV55" s="306"/>
    </row>
    <row r="56" spans="1:256" s="376" customFormat="1" ht="13.5" hidden="1" customHeight="1">
      <c r="A56" s="912"/>
      <c r="B56" s="373"/>
      <c r="C56" s="374" t="s">
        <v>228</v>
      </c>
      <c r="D56" s="375" t="s">
        <v>162</v>
      </c>
      <c r="E56" s="320">
        <f>E59+E62+E65+E68+E71+E74+E77+E80+E83+E86+E89+E92+E95</f>
        <v>7578.7688299999982</v>
      </c>
      <c r="F56" s="320">
        <f>F59+F62+F65+F68+F71+F74+F77+F80+F83+F86+F89+F92+F95</f>
        <v>137999.12642539994</v>
      </c>
      <c r="G56" s="320">
        <f>G59+G62+G65+G68+G71+G74+G77+G80+G83+G86+G89+G92+G95</f>
        <v>137999.12642539994</v>
      </c>
      <c r="H56" s="320">
        <f>H59+H62+H65+H68+H71+H74+H77+H80+H83+H86+H89+H92+H95</f>
        <v>0</v>
      </c>
      <c r="I56" s="320">
        <f t="shared" ref="I56:BS56" si="58">I59+I62+I65+I68+I71+I74+I77+I80+I83+I86+I89+I92+I95</f>
        <v>44.377319999999997</v>
      </c>
      <c r="J56" s="320">
        <f t="shared" si="58"/>
        <v>840.95021399999996</v>
      </c>
      <c r="K56" s="320">
        <f t="shared" si="58"/>
        <v>840.95021399999996</v>
      </c>
      <c r="L56" s="320">
        <f t="shared" si="58"/>
        <v>0</v>
      </c>
      <c r="M56" s="320">
        <f t="shared" si="58"/>
        <v>1.6079999999999999</v>
      </c>
      <c r="N56" s="320">
        <f t="shared" si="58"/>
        <v>37.218128800000009</v>
      </c>
      <c r="O56" s="320">
        <f t="shared" si="58"/>
        <v>37.218128800000009</v>
      </c>
      <c r="P56" s="320">
        <f t="shared" si="26"/>
        <v>0</v>
      </c>
      <c r="Q56" s="320">
        <f t="shared" si="58"/>
        <v>1103.9456599999999</v>
      </c>
      <c r="R56" s="320">
        <f t="shared" si="58"/>
        <v>17939.612807499998</v>
      </c>
      <c r="S56" s="320">
        <f t="shared" si="58"/>
        <v>17939.612807499998</v>
      </c>
      <c r="T56" s="320">
        <f t="shared" si="27"/>
        <v>0</v>
      </c>
      <c r="U56" s="320">
        <f t="shared" si="58"/>
        <v>671.35751999999991</v>
      </c>
      <c r="V56" s="320">
        <f t="shared" si="58"/>
        <v>13990.560278100002</v>
      </c>
      <c r="W56" s="320">
        <f t="shared" si="58"/>
        <v>13990.560278100002</v>
      </c>
      <c r="X56" s="320">
        <f t="shared" si="28"/>
        <v>0</v>
      </c>
      <c r="Y56" s="320">
        <f t="shared" si="58"/>
        <v>129.49647000000002</v>
      </c>
      <c r="Z56" s="320">
        <f t="shared" si="58"/>
        <v>2453.9581064999998</v>
      </c>
      <c r="AA56" s="320">
        <f t="shared" si="58"/>
        <v>2453.9581064999998</v>
      </c>
      <c r="AB56" s="320">
        <f t="shared" si="29"/>
        <v>0</v>
      </c>
      <c r="AC56" s="320">
        <f t="shared" si="58"/>
        <v>95.491060000000004</v>
      </c>
      <c r="AD56" s="320">
        <f t="shared" si="58"/>
        <v>1821.8421469999998</v>
      </c>
      <c r="AE56" s="320">
        <f t="shared" si="58"/>
        <v>1821.8421469999998</v>
      </c>
      <c r="AF56" s="319">
        <f t="shared" si="30"/>
        <v>0</v>
      </c>
      <c r="AG56" s="320">
        <f t="shared" si="58"/>
        <v>12.69797</v>
      </c>
      <c r="AH56" s="320">
        <f t="shared" si="58"/>
        <v>240.62653149999997</v>
      </c>
      <c r="AI56" s="320">
        <f t="shared" si="58"/>
        <v>240.62653149999997</v>
      </c>
      <c r="AJ56" s="319">
        <f t="shared" si="31"/>
        <v>0</v>
      </c>
      <c r="AK56" s="320">
        <f t="shared" si="58"/>
        <v>356.23595</v>
      </c>
      <c r="AL56" s="320">
        <f t="shared" si="58"/>
        <v>6750.6712525000003</v>
      </c>
      <c r="AM56" s="320">
        <f t="shared" si="58"/>
        <v>6750.6712525000003</v>
      </c>
      <c r="AN56" s="320">
        <f t="shared" si="32"/>
        <v>0</v>
      </c>
      <c r="AO56" s="320">
        <f t="shared" si="58"/>
        <v>1708.58997</v>
      </c>
      <c r="AP56" s="320">
        <f t="shared" si="58"/>
        <v>21017.724017599998</v>
      </c>
      <c r="AQ56" s="320">
        <f t="shared" si="58"/>
        <v>21017.724017599998</v>
      </c>
      <c r="AR56" s="319">
        <f t="shared" si="33"/>
        <v>0</v>
      </c>
      <c r="AS56" s="320">
        <f t="shared" si="58"/>
        <v>22.306370000000005</v>
      </c>
      <c r="AT56" s="320">
        <f t="shared" si="58"/>
        <v>465.75700560000007</v>
      </c>
      <c r="AU56" s="320">
        <f t="shared" si="58"/>
        <v>465.75700560000007</v>
      </c>
      <c r="AV56" s="320">
        <f t="shared" si="34"/>
        <v>0</v>
      </c>
      <c r="AW56" s="320">
        <f t="shared" si="58"/>
        <v>0</v>
      </c>
      <c r="AX56" s="320">
        <f t="shared" si="58"/>
        <v>0</v>
      </c>
      <c r="AY56" s="320">
        <f t="shared" si="58"/>
        <v>0</v>
      </c>
      <c r="AZ56" s="320">
        <f t="shared" si="35"/>
        <v>0</v>
      </c>
      <c r="BA56" s="320">
        <f t="shared" si="58"/>
        <v>8.9389999999999997E-2</v>
      </c>
      <c r="BB56" s="320">
        <f t="shared" si="58"/>
        <v>1.6939404999999998</v>
      </c>
      <c r="BC56" s="320">
        <f t="shared" si="58"/>
        <v>1.6939404999999998</v>
      </c>
      <c r="BD56" s="320">
        <f t="shared" si="36"/>
        <v>0</v>
      </c>
      <c r="BE56" s="320">
        <f t="shared" si="58"/>
        <v>3.42659</v>
      </c>
      <c r="BF56" s="320">
        <f t="shared" si="58"/>
        <v>64.933880500000001</v>
      </c>
      <c r="BG56" s="320">
        <f t="shared" si="58"/>
        <v>64.933880500000001</v>
      </c>
      <c r="BH56" s="320">
        <f t="shared" si="37"/>
        <v>0</v>
      </c>
      <c r="BI56" s="320">
        <f t="shared" si="58"/>
        <v>304.33080000000001</v>
      </c>
      <c r="BJ56" s="320">
        <f t="shared" si="58"/>
        <v>6226.3223788999994</v>
      </c>
      <c r="BK56" s="320">
        <f t="shared" si="58"/>
        <v>6226.3223788999994</v>
      </c>
      <c r="BL56" s="320">
        <f t="shared" si="38"/>
        <v>0</v>
      </c>
      <c r="BM56" s="320">
        <f t="shared" si="58"/>
        <v>50.929900000000004</v>
      </c>
      <c r="BN56" s="320">
        <f t="shared" si="58"/>
        <v>1101.7788329</v>
      </c>
      <c r="BO56" s="320">
        <f t="shared" si="58"/>
        <v>1101.7788329</v>
      </c>
      <c r="BP56" s="320">
        <f t="shared" si="52"/>
        <v>0</v>
      </c>
      <c r="BQ56" s="320">
        <f t="shared" si="58"/>
        <v>50.181870000000004</v>
      </c>
      <c r="BR56" s="320">
        <f t="shared" si="58"/>
        <v>1051.5096727</v>
      </c>
      <c r="BS56" s="320">
        <f t="shared" si="58"/>
        <v>1051.5096727</v>
      </c>
      <c r="BT56" s="320">
        <f t="shared" si="39"/>
        <v>0</v>
      </c>
      <c r="BU56" s="320">
        <f t="shared" ref="BU56:EE56" si="59">BU59+BU62+BU65+BU68+BU71+BU74+BU77+BU80+BU83+BU86+BU89+BU92+BU95</f>
        <v>877.09057999999982</v>
      </c>
      <c r="BV56" s="320">
        <f t="shared" si="59"/>
        <v>19435.773613099998</v>
      </c>
      <c r="BW56" s="320">
        <f t="shared" si="59"/>
        <v>19435.773613099998</v>
      </c>
      <c r="BX56" s="301">
        <f t="shared" si="40"/>
        <v>0</v>
      </c>
      <c r="BY56" s="320">
        <f t="shared" si="59"/>
        <v>1004.8043200000001</v>
      </c>
      <c r="BZ56" s="320">
        <f t="shared" si="59"/>
        <v>22158.105281199998</v>
      </c>
      <c r="CA56" s="320">
        <f t="shared" si="59"/>
        <v>22158.105281199998</v>
      </c>
      <c r="CB56" s="301">
        <f t="shared" si="41"/>
        <v>0</v>
      </c>
      <c r="CC56" s="320">
        <f t="shared" si="59"/>
        <v>0</v>
      </c>
      <c r="CD56" s="320">
        <f t="shared" si="59"/>
        <v>0</v>
      </c>
      <c r="CE56" s="320">
        <f t="shared" si="59"/>
        <v>0</v>
      </c>
      <c r="CF56" s="319">
        <f t="shared" si="49"/>
        <v>0</v>
      </c>
      <c r="CG56" s="320">
        <f>CG59+CG62+CG65+CG68+CG71+CG74+CG77+CG80+CG83+CG86+CG89+CG92+CG95</f>
        <v>513.57778999999994</v>
      </c>
      <c r="CH56" s="320">
        <f t="shared" si="59"/>
        <v>9732.2548312999988</v>
      </c>
      <c r="CI56" s="320">
        <f t="shared" si="59"/>
        <v>9732.2548312999988</v>
      </c>
      <c r="CJ56" s="320">
        <f t="shared" si="0"/>
        <v>0</v>
      </c>
      <c r="CK56" s="320">
        <f t="shared" si="59"/>
        <v>6.6036200000000003</v>
      </c>
      <c r="CL56" s="320">
        <f t="shared" si="59"/>
        <v>137.8835856</v>
      </c>
      <c r="CM56" s="320">
        <f t="shared" si="59"/>
        <v>137.8835856</v>
      </c>
      <c r="CN56" s="320">
        <f t="shared" si="1"/>
        <v>0</v>
      </c>
      <c r="CO56" s="320">
        <f t="shared" si="59"/>
        <v>14.089299999999998</v>
      </c>
      <c r="CP56" s="320">
        <f t="shared" si="59"/>
        <v>320.07117240000002</v>
      </c>
      <c r="CQ56" s="320">
        <f t="shared" si="59"/>
        <v>320.07117240000002</v>
      </c>
      <c r="CR56" s="320">
        <f t="shared" si="2"/>
        <v>0</v>
      </c>
      <c r="CS56" s="320">
        <f t="shared" si="59"/>
        <v>8.31541</v>
      </c>
      <c r="CT56" s="320">
        <f t="shared" si="59"/>
        <v>189.2587316</v>
      </c>
      <c r="CU56" s="320">
        <f t="shared" si="59"/>
        <v>189.2587316</v>
      </c>
      <c r="CV56" s="320">
        <f t="shared" si="3"/>
        <v>0</v>
      </c>
      <c r="CW56" s="320">
        <f t="shared" si="59"/>
        <v>30.916090000000001</v>
      </c>
      <c r="CX56" s="320">
        <f t="shared" si="59"/>
        <v>649.20492139999988</v>
      </c>
      <c r="CY56" s="320">
        <f t="shared" si="59"/>
        <v>649.20492139999988</v>
      </c>
      <c r="CZ56" s="320">
        <f t="shared" si="4"/>
        <v>0</v>
      </c>
      <c r="DA56" s="320">
        <f t="shared" si="59"/>
        <v>17.788869999999999</v>
      </c>
      <c r="DB56" s="320">
        <f t="shared" si="59"/>
        <v>282.30936689999999</v>
      </c>
      <c r="DC56" s="320">
        <f t="shared" si="59"/>
        <v>282.30936689999999</v>
      </c>
      <c r="DD56" s="319">
        <f t="shared" si="5"/>
        <v>0</v>
      </c>
      <c r="DE56" s="320">
        <f t="shared" si="59"/>
        <v>27.540310000000002</v>
      </c>
      <c r="DF56" s="320">
        <f t="shared" si="59"/>
        <v>575.0416727999999</v>
      </c>
      <c r="DG56" s="320">
        <f t="shared" si="59"/>
        <v>575.0416727999999</v>
      </c>
      <c r="DH56" s="320">
        <f t="shared" si="6"/>
        <v>0</v>
      </c>
      <c r="DI56" s="320">
        <f t="shared" si="59"/>
        <v>22.186580000000003</v>
      </c>
      <c r="DJ56" s="320">
        <f t="shared" si="59"/>
        <v>0</v>
      </c>
      <c r="DK56" s="320">
        <f t="shared" si="59"/>
        <v>0</v>
      </c>
      <c r="DL56" s="320">
        <f t="shared" si="50"/>
        <v>0</v>
      </c>
      <c r="DM56" s="320">
        <f t="shared" si="59"/>
        <v>245.34861999999998</v>
      </c>
      <c r="DN56" s="320">
        <f t="shared" si="59"/>
        <v>5142.7447715999997</v>
      </c>
      <c r="DO56" s="320">
        <f t="shared" si="59"/>
        <v>5142.7447715999997</v>
      </c>
      <c r="DP56" s="320">
        <f t="shared" si="7"/>
        <v>0</v>
      </c>
      <c r="DQ56" s="320">
        <f t="shared" si="59"/>
        <v>0</v>
      </c>
      <c r="DR56" s="320">
        <f t="shared" si="59"/>
        <v>0</v>
      </c>
      <c r="DS56" s="320">
        <f t="shared" si="59"/>
        <v>0</v>
      </c>
      <c r="DT56" s="319">
        <f t="shared" si="8"/>
        <v>0</v>
      </c>
      <c r="DU56" s="320">
        <f t="shared" si="59"/>
        <v>48.202640000000002</v>
      </c>
      <c r="DV56" s="320">
        <f t="shared" si="59"/>
        <v>1006.4711232</v>
      </c>
      <c r="DW56" s="320">
        <f t="shared" si="59"/>
        <v>1006.4711232</v>
      </c>
      <c r="DX56" s="320">
        <f t="shared" si="9"/>
        <v>0</v>
      </c>
      <c r="DY56" s="320">
        <f t="shared" si="59"/>
        <v>4.1572700000000005</v>
      </c>
      <c r="DZ56" s="320">
        <f t="shared" si="59"/>
        <v>78.78026650000001</v>
      </c>
      <c r="EA56" s="320">
        <f t="shared" si="59"/>
        <v>78.78026650000001</v>
      </c>
      <c r="EB56" s="320">
        <f t="shared" si="10"/>
        <v>0</v>
      </c>
      <c r="EC56" s="320">
        <f t="shared" si="59"/>
        <v>3.8118099999999999</v>
      </c>
      <c r="ED56" s="320">
        <f t="shared" si="59"/>
        <v>72.233799499999989</v>
      </c>
      <c r="EE56" s="320">
        <f t="shared" si="59"/>
        <v>72.233799499999989</v>
      </c>
      <c r="EF56" s="301">
        <f t="shared" si="11"/>
        <v>0</v>
      </c>
      <c r="EG56" s="320">
        <f t="shared" ref="EG56:GA56" si="60">EG59+EG62+EG65+EG68+EG71+EG74+EG77+EG80+EG83+EG86+EG89+EG92+EG95</f>
        <v>144.59348</v>
      </c>
      <c r="EH56" s="320">
        <f t="shared" si="60"/>
        <v>3049.4713197999999</v>
      </c>
      <c r="EI56" s="320">
        <f t="shared" si="60"/>
        <v>3049.4713197999999</v>
      </c>
      <c r="EJ56" s="320">
        <f t="shared" si="12"/>
        <v>0</v>
      </c>
      <c r="EK56" s="320">
        <f t="shared" si="60"/>
        <v>0.25645999999999997</v>
      </c>
      <c r="EL56" s="320">
        <f t="shared" si="60"/>
        <v>5.3548847999999989</v>
      </c>
      <c r="EM56" s="320">
        <f t="shared" si="60"/>
        <v>5.3548847999999989</v>
      </c>
      <c r="EN56" s="320">
        <f t="shared" si="13"/>
        <v>0</v>
      </c>
      <c r="EO56" s="320">
        <f t="shared" si="60"/>
        <v>14.594749999999999</v>
      </c>
      <c r="EP56" s="320">
        <f t="shared" si="60"/>
        <v>313.64673139999996</v>
      </c>
      <c r="EQ56" s="320">
        <f t="shared" si="60"/>
        <v>313.64673139999996</v>
      </c>
      <c r="ER56" s="319">
        <f t="shared" si="14"/>
        <v>0</v>
      </c>
      <c r="ES56" s="320">
        <f t="shared" si="60"/>
        <v>5.0785599999999995</v>
      </c>
      <c r="ET56" s="320">
        <f t="shared" si="60"/>
        <v>115.88346730000001</v>
      </c>
      <c r="EU56" s="320">
        <f t="shared" si="60"/>
        <v>115.88346730000001</v>
      </c>
      <c r="EV56" s="319">
        <f t="shared" si="15"/>
        <v>0</v>
      </c>
      <c r="EW56" s="320">
        <f t="shared" si="60"/>
        <v>0</v>
      </c>
      <c r="EX56" s="320">
        <f t="shared" si="60"/>
        <v>0</v>
      </c>
      <c r="EY56" s="320">
        <f t="shared" si="60"/>
        <v>0</v>
      </c>
      <c r="EZ56" s="320">
        <f t="shared" si="16"/>
        <v>0</v>
      </c>
      <c r="FA56" s="320">
        <f t="shared" si="60"/>
        <v>3.5714700000000001</v>
      </c>
      <c r="FB56" s="320">
        <f t="shared" si="60"/>
        <v>74.538941600000001</v>
      </c>
      <c r="FC56" s="320">
        <f t="shared" si="60"/>
        <v>74.538941600000001</v>
      </c>
      <c r="FD56" s="320">
        <f t="shared" si="17"/>
        <v>0</v>
      </c>
      <c r="FE56" s="320">
        <f t="shared" si="60"/>
        <v>1.93957</v>
      </c>
      <c r="FF56" s="320">
        <f t="shared" si="60"/>
        <v>45.318023800000006</v>
      </c>
      <c r="FG56" s="320">
        <f t="shared" si="60"/>
        <v>45.318023800000006</v>
      </c>
      <c r="FH56" s="319">
        <f t="shared" si="18"/>
        <v>0</v>
      </c>
      <c r="FI56" s="320">
        <f t="shared" si="60"/>
        <v>7.3609999999999995E-2</v>
      </c>
      <c r="FJ56" s="320">
        <f t="shared" si="60"/>
        <v>1.3065775000000002</v>
      </c>
      <c r="FK56" s="320">
        <f t="shared" si="60"/>
        <v>1.3065775000000002</v>
      </c>
      <c r="FL56" s="320">
        <f t="shared" si="19"/>
        <v>0</v>
      </c>
      <c r="FM56" s="320">
        <f t="shared" si="60"/>
        <v>0</v>
      </c>
      <c r="FN56" s="320">
        <f t="shared" si="60"/>
        <v>0</v>
      </c>
      <c r="FO56" s="320">
        <f t="shared" si="60"/>
        <v>0</v>
      </c>
      <c r="FP56" s="320">
        <f t="shared" si="60"/>
        <v>0</v>
      </c>
      <c r="FQ56" s="320">
        <f t="shared" si="60"/>
        <v>14.456029999999998</v>
      </c>
      <c r="FR56" s="320">
        <f t="shared" si="60"/>
        <v>298.14977449999998</v>
      </c>
      <c r="FS56" s="320">
        <f t="shared" si="60"/>
        <v>298.14977449999998</v>
      </c>
      <c r="FT56" s="320">
        <f t="shared" si="21"/>
        <v>0</v>
      </c>
      <c r="FU56" s="320">
        <f t="shared" si="60"/>
        <v>0</v>
      </c>
      <c r="FV56" s="320">
        <f t="shared" si="60"/>
        <v>0</v>
      </c>
      <c r="FW56" s="320">
        <f t="shared" si="60"/>
        <v>0</v>
      </c>
      <c r="FX56" s="320">
        <f t="shared" si="22"/>
        <v>0</v>
      </c>
      <c r="FY56" s="320">
        <f t="shared" si="60"/>
        <v>0</v>
      </c>
      <c r="FZ56" s="320">
        <f t="shared" si="60"/>
        <v>0</v>
      </c>
      <c r="GA56" s="320">
        <f t="shared" si="60"/>
        <v>0</v>
      </c>
      <c r="GB56" s="320">
        <f t="shared" si="23"/>
        <v>0</v>
      </c>
      <c r="GC56" s="320">
        <f>GC59+GC62+GC65+GC68+GC71+GC74+GC77+GC80+GC83+GC86+GC89+GC92+GC95</f>
        <v>9.4540199999999999</v>
      </c>
      <c r="GD56" s="320">
        <f>GD59+GD62+GD65+GD68+GD71+GD74+GD77+GD80+GD83+GD86+GD89+GD92+GD95</f>
        <v>197.39993760000002</v>
      </c>
      <c r="GE56" s="320">
        <f>GE59+GE62+GE65+GE68+GE71+GE74+GE77+GE80+GE83+GE86+GE89+GE92+GE95</f>
        <v>197.39993760000002</v>
      </c>
      <c r="GF56" s="320">
        <f>GF59+GF62+GF65+GF68+GF71+GF74+GF77+GF80+GF83+GF86+GF89+GF92+GF95</f>
        <v>0</v>
      </c>
      <c r="GG56" s="320">
        <f t="shared" ref="GG56:GM56" si="61">GG59+GG62+GG65+GG68+GG71+GG74+GG77+GG80+GG83+GG86+GG89+GG92+GG95</f>
        <v>0</v>
      </c>
      <c r="GH56" s="320">
        <f t="shared" si="61"/>
        <v>0</v>
      </c>
      <c r="GI56" s="320">
        <f t="shared" si="61"/>
        <v>0</v>
      </c>
      <c r="GJ56" s="320">
        <f t="shared" si="61"/>
        <v>0</v>
      </c>
      <c r="GK56" s="320">
        <f t="shared" si="61"/>
        <v>0</v>
      </c>
      <c r="GL56" s="320">
        <f t="shared" si="61"/>
        <v>0</v>
      </c>
      <c r="GM56" s="320">
        <f t="shared" si="61"/>
        <v>0</v>
      </c>
      <c r="GN56" s="320">
        <f t="shared" si="43"/>
        <v>0</v>
      </c>
      <c r="GO56" s="320">
        <f>GO59+GO62+GO65+GO68+GO71+GO74+GO77+GO80+GO83+GO86+GO89+GO92+GO95</f>
        <v>5.2528300000000003</v>
      </c>
      <c r="GP56" s="320">
        <f>GP59+GP62+GP65+GP68+GP71+GP74+GP77+GP80+GP83+GP86+GP89+GP92+GP95</f>
        <v>112.76443540000001</v>
      </c>
      <c r="GQ56" s="320">
        <f>GQ59+GQ62+GQ65+GQ68+GQ71+GQ74+GQ77+GQ80+GQ83+GQ86+GQ89+GQ92+GQ95</f>
        <v>112.76443540000001</v>
      </c>
      <c r="GR56" s="320">
        <f t="shared" si="44"/>
        <v>0</v>
      </c>
      <c r="GS56" s="320">
        <f>GS59+GS62+GS65+GS68+GS71+GS74+GS77+GS80+GS83+GS86+GS89+GS92+GS95</f>
        <v>0</v>
      </c>
      <c r="GT56" s="320">
        <f>GT59+GT62+GT65+GT68+GT71+GT74+GT77+GT80+GT83+GT86+GT89+GT92+GT95</f>
        <v>0</v>
      </c>
      <c r="GU56" s="320">
        <f>GU59+GU62+GU65+GU68+GU71+GU74+GU77+GU80+GU83+GU86+GU89+GU92+GU95</f>
        <v>0</v>
      </c>
      <c r="GV56" s="301">
        <f t="shared" si="45"/>
        <v>0</v>
      </c>
      <c r="GW56" s="320">
        <f>GW59+GW62+GW65+GW68+GW71+GW74+GW77+GW80+GW83+GW86+GW89+GW92+GW95</f>
        <v>0</v>
      </c>
      <c r="GX56" s="320">
        <f>GX59+GX62+GX65+GX68+GX71+GX74+GX77+GX80+GX83+GX86+GX89+GX92+GX95</f>
        <v>0</v>
      </c>
      <c r="GY56" s="320">
        <f>GY59+GY62+GY65+GY68+GY71+GY74+GY77+GY80+GY83+GY86+GY89+GY92+GY95</f>
        <v>0</v>
      </c>
      <c r="GZ56" s="301">
        <f t="shared" si="46"/>
        <v>0</v>
      </c>
      <c r="HA56" s="349"/>
      <c r="HS56" s="377"/>
      <c r="HT56" s="377"/>
      <c r="HU56" s="377"/>
      <c r="HV56" s="377"/>
    </row>
    <row r="57" spans="1:256" s="376" customFormat="1" ht="13.5" hidden="1" customHeight="1">
      <c r="A57" s="912"/>
      <c r="B57" s="373"/>
      <c r="C57" s="374" t="s">
        <v>229</v>
      </c>
      <c r="D57" s="327" t="s">
        <v>162</v>
      </c>
      <c r="E57" s="320">
        <f>E60+E63+E66+E69+E72+E75+E78+E81+E84+E87+E90+E93+E96+E98+E97</f>
        <v>2269.0260700000003</v>
      </c>
      <c r="F57" s="320">
        <f t="shared" ref="F57:BQ57" si="62">F60+F63+F66+F69+F72+F75+F78+F81+F84+F87+F90+F93+F96+F98+F97</f>
        <v>0</v>
      </c>
      <c r="G57" s="320">
        <f t="shared" si="62"/>
        <v>0</v>
      </c>
      <c r="H57" s="320">
        <f t="shared" si="62"/>
        <v>0</v>
      </c>
      <c r="I57" s="320">
        <f t="shared" si="62"/>
        <v>5.37967</v>
      </c>
      <c r="J57" s="320">
        <f t="shared" si="62"/>
        <v>0</v>
      </c>
      <c r="K57" s="320">
        <f t="shared" si="62"/>
        <v>0</v>
      </c>
      <c r="L57" s="320">
        <f t="shared" si="62"/>
        <v>0</v>
      </c>
      <c r="M57" s="320">
        <f t="shared" si="62"/>
        <v>0</v>
      </c>
      <c r="N57" s="320">
        <f t="shared" si="62"/>
        <v>0</v>
      </c>
      <c r="O57" s="320">
        <f t="shared" si="62"/>
        <v>0</v>
      </c>
      <c r="P57" s="320">
        <f t="shared" si="62"/>
        <v>0</v>
      </c>
      <c r="Q57" s="320">
        <f t="shared" si="62"/>
        <v>188.59237000000002</v>
      </c>
      <c r="R57" s="320">
        <f t="shared" si="62"/>
        <v>0</v>
      </c>
      <c r="S57" s="320">
        <f t="shared" si="62"/>
        <v>0</v>
      </c>
      <c r="T57" s="320">
        <f t="shared" si="62"/>
        <v>0</v>
      </c>
      <c r="U57" s="320">
        <f t="shared" si="62"/>
        <v>43.176159999999996</v>
      </c>
      <c r="V57" s="320">
        <f t="shared" si="62"/>
        <v>0</v>
      </c>
      <c r="W57" s="320">
        <f t="shared" si="62"/>
        <v>0</v>
      </c>
      <c r="X57" s="320">
        <f t="shared" si="62"/>
        <v>0</v>
      </c>
      <c r="Y57" s="320">
        <f t="shared" si="62"/>
        <v>285.90530999999999</v>
      </c>
      <c r="Z57" s="320">
        <f t="shared" si="62"/>
        <v>0</v>
      </c>
      <c r="AA57" s="320">
        <f t="shared" si="62"/>
        <v>0</v>
      </c>
      <c r="AB57" s="320">
        <f t="shared" si="62"/>
        <v>0</v>
      </c>
      <c r="AC57" s="320">
        <f t="shared" si="62"/>
        <v>151.95904000000002</v>
      </c>
      <c r="AD57" s="320">
        <f t="shared" si="62"/>
        <v>0</v>
      </c>
      <c r="AE57" s="320">
        <f t="shared" si="62"/>
        <v>0</v>
      </c>
      <c r="AF57" s="320">
        <f t="shared" si="62"/>
        <v>0</v>
      </c>
      <c r="AG57" s="320">
        <f t="shared" si="62"/>
        <v>31.22757</v>
      </c>
      <c r="AH57" s="320">
        <f t="shared" si="62"/>
        <v>0</v>
      </c>
      <c r="AI57" s="320">
        <f t="shared" si="62"/>
        <v>0</v>
      </c>
      <c r="AJ57" s="320">
        <f t="shared" si="62"/>
        <v>0</v>
      </c>
      <c r="AK57" s="320">
        <f t="shared" si="62"/>
        <v>66.521169999999998</v>
      </c>
      <c r="AL57" s="320">
        <f t="shared" si="62"/>
        <v>0</v>
      </c>
      <c r="AM57" s="320">
        <f t="shared" si="62"/>
        <v>0</v>
      </c>
      <c r="AN57" s="320">
        <f t="shared" si="62"/>
        <v>0</v>
      </c>
      <c r="AO57" s="320">
        <f t="shared" si="62"/>
        <v>227.66283000000001</v>
      </c>
      <c r="AP57" s="320">
        <f t="shared" si="62"/>
        <v>0</v>
      </c>
      <c r="AQ57" s="320">
        <f t="shared" si="62"/>
        <v>0</v>
      </c>
      <c r="AR57" s="320">
        <f t="shared" si="62"/>
        <v>0</v>
      </c>
      <c r="AS57" s="320">
        <f t="shared" si="62"/>
        <v>208.79685000000001</v>
      </c>
      <c r="AT57" s="320">
        <f t="shared" si="62"/>
        <v>0</v>
      </c>
      <c r="AU57" s="320">
        <f t="shared" si="62"/>
        <v>0</v>
      </c>
      <c r="AV57" s="320">
        <f t="shared" si="62"/>
        <v>0</v>
      </c>
      <c r="AW57" s="320">
        <f t="shared" si="62"/>
        <v>42.779980000000002</v>
      </c>
      <c r="AX57" s="320">
        <f t="shared" si="62"/>
        <v>0</v>
      </c>
      <c r="AY57" s="320">
        <f t="shared" si="62"/>
        <v>0</v>
      </c>
      <c r="AZ57" s="320">
        <f t="shared" si="62"/>
        <v>0</v>
      </c>
      <c r="BA57" s="320">
        <f t="shared" si="62"/>
        <v>15.321299999999999</v>
      </c>
      <c r="BB57" s="320">
        <f t="shared" si="62"/>
        <v>0</v>
      </c>
      <c r="BC57" s="320">
        <f t="shared" si="62"/>
        <v>0</v>
      </c>
      <c r="BD57" s="320">
        <f t="shared" si="62"/>
        <v>0</v>
      </c>
      <c r="BE57" s="320">
        <f t="shared" si="62"/>
        <v>8.94815</v>
      </c>
      <c r="BF57" s="320">
        <f t="shared" si="62"/>
        <v>0</v>
      </c>
      <c r="BG57" s="320">
        <f t="shared" si="62"/>
        <v>0</v>
      </c>
      <c r="BH57" s="320">
        <f t="shared" si="62"/>
        <v>0</v>
      </c>
      <c r="BI57" s="320">
        <f t="shared" si="62"/>
        <v>1.9796599999999998</v>
      </c>
      <c r="BJ57" s="320">
        <f t="shared" si="62"/>
        <v>0</v>
      </c>
      <c r="BK57" s="320">
        <f t="shared" si="62"/>
        <v>0</v>
      </c>
      <c r="BL57" s="320">
        <f t="shared" si="62"/>
        <v>0</v>
      </c>
      <c r="BM57" s="320">
        <f t="shared" si="62"/>
        <v>1.5553600000000001</v>
      </c>
      <c r="BN57" s="320">
        <f t="shared" si="62"/>
        <v>0</v>
      </c>
      <c r="BO57" s="320">
        <f t="shared" si="62"/>
        <v>0</v>
      </c>
      <c r="BP57" s="320">
        <f t="shared" si="62"/>
        <v>0</v>
      </c>
      <c r="BQ57" s="320">
        <f t="shared" si="62"/>
        <v>1.54257</v>
      </c>
      <c r="BR57" s="320">
        <f t="shared" ref="BR57:EC57" si="63">BR60+BR63+BR66+BR69+BR72+BR75+BR78+BR81+BR84+BR87+BR90+BR93+BR96+BR98+BR97</f>
        <v>0</v>
      </c>
      <c r="BS57" s="320">
        <f t="shared" si="63"/>
        <v>0</v>
      </c>
      <c r="BT57" s="320">
        <f t="shared" si="63"/>
        <v>0</v>
      </c>
      <c r="BU57" s="320">
        <f t="shared" si="63"/>
        <v>0.52517999999999998</v>
      </c>
      <c r="BV57" s="320">
        <f t="shared" si="63"/>
        <v>0</v>
      </c>
      <c r="BW57" s="320">
        <f t="shared" si="63"/>
        <v>0</v>
      </c>
      <c r="BX57" s="320">
        <f t="shared" si="63"/>
        <v>0</v>
      </c>
      <c r="BY57" s="320">
        <f t="shared" si="63"/>
        <v>96.561360000000022</v>
      </c>
      <c r="BZ57" s="320">
        <f t="shared" si="63"/>
        <v>0</v>
      </c>
      <c r="CA57" s="320">
        <f t="shared" si="63"/>
        <v>0</v>
      </c>
      <c r="CB57" s="301">
        <f t="shared" si="41"/>
        <v>0</v>
      </c>
      <c r="CC57" s="320">
        <f t="shared" si="63"/>
        <v>9.7036899999999999</v>
      </c>
      <c r="CD57" s="320">
        <f t="shared" si="63"/>
        <v>0</v>
      </c>
      <c r="CE57" s="320">
        <f t="shared" si="63"/>
        <v>0</v>
      </c>
      <c r="CF57" s="320">
        <f t="shared" si="63"/>
        <v>0</v>
      </c>
      <c r="CG57" s="320">
        <f>CG60+CG63+CG66+CG69+CG72+CG75+CG78+CG81+CG84+CG87+CG90+CG93+CG96+CG98+CG97</f>
        <v>586.77037000000007</v>
      </c>
      <c r="CH57" s="320">
        <f t="shared" si="63"/>
        <v>0</v>
      </c>
      <c r="CI57" s="320">
        <f t="shared" si="63"/>
        <v>0</v>
      </c>
      <c r="CJ57" s="320">
        <f t="shared" si="63"/>
        <v>0</v>
      </c>
      <c r="CK57" s="320">
        <f t="shared" si="63"/>
        <v>46.3767</v>
      </c>
      <c r="CL57" s="320">
        <f t="shared" si="63"/>
        <v>0</v>
      </c>
      <c r="CM57" s="320">
        <f t="shared" si="63"/>
        <v>0</v>
      </c>
      <c r="CN57" s="320">
        <f t="shared" si="63"/>
        <v>0</v>
      </c>
      <c r="CO57" s="320">
        <f t="shared" si="63"/>
        <v>3.5997399999999997</v>
      </c>
      <c r="CP57" s="320">
        <f t="shared" si="63"/>
        <v>0</v>
      </c>
      <c r="CQ57" s="320">
        <f t="shared" si="63"/>
        <v>0</v>
      </c>
      <c r="CR57" s="320">
        <f t="shared" si="63"/>
        <v>0</v>
      </c>
      <c r="CS57" s="320">
        <f t="shared" si="63"/>
        <v>6.6670000000000007E-2</v>
      </c>
      <c r="CT57" s="320">
        <f t="shared" si="63"/>
        <v>0</v>
      </c>
      <c r="CU57" s="320">
        <f t="shared" si="63"/>
        <v>0</v>
      </c>
      <c r="CV57" s="320">
        <f t="shared" si="63"/>
        <v>0</v>
      </c>
      <c r="CW57" s="320">
        <f t="shared" si="63"/>
        <v>3.6451899999999999</v>
      </c>
      <c r="CX57" s="320">
        <f t="shared" si="63"/>
        <v>0</v>
      </c>
      <c r="CY57" s="320">
        <f t="shared" si="63"/>
        <v>0</v>
      </c>
      <c r="CZ57" s="320">
        <f t="shared" si="63"/>
        <v>0</v>
      </c>
      <c r="DA57" s="320">
        <f t="shared" si="63"/>
        <v>1.16046</v>
      </c>
      <c r="DB57" s="320">
        <f t="shared" si="63"/>
        <v>0</v>
      </c>
      <c r="DC57" s="320">
        <f t="shared" si="63"/>
        <v>0</v>
      </c>
      <c r="DD57" s="320">
        <f t="shared" si="63"/>
        <v>0</v>
      </c>
      <c r="DE57" s="320">
        <f t="shared" si="63"/>
        <v>3.5495100000000002</v>
      </c>
      <c r="DF57" s="320">
        <f t="shared" si="63"/>
        <v>0</v>
      </c>
      <c r="DG57" s="320">
        <f t="shared" si="63"/>
        <v>0</v>
      </c>
      <c r="DH57" s="320">
        <f t="shared" si="63"/>
        <v>0</v>
      </c>
      <c r="DI57" s="320">
        <f t="shared" si="63"/>
        <v>0</v>
      </c>
      <c r="DJ57" s="320">
        <f t="shared" si="63"/>
        <v>0</v>
      </c>
      <c r="DK57" s="320">
        <f t="shared" si="63"/>
        <v>0</v>
      </c>
      <c r="DL57" s="320">
        <f t="shared" si="63"/>
        <v>0</v>
      </c>
      <c r="DM57" s="320">
        <f t="shared" si="63"/>
        <v>22.435289999999998</v>
      </c>
      <c r="DN57" s="320">
        <f t="shared" si="63"/>
        <v>0</v>
      </c>
      <c r="DO57" s="320">
        <f t="shared" si="63"/>
        <v>0</v>
      </c>
      <c r="DP57" s="320">
        <f t="shared" si="63"/>
        <v>0</v>
      </c>
      <c r="DQ57" s="320">
        <f t="shared" si="63"/>
        <v>0</v>
      </c>
      <c r="DR57" s="320">
        <f t="shared" si="63"/>
        <v>0</v>
      </c>
      <c r="DS57" s="320">
        <f t="shared" si="63"/>
        <v>0</v>
      </c>
      <c r="DT57" s="320">
        <f t="shared" si="63"/>
        <v>0</v>
      </c>
      <c r="DU57" s="320">
        <f t="shared" si="63"/>
        <v>6.2529500000000002</v>
      </c>
      <c r="DV57" s="320">
        <f t="shared" si="63"/>
        <v>0</v>
      </c>
      <c r="DW57" s="320">
        <f t="shared" si="63"/>
        <v>0</v>
      </c>
      <c r="DX57" s="320">
        <f t="shared" si="63"/>
        <v>0</v>
      </c>
      <c r="DY57" s="320">
        <f t="shared" si="63"/>
        <v>9.0252199999999991</v>
      </c>
      <c r="DZ57" s="320">
        <f t="shared" si="63"/>
        <v>0</v>
      </c>
      <c r="EA57" s="320">
        <f t="shared" si="63"/>
        <v>0</v>
      </c>
      <c r="EB57" s="320">
        <f t="shared" si="63"/>
        <v>0</v>
      </c>
      <c r="EC57" s="320">
        <f t="shared" si="63"/>
        <v>0</v>
      </c>
      <c r="ED57" s="320">
        <f t="shared" ref="ED57:GO57" si="64">ED60+ED63+ED66+ED69+ED72+ED75+ED78+ED81+ED84+ED87+ED90+ED93+ED96+ED98+ED97</f>
        <v>0</v>
      </c>
      <c r="EE57" s="320">
        <f t="shared" si="64"/>
        <v>0</v>
      </c>
      <c r="EF57" s="301">
        <f t="shared" si="11"/>
        <v>0</v>
      </c>
      <c r="EG57" s="320">
        <f t="shared" si="64"/>
        <v>33.023809999999997</v>
      </c>
      <c r="EH57" s="320">
        <f t="shared" si="64"/>
        <v>0</v>
      </c>
      <c r="EI57" s="320">
        <f t="shared" si="64"/>
        <v>0</v>
      </c>
      <c r="EJ57" s="320">
        <f t="shared" si="64"/>
        <v>0</v>
      </c>
      <c r="EK57" s="320">
        <f t="shared" si="64"/>
        <v>0</v>
      </c>
      <c r="EL57" s="320">
        <f t="shared" si="64"/>
        <v>0</v>
      </c>
      <c r="EM57" s="320">
        <f t="shared" si="64"/>
        <v>0</v>
      </c>
      <c r="EN57" s="320">
        <f t="shared" si="64"/>
        <v>0</v>
      </c>
      <c r="EO57" s="320">
        <f t="shared" si="64"/>
        <v>2.0816300000000001</v>
      </c>
      <c r="EP57" s="320">
        <f t="shared" si="64"/>
        <v>0</v>
      </c>
      <c r="EQ57" s="320">
        <f t="shared" si="64"/>
        <v>0</v>
      </c>
      <c r="ER57" s="320">
        <f t="shared" si="64"/>
        <v>0</v>
      </c>
      <c r="ES57" s="320">
        <f t="shared" si="64"/>
        <v>2.4531799999999997</v>
      </c>
      <c r="ET57" s="320">
        <f t="shared" si="64"/>
        <v>0</v>
      </c>
      <c r="EU57" s="320">
        <f t="shared" si="64"/>
        <v>0</v>
      </c>
      <c r="EV57" s="320">
        <f t="shared" si="64"/>
        <v>0</v>
      </c>
      <c r="EW57" s="320">
        <f t="shared" si="64"/>
        <v>0</v>
      </c>
      <c r="EX57" s="320">
        <f t="shared" si="64"/>
        <v>0</v>
      </c>
      <c r="EY57" s="320">
        <f t="shared" si="64"/>
        <v>0</v>
      </c>
      <c r="EZ57" s="320">
        <f t="shared" si="64"/>
        <v>0</v>
      </c>
      <c r="FA57" s="320">
        <f t="shared" si="64"/>
        <v>53.140299999999996</v>
      </c>
      <c r="FB57" s="320">
        <f t="shared" si="64"/>
        <v>0</v>
      </c>
      <c r="FC57" s="320">
        <f t="shared" si="64"/>
        <v>0</v>
      </c>
      <c r="FD57" s="320">
        <f t="shared" si="64"/>
        <v>0</v>
      </c>
      <c r="FE57" s="320">
        <f t="shared" si="64"/>
        <v>21.94454</v>
      </c>
      <c r="FF57" s="320">
        <f t="shared" si="64"/>
        <v>0</v>
      </c>
      <c r="FG57" s="320">
        <f t="shared" si="64"/>
        <v>0</v>
      </c>
      <c r="FH57" s="320">
        <f t="shared" si="64"/>
        <v>0</v>
      </c>
      <c r="FI57" s="320">
        <f t="shared" si="64"/>
        <v>5.9623800000000005</v>
      </c>
      <c r="FJ57" s="320">
        <f t="shared" si="64"/>
        <v>0</v>
      </c>
      <c r="FK57" s="320">
        <f t="shared" si="64"/>
        <v>0</v>
      </c>
      <c r="FL57" s="320">
        <f t="shared" si="64"/>
        <v>0</v>
      </c>
      <c r="FM57" s="320">
        <f t="shared" si="64"/>
        <v>0</v>
      </c>
      <c r="FN57" s="320">
        <f t="shared" si="64"/>
        <v>0</v>
      </c>
      <c r="FO57" s="320">
        <f t="shared" si="64"/>
        <v>0</v>
      </c>
      <c r="FP57" s="320">
        <f t="shared" si="64"/>
        <v>0</v>
      </c>
      <c r="FQ57" s="320">
        <f t="shared" si="64"/>
        <v>0.86512</v>
      </c>
      <c r="FR57" s="320">
        <f t="shared" si="64"/>
        <v>0</v>
      </c>
      <c r="FS57" s="320">
        <f t="shared" si="64"/>
        <v>0</v>
      </c>
      <c r="FT57" s="320">
        <f t="shared" si="64"/>
        <v>0</v>
      </c>
      <c r="FU57" s="320">
        <f t="shared" si="64"/>
        <v>51.670549999999992</v>
      </c>
      <c r="FV57" s="320">
        <f t="shared" si="64"/>
        <v>0</v>
      </c>
      <c r="FW57" s="320">
        <f t="shared" si="64"/>
        <v>0</v>
      </c>
      <c r="FX57" s="320">
        <f t="shared" si="64"/>
        <v>0</v>
      </c>
      <c r="FY57" s="320">
        <f t="shared" si="64"/>
        <v>7.4838699999999996</v>
      </c>
      <c r="FZ57" s="320">
        <f t="shared" si="64"/>
        <v>0</v>
      </c>
      <c r="GA57" s="320">
        <f t="shared" si="64"/>
        <v>0</v>
      </c>
      <c r="GB57" s="320">
        <f t="shared" si="64"/>
        <v>0</v>
      </c>
      <c r="GC57" s="320">
        <f t="shared" si="64"/>
        <v>0</v>
      </c>
      <c r="GD57" s="320">
        <f t="shared" si="64"/>
        <v>0</v>
      </c>
      <c r="GE57" s="320">
        <f t="shared" si="64"/>
        <v>0</v>
      </c>
      <c r="GF57" s="320">
        <f t="shared" si="64"/>
        <v>0</v>
      </c>
      <c r="GG57" s="320">
        <f t="shared" si="64"/>
        <v>0</v>
      </c>
      <c r="GH57" s="320">
        <f t="shared" si="64"/>
        <v>0</v>
      </c>
      <c r="GI57" s="320">
        <f t="shared" si="64"/>
        <v>0</v>
      </c>
      <c r="GJ57" s="320">
        <f t="shared" si="64"/>
        <v>0</v>
      </c>
      <c r="GK57" s="320">
        <f t="shared" si="64"/>
        <v>0</v>
      </c>
      <c r="GL57" s="320">
        <f t="shared" si="64"/>
        <v>0</v>
      </c>
      <c r="GM57" s="320">
        <f t="shared" si="64"/>
        <v>0</v>
      </c>
      <c r="GN57" s="320">
        <f t="shared" si="64"/>
        <v>0</v>
      </c>
      <c r="GO57" s="320">
        <f t="shared" si="64"/>
        <v>6.2292699999999996</v>
      </c>
      <c r="GP57" s="320">
        <f t="shared" ref="GP57:GU57" si="65">GP60+GP63+GP66+GP69+GP72+GP75+GP78+GP81+GP84+GP87+GP90+GP93+GP96+GP98+GP97</f>
        <v>0</v>
      </c>
      <c r="GQ57" s="320">
        <f t="shared" si="65"/>
        <v>0</v>
      </c>
      <c r="GR57" s="320">
        <f t="shared" si="65"/>
        <v>0</v>
      </c>
      <c r="GS57" s="320">
        <f t="shared" si="65"/>
        <v>13.1511</v>
      </c>
      <c r="GT57" s="320">
        <f t="shared" si="65"/>
        <v>0</v>
      </c>
      <c r="GU57" s="320">
        <f t="shared" si="65"/>
        <v>0</v>
      </c>
      <c r="GV57" s="301">
        <f t="shared" si="45"/>
        <v>0</v>
      </c>
      <c r="GW57" s="320">
        <f>GW60+GW63+GW66+GW69+GW72+GW75+GW78+GW81+GW84+GW87+GW90+GW93+GW96+GW98+GW97</f>
        <v>0</v>
      </c>
      <c r="GX57" s="320">
        <f>GX60+GX63+GX66+GX69+GX72+GX75+GX78+GX81+GX84+GX87+GX90+GX93+GX96+GX98+GX97</f>
        <v>0</v>
      </c>
      <c r="GY57" s="320">
        <f>GY60+GY63+GY66+GY69+GY72+GY75+GY78+GY81+GY84+GY87+GY90+GY93+GY96+GY98+GY97</f>
        <v>0</v>
      </c>
      <c r="GZ57" s="301">
        <f t="shared" si="46"/>
        <v>0</v>
      </c>
      <c r="HA57" s="349"/>
      <c r="HS57" s="377"/>
      <c r="HT57" s="377"/>
      <c r="HU57" s="377"/>
      <c r="HV57" s="377"/>
    </row>
    <row r="58" spans="1:256" ht="13.5" hidden="1" customHeight="1">
      <c r="A58" s="912"/>
      <c r="B58" s="335" t="s">
        <v>175</v>
      </c>
      <c r="C58" s="378" t="s">
        <v>230</v>
      </c>
      <c r="D58" s="379" t="s">
        <v>162</v>
      </c>
      <c r="E58" s="301">
        <f>SUM(E59:E60)</f>
        <v>1347.91606</v>
      </c>
      <c r="F58" s="301">
        <f>SUM(F59:F60)</f>
        <v>26283.8055049</v>
      </c>
      <c r="G58" s="301">
        <f>SUM(G59:G60)</f>
        <v>26283.8055049</v>
      </c>
      <c r="H58" s="301">
        <f>SUM(H59:H60)</f>
        <v>0</v>
      </c>
      <c r="I58" s="338"/>
      <c r="J58" s="338"/>
      <c r="K58" s="338"/>
      <c r="L58" s="301">
        <f t="shared" si="25"/>
        <v>0</v>
      </c>
      <c r="M58" s="301">
        <f t="shared" ref="M58:S58" si="66">M59+M60</f>
        <v>2.81E-2</v>
      </c>
      <c r="N58" s="301">
        <f t="shared" si="66"/>
        <v>0.58672799999999992</v>
      </c>
      <c r="O58" s="301">
        <f t="shared" si="66"/>
        <v>0.58672799999999992</v>
      </c>
      <c r="P58" s="301">
        <f t="shared" si="26"/>
        <v>0</v>
      </c>
      <c r="Q58" s="301">
        <f t="shared" si="66"/>
        <v>6.9360000000000005E-2</v>
      </c>
      <c r="R58" s="301">
        <f t="shared" si="66"/>
        <v>1.4482367999999999</v>
      </c>
      <c r="S58" s="301">
        <f t="shared" si="66"/>
        <v>1.4482367999999999</v>
      </c>
      <c r="T58" s="301">
        <f t="shared" si="27"/>
        <v>0</v>
      </c>
      <c r="U58" s="301">
        <f>U59+U60</f>
        <v>462.25256999999999</v>
      </c>
      <c r="V58" s="301">
        <f>V59+V60</f>
        <v>8828.2069327000008</v>
      </c>
      <c r="W58" s="301">
        <f>W59+W60</f>
        <v>8828.2069327000008</v>
      </c>
      <c r="X58" s="301">
        <f t="shared" si="28"/>
        <v>0</v>
      </c>
      <c r="Y58" s="301"/>
      <c r="Z58" s="301"/>
      <c r="AA58" s="301"/>
      <c r="AB58" s="301">
        <f t="shared" si="29"/>
        <v>0</v>
      </c>
      <c r="AC58" s="301">
        <f>AC59+AC60</f>
        <v>8.0060000000000002</v>
      </c>
      <c r="AD58" s="301">
        <f>AD59+AD60</f>
        <v>161.53676000000002</v>
      </c>
      <c r="AE58" s="301">
        <f>AE59+AE60</f>
        <v>161.53676000000002</v>
      </c>
      <c r="AF58" s="300">
        <f t="shared" si="30"/>
        <v>0</v>
      </c>
      <c r="AG58" s="301"/>
      <c r="AH58" s="301"/>
      <c r="AI58" s="301"/>
      <c r="AJ58" s="300">
        <f t="shared" si="31"/>
        <v>0</v>
      </c>
      <c r="AK58" s="301">
        <f>SUM(AK59:AK60)</f>
        <v>3.7399999999999996E-2</v>
      </c>
      <c r="AL58" s="301">
        <f>SUM(AL59:AL60)</f>
        <v>0.70872999999999986</v>
      </c>
      <c r="AM58" s="301">
        <f>SUM(AM59:AM60)</f>
        <v>0.70872999999999986</v>
      </c>
      <c r="AN58" s="301">
        <f t="shared" si="32"/>
        <v>0</v>
      </c>
      <c r="AO58" s="301">
        <f>AO59+AO60</f>
        <v>0.14595</v>
      </c>
      <c r="AP58" s="301">
        <f>AP59+AP60</f>
        <v>2.969776</v>
      </c>
      <c r="AQ58" s="301">
        <f>AQ59+AQ60</f>
        <v>2.969776</v>
      </c>
      <c r="AR58" s="300">
        <f t="shared" si="33"/>
        <v>0</v>
      </c>
      <c r="AS58" s="301">
        <f>SUM(AS59:AS60)</f>
        <v>5.2909999999999999E-2</v>
      </c>
      <c r="AT58" s="301">
        <f>SUM(AT59:AT60)</f>
        <v>1.1047607999999998</v>
      </c>
      <c r="AU58" s="301">
        <f>SUM(AU59:AU60)</f>
        <v>1.1047607999999998</v>
      </c>
      <c r="AV58" s="301">
        <f t="shared" si="34"/>
        <v>0</v>
      </c>
      <c r="AW58" s="301"/>
      <c r="AX58" s="301"/>
      <c r="AY58" s="301"/>
      <c r="AZ58" s="301">
        <f t="shared" si="35"/>
        <v>0</v>
      </c>
      <c r="BA58" s="338"/>
      <c r="BB58" s="338"/>
      <c r="BC58" s="338"/>
      <c r="BD58" s="301">
        <f t="shared" si="36"/>
        <v>0</v>
      </c>
      <c r="BE58" s="301"/>
      <c r="BF58" s="301"/>
      <c r="BG58" s="301"/>
      <c r="BH58" s="301">
        <f t="shared" si="37"/>
        <v>0</v>
      </c>
      <c r="BI58" s="301">
        <f>BI59+BI60</f>
        <v>298.73257000000001</v>
      </c>
      <c r="BJ58" s="301">
        <f>BJ59+BJ60</f>
        <v>6047.9388482999993</v>
      </c>
      <c r="BK58" s="301">
        <f>BK59+BK60</f>
        <v>6047.9388482999993</v>
      </c>
      <c r="BL58" s="301">
        <f t="shared" si="38"/>
        <v>0</v>
      </c>
      <c r="BM58" s="301">
        <f>BM59+BM60</f>
        <v>20.21801</v>
      </c>
      <c r="BN58" s="301">
        <f>BN59+BN60</f>
        <v>404.53349720000006</v>
      </c>
      <c r="BO58" s="301">
        <f>BO59+BO60</f>
        <v>404.53349720000006</v>
      </c>
      <c r="BP58" s="301">
        <f t="shared" si="52"/>
        <v>0</v>
      </c>
      <c r="BQ58" s="301">
        <f>BQ59+BQ60</f>
        <v>8.7290000000000006E-2</v>
      </c>
      <c r="BR58" s="301">
        <f>BR59+BR60</f>
        <v>1.8226152</v>
      </c>
      <c r="BS58" s="301">
        <f>BS59+BS60</f>
        <v>1.8226152</v>
      </c>
      <c r="BT58" s="301">
        <f t="shared" si="39"/>
        <v>0</v>
      </c>
      <c r="BU58" s="301">
        <f>BU59+BU60</f>
        <v>76.311939999999979</v>
      </c>
      <c r="BV58" s="301">
        <f>BV59+BV60</f>
        <v>1663.9308157999999</v>
      </c>
      <c r="BW58" s="301">
        <f>BW59+BW60</f>
        <v>1663.9308157999999</v>
      </c>
      <c r="BX58" s="301">
        <f t="shared" si="40"/>
        <v>0</v>
      </c>
      <c r="BY58" s="301">
        <f>BY59+BY60</f>
        <v>348.09521000000001</v>
      </c>
      <c r="BZ58" s="301">
        <f>BZ59+BZ60</f>
        <v>6812.1480577000002</v>
      </c>
      <c r="CA58" s="301">
        <f>CA59+CA60</f>
        <v>6812.1480577000002</v>
      </c>
      <c r="CB58" s="301">
        <f t="shared" si="41"/>
        <v>0</v>
      </c>
      <c r="CC58" s="338"/>
      <c r="CD58" s="338"/>
      <c r="CE58" s="338"/>
      <c r="CF58" s="300">
        <f t="shared" si="49"/>
        <v>0</v>
      </c>
      <c r="CG58" s="338"/>
      <c r="CH58" s="338"/>
      <c r="CI58" s="338"/>
      <c r="CJ58" s="301">
        <f t="shared" si="0"/>
        <v>0</v>
      </c>
      <c r="CK58" s="301"/>
      <c r="CL58" s="301"/>
      <c r="CM58" s="301"/>
      <c r="CN58" s="301">
        <f t="shared" si="1"/>
        <v>0</v>
      </c>
      <c r="CO58" s="338"/>
      <c r="CP58" s="338"/>
      <c r="CQ58" s="338"/>
      <c r="CR58" s="301">
        <f t="shared" si="2"/>
        <v>0</v>
      </c>
      <c r="CS58" s="301">
        <f>CS59+CS60</f>
        <v>8.3820800000000002</v>
      </c>
      <c r="CT58" s="301">
        <f>CT59+CT60</f>
        <v>189.2587316</v>
      </c>
      <c r="CU58" s="301">
        <f>CU59+CU60</f>
        <v>189.2587316</v>
      </c>
      <c r="CV58" s="301">
        <f t="shared" si="3"/>
        <v>0</v>
      </c>
      <c r="CW58" s="301">
        <f>CW59+CW60</f>
        <v>27.026790000000002</v>
      </c>
      <c r="CX58" s="301">
        <f>CX59+CX60</f>
        <v>488.8799616</v>
      </c>
      <c r="CY58" s="301">
        <f>CY59+CY60</f>
        <v>488.8799616</v>
      </c>
      <c r="CZ58" s="301">
        <f t="shared" si="4"/>
        <v>0</v>
      </c>
      <c r="DA58" s="301">
        <f>DA59+DA60</f>
        <v>0</v>
      </c>
      <c r="DB58" s="301">
        <f>DB59+DB60</f>
        <v>0</v>
      </c>
      <c r="DC58" s="301">
        <f>DC59+DC60</f>
        <v>0</v>
      </c>
      <c r="DD58" s="300">
        <f t="shared" si="5"/>
        <v>0</v>
      </c>
      <c r="DE58" s="301"/>
      <c r="DF58" s="301"/>
      <c r="DG58" s="301"/>
      <c r="DH58" s="301">
        <f t="shared" si="6"/>
        <v>0</v>
      </c>
      <c r="DI58" s="338"/>
      <c r="DJ58" s="338"/>
      <c r="DK58" s="338"/>
      <c r="DL58" s="301">
        <f t="shared" si="50"/>
        <v>0</v>
      </c>
      <c r="DM58" s="301">
        <f>DM59+DM60</f>
        <v>0.13449</v>
      </c>
      <c r="DN58" s="301">
        <f>DN59+DN60</f>
        <v>2.8081512000000002</v>
      </c>
      <c r="DO58" s="301">
        <f>DO59+DO60</f>
        <v>2.8081512000000002</v>
      </c>
      <c r="DP58" s="301">
        <f t="shared" si="7"/>
        <v>0</v>
      </c>
      <c r="DQ58" s="301"/>
      <c r="DR58" s="301"/>
      <c r="DS58" s="301"/>
      <c r="DT58" s="300">
        <f t="shared" si="8"/>
        <v>0</v>
      </c>
      <c r="DU58" s="301">
        <f>DU59+DU60</f>
        <v>0</v>
      </c>
      <c r="DV58" s="301">
        <f>DV59+DV60</f>
        <v>0</v>
      </c>
      <c r="DW58" s="301">
        <f>DW59+DW60</f>
        <v>0</v>
      </c>
      <c r="DX58" s="301">
        <f t="shared" si="9"/>
        <v>0</v>
      </c>
      <c r="DY58" s="301"/>
      <c r="DZ58" s="301"/>
      <c r="EA58" s="301"/>
      <c r="EB58" s="301">
        <f t="shared" si="10"/>
        <v>0</v>
      </c>
      <c r="EC58" s="301"/>
      <c r="ED58" s="301"/>
      <c r="EE58" s="301"/>
      <c r="EF58" s="301">
        <f t="shared" si="11"/>
        <v>0</v>
      </c>
      <c r="EG58" s="301">
        <f t="shared" ref="EG58:EU58" si="67">EG59+EG60</f>
        <v>87.222319999999996</v>
      </c>
      <c r="EH58" s="301">
        <f t="shared" si="67"/>
        <v>1617.1205434999999</v>
      </c>
      <c r="EI58" s="301">
        <f t="shared" si="67"/>
        <v>1617.1205434999999</v>
      </c>
      <c r="EJ58" s="301">
        <f t="shared" si="12"/>
        <v>0</v>
      </c>
      <c r="EK58" s="301">
        <f t="shared" si="67"/>
        <v>0.25645999999999997</v>
      </c>
      <c r="EL58" s="301">
        <f t="shared" si="67"/>
        <v>5.3548847999999989</v>
      </c>
      <c r="EM58" s="301">
        <f t="shared" si="67"/>
        <v>5.3548847999999989</v>
      </c>
      <c r="EN58" s="301">
        <f t="shared" si="13"/>
        <v>0</v>
      </c>
      <c r="EO58" s="301"/>
      <c r="EP58" s="301"/>
      <c r="EQ58" s="301"/>
      <c r="ER58" s="300">
        <f t="shared" si="14"/>
        <v>0</v>
      </c>
      <c r="ES58" s="301">
        <f t="shared" si="67"/>
        <v>3.3585500000000001</v>
      </c>
      <c r="ET58" s="301">
        <f t="shared" si="67"/>
        <v>24.425006399999997</v>
      </c>
      <c r="EU58" s="301">
        <f t="shared" si="67"/>
        <v>24.425006399999997</v>
      </c>
      <c r="EV58" s="300">
        <f t="shared" si="15"/>
        <v>0</v>
      </c>
      <c r="EW58" s="301">
        <f>EW59+EW60</f>
        <v>0</v>
      </c>
      <c r="EX58" s="301">
        <f>EX59+EX60</f>
        <v>0</v>
      </c>
      <c r="EY58" s="301">
        <f>EY59+EY60</f>
        <v>0</v>
      </c>
      <c r="EZ58" s="301">
        <f t="shared" si="16"/>
        <v>0</v>
      </c>
      <c r="FA58" s="301"/>
      <c r="FB58" s="301"/>
      <c r="FC58" s="301"/>
      <c r="FD58" s="301">
        <f t="shared" si="17"/>
        <v>0</v>
      </c>
      <c r="FE58" s="301">
        <f t="shared" ref="FE58:FK58" si="68">FE59+FE60</f>
        <v>0</v>
      </c>
      <c r="FF58" s="301">
        <f t="shared" si="68"/>
        <v>0</v>
      </c>
      <c r="FG58" s="301">
        <f t="shared" si="68"/>
        <v>0</v>
      </c>
      <c r="FH58" s="300">
        <f t="shared" si="18"/>
        <v>0</v>
      </c>
      <c r="FI58" s="301">
        <f t="shared" si="68"/>
        <v>6.0359900000000009</v>
      </c>
      <c r="FJ58" s="301">
        <f t="shared" si="68"/>
        <v>1.3065775000000002</v>
      </c>
      <c r="FK58" s="301">
        <f t="shared" si="68"/>
        <v>1.3065775000000002</v>
      </c>
      <c r="FL58" s="301">
        <f t="shared" si="19"/>
        <v>0</v>
      </c>
      <c r="FM58" s="301">
        <f t="shared" ref="FM58:FS58" si="69">FM59+FM60</f>
        <v>0</v>
      </c>
      <c r="FN58" s="301">
        <f t="shared" si="69"/>
        <v>0</v>
      </c>
      <c r="FO58" s="301">
        <f t="shared" si="69"/>
        <v>0</v>
      </c>
      <c r="FP58" s="301">
        <f t="shared" si="69"/>
        <v>0</v>
      </c>
      <c r="FQ58" s="301">
        <f t="shared" si="69"/>
        <v>1.22197</v>
      </c>
      <c r="FR58" s="301">
        <f t="shared" si="69"/>
        <v>25.343657799999995</v>
      </c>
      <c r="FS58" s="301">
        <f t="shared" si="69"/>
        <v>25.343657799999995</v>
      </c>
      <c r="FT58" s="301">
        <f t="shared" si="21"/>
        <v>0</v>
      </c>
      <c r="FU58" s="301"/>
      <c r="FV58" s="301"/>
      <c r="FW58" s="301"/>
      <c r="FX58" s="301">
        <f t="shared" si="22"/>
        <v>0</v>
      </c>
      <c r="FY58" s="301">
        <f t="shared" ref="FY58:GE58" si="70">FY59+FY60</f>
        <v>0</v>
      </c>
      <c r="FZ58" s="301">
        <f t="shared" si="70"/>
        <v>0</v>
      </c>
      <c r="GA58" s="301">
        <f t="shared" si="70"/>
        <v>0</v>
      </c>
      <c r="GB58" s="301">
        <f t="shared" si="23"/>
        <v>0</v>
      </c>
      <c r="GC58" s="301">
        <f t="shared" si="70"/>
        <v>0</v>
      </c>
      <c r="GD58" s="301">
        <f t="shared" si="70"/>
        <v>0</v>
      </c>
      <c r="GE58" s="301">
        <f t="shared" si="70"/>
        <v>0</v>
      </c>
      <c r="GF58" s="301">
        <f t="shared" si="24"/>
        <v>0</v>
      </c>
      <c r="GG58" s="301">
        <f>GG59+GG60</f>
        <v>0</v>
      </c>
      <c r="GH58" s="301">
        <f>GH59+GH60</f>
        <v>0</v>
      </c>
      <c r="GI58" s="301">
        <f>GI59+GI60</f>
        <v>0</v>
      </c>
      <c r="GJ58" s="301">
        <f t="shared" si="42"/>
        <v>0</v>
      </c>
      <c r="GK58" s="301">
        <f>GK59+GK60</f>
        <v>0</v>
      </c>
      <c r="GL58" s="301">
        <f>GL59+GL60</f>
        <v>0</v>
      </c>
      <c r="GM58" s="301">
        <f>GM59+GM60</f>
        <v>0</v>
      </c>
      <c r="GN58" s="301">
        <f t="shared" si="43"/>
        <v>0</v>
      </c>
      <c r="GO58" s="301">
        <f>GO59+GO60</f>
        <v>0.24010000000000001</v>
      </c>
      <c r="GP58" s="301">
        <f>GP59+GP60</f>
        <v>2.3722319999999999</v>
      </c>
      <c r="GQ58" s="301">
        <f>GQ59+GQ60</f>
        <v>2.3722319999999999</v>
      </c>
      <c r="GR58" s="301">
        <f t="shared" si="44"/>
        <v>0</v>
      </c>
      <c r="GS58" s="301"/>
      <c r="GT58" s="301"/>
      <c r="GU58" s="301"/>
      <c r="GV58" s="301">
        <f t="shared" si="45"/>
        <v>0</v>
      </c>
      <c r="GW58" s="301"/>
      <c r="GX58" s="301"/>
      <c r="GY58" s="301"/>
      <c r="GZ58" s="301">
        <f t="shared" si="46"/>
        <v>0</v>
      </c>
      <c r="HA58" s="328"/>
      <c r="HB58" s="339"/>
      <c r="HS58" s="306"/>
      <c r="HT58" s="306"/>
      <c r="HU58" s="306"/>
      <c r="HV58" s="306"/>
    </row>
    <row r="59" spans="1:256" s="338" customFormat="1" ht="13.5" hidden="1" customHeight="1">
      <c r="A59" s="912"/>
      <c r="B59" s="352"/>
      <c r="C59" s="380" t="s">
        <v>228</v>
      </c>
      <c r="D59" s="381" t="s">
        <v>162</v>
      </c>
      <c r="E59" s="299">
        <f t="shared" ref="E59:H60" si="71">I59+M59+Q59+U59+Y59+AC59+AG59+AK59+AO59+AS59+AW59+BA59+BE59+BI59+BM59+BQ59+BU59+BY59+CC59+CG59+CK59+CO59+CS59+CW59+DA59+DE59+DI59+DM59+DQ59+DU59+DY59+EC59+EG59+EK59+EO59+ES59+EW59+FA59+FE59+FI59+FM59+FQ59+FU59+FY59+GC59+GK59+GG59+GO59+GS59+GW59</f>
        <v>1269.1245799999999</v>
      </c>
      <c r="F59" s="299">
        <f t="shared" si="71"/>
        <v>26283.8055049</v>
      </c>
      <c r="G59" s="299">
        <f t="shared" si="71"/>
        <v>26283.8055049</v>
      </c>
      <c r="H59" s="299">
        <f t="shared" si="71"/>
        <v>0</v>
      </c>
      <c r="L59" s="301">
        <f t="shared" si="25"/>
        <v>0</v>
      </c>
      <c r="M59" s="338">
        <f>('[1]УМУП УК ЖКХ г.Ульяновска'!K90+'[1]УМУП УК ЖКХ г.Ульяновска'!K96)/1000</f>
        <v>2.81E-2</v>
      </c>
      <c r="N59" s="338">
        <f>('[1]УМУП УК ЖКХ г.Ульяновска'!L90+'[1]УМУП УК ЖКХ г.Ульяновска'!L96)/1000</f>
        <v>0.58672799999999992</v>
      </c>
      <c r="O59" s="338">
        <f>('[1]УМУП УК ЖКХ г.Ульяновска'!M90+'[1]УМУП УК ЖКХ г.Ульяновска'!M96)/1000</f>
        <v>0.58672799999999992</v>
      </c>
      <c r="P59" s="301">
        <f t="shared" si="26"/>
        <v>0</v>
      </c>
      <c r="Q59" s="338">
        <f>('[1]ОАО ДК Засвияжье 1'!K129+'[1]ОАО ДК Засвияжье 1'!K130)/1000</f>
        <v>6.9360000000000005E-2</v>
      </c>
      <c r="R59" s="338">
        <f>('[1]ОАО ДК Засвияжье 1'!L129+'[1]ОАО ДК Засвияжье 1'!L130)/1000</f>
        <v>1.4482367999999999</v>
      </c>
      <c r="S59" s="338">
        <f>('[1]ОАО ДК Засвияжье 1'!M129+'[1]ОАО ДК Засвияжье 1'!M130)/1000</f>
        <v>1.4482367999999999</v>
      </c>
      <c r="T59" s="301">
        <f t="shared" si="27"/>
        <v>0</v>
      </c>
      <c r="U59" s="338">
        <f>('[1]ОАО ДК Заволж р-на'!K227+'[1]ОАО ДК Заволж р-на'!K230+'[1]ОАО ДК Заволж р-на'!K233)/1000</f>
        <v>431.51772</v>
      </c>
      <c r="V59" s="338">
        <f>('[1]ОАО ДК Заволж р-на'!L227+'[1]ОАО ДК Заволж р-на'!L230+'[1]ОАО ДК Заволж р-на'!L233)/1000</f>
        <v>8828.2069327000008</v>
      </c>
      <c r="W59" s="338">
        <f>('[1]ОАО ДК Заволж р-на'!M227+'[1]ОАО ДК Заволж р-на'!M230+'[1]ОАО ДК Заволж р-на'!M233)/1000</f>
        <v>8828.2069327000008</v>
      </c>
      <c r="X59" s="301">
        <f t="shared" si="28"/>
        <v>0</v>
      </c>
      <c r="AB59" s="301">
        <f t="shared" si="29"/>
        <v>0</v>
      </c>
      <c r="AC59" s="338">
        <f>([1]МегаЛинк!K83+[1]МегаЛинк!K84)/1000</f>
        <v>7.8760000000000003</v>
      </c>
      <c r="AD59" s="338">
        <f>([1]МегаЛинк!L83+[1]МегаЛинк!L84)/1000</f>
        <v>161.53676000000002</v>
      </c>
      <c r="AE59" s="338">
        <f>([1]МегаЛинк!M83+[1]МегаЛинк!M84)/1000</f>
        <v>161.53676000000002</v>
      </c>
      <c r="AF59" s="300">
        <f t="shared" si="30"/>
        <v>0</v>
      </c>
      <c r="AJ59" s="300">
        <f t="shared" si="31"/>
        <v>0</v>
      </c>
      <c r="AK59" s="338">
        <f>'[1]ООО РЭС'!K95/1000</f>
        <v>3.7399999999999996E-2</v>
      </c>
      <c r="AL59" s="338">
        <f>'[1]ООО РЭС'!L95/1000</f>
        <v>0.70872999999999986</v>
      </c>
      <c r="AM59" s="338">
        <f>'[1]ООО РЭС'!M95/1000</f>
        <v>0.70872999999999986</v>
      </c>
      <c r="AN59" s="301">
        <f t="shared" si="32"/>
        <v>0</v>
      </c>
      <c r="AO59" s="338">
        <f>('[1]ЗАО ГК Аметист'!K114+'[1]ЗАО ГК Аметист'!K119)/1000</f>
        <v>0.14595</v>
      </c>
      <c r="AP59" s="338">
        <f>('[1]ЗАО ГК Аметист'!L114+'[1]ЗАО ГК Аметист'!L119)/1000</f>
        <v>2.969776</v>
      </c>
      <c r="AQ59" s="338">
        <f>('[1]ЗАО ГК Аметист'!M114+'[1]ЗАО ГК Аметист'!M119)/1000</f>
        <v>2.969776</v>
      </c>
      <c r="AR59" s="300">
        <f t="shared" si="33"/>
        <v>0</v>
      </c>
      <c r="AS59" s="338">
        <f>'[1]Фундамент СК ООО'!K39/1000</f>
        <v>5.2909999999999999E-2</v>
      </c>
      <c r="AT59" s="338">
        <f>'[1]Фундамент СК ООО'!L39/1000</f>
        <v>1.1047607999999998</v>
      </c>
      <c r="AU59" s="338">
        <f>'[1]Фундамент СК ООО'!M39/1000</f>
        <v>1.1047607999999998</v>
      </c>
      <c r="AV59" s="301">
        <f t="shared" si="34"/>
        <v>0</v>
      </c>
      <c r="AZ59" s="301">
        <f t="shared" si="35"/>
        <v>0</v>
      </c>
      <c r="BD59" s="301">
        <f t="shared" si="36"/>
        <v>0</v>
      </c>
      <c r="BH59" s="301">
        <f t="shared" si="37"/>
        <v>0</v>
      </c>
      <c r="BI59" s="338">
        <f>([1]СМУ!K105+[1]СМУ!K109+[1]СМУ!K113+[1]СМУ!K117+[1]СМУ!K121+[1]СМУ!K125+[1]СМУ!K129+[1]СМУ!K133+[1]СМУ!K137)/1000</f>
        <v>296.75290999999999</v>
      </c>
      <c r="BJ59" s="338">
        <f>([1]СМУ!L105+[1]СМУ!L109+[1]СМУ!L113+[1]СМУ!L117+[1]СМУ!L121+[1]СМУ!L125+[1]СМУ!L129+[1]СМУ!L133+[1]СМУ!L137)/1000</f>
        <v>6047.9388482999993</v>
      </c>
      <c r="BK59" s="338">
        <f>([1]СМУ!M105+[1]СМУ!M109+[1]СМУ!M113+[1]СМУ!M117+[1]СМУ!M121+[1]СМУ!M125+[1]СМУ!M129+[1]СМУ!M133+[1]СМУ!M137)/1000</f>
        <v>6047.9388482999993</v>
      </c>
      <c r="BL59" s="301">
        <f t="shared" si="38"/>
        <v>0</v>
      </c>
      <c r="BM59" s="338">
        <f>('[1]Евро-Строй-Сервис'!K34+'[1]Евро-Строй-Сервис'!K36+'[1]Евро-Строй-Сервис'!K38)/1000</f>
        <v>19.72372</v>
      </c>
      <c r="BN59" s="338">
        <f>('[1]Евро-Строй-Сервис'!L34+'[1]Евро-Строй-Сервис'!L36+'[1]Евро-Строй-Сервис'!L38)/1000</f>
        <v>404.53349720000006</v>
      </c>
      <c r="BO59" s="338">
        <f>('[1]Евро-Строй-Сервис'!M34+'[1]Евро-Строй-Сервис'!M36+'[1]Евро-Строй-Сервис'!M38)/1000</f>
        <v>404.53349720000006</v>
      </c>
      <c r="BP59" s="301">
        <f t="shared" si="52"/>
        <v>0</v>
      </c>
      <c r="BQ59" s="338">
        <f>('[1]ОАО ДК Засвияжье 2'!K68+'[1]ОАО ДК Засвияжье 2'!K73)/1000</f>
        <v>8.7290000000000006E-2</v>
      </c>
      <c r="BR59" s="338">
        <f>('[1]ОАО ДК Засвияжье 2'!L68+'[1]ОАО ДК Засвияжье 2'!L73)/1000</f>
        <v>1.8226152</v>
      </c>
      <c r="BS59" s="338">
        <f>('[1]ОАО ДК Засвияжье 2'!M68+'[1]ОАО ДК Засвияжье 2'!M73)/1000</f>
        <v>1.8226152</v>
      </c>
      <c r="BT59" s="301">
        <f t="shared" si="39"/>
        <v>0</v>
      </c>
      <c r="BU59" s="338">
        <f>('[1]ОАО ДК Лен р-на'!K216+'[1]ОАО ДК Лен р-на'!K220+'[1]ОАО ДК Лен р-на'!K224+'[1]ОАО ДК Лен р-на'!K228+'[1]ОАО ДК Лен р-на'!K232+'[1]ОАО ДК Лен р-на'!K236+'[1]ОАО ДК Лен р-на'!K238+'[1]ОАО ДК Лен р-на'!K240+'[1]ОАО ДК Лен р-на'!K242+'[1]ООО Технология'!K119+'[1]ООО Технология'!K122+'[1]ООО Технология'!K124+'[1]ООО Технология'!K126+'[1]ООО Технология'!K128)/1000</f>
        <v>76.222719999999981</v>
      </c>
      <c r="BV59" s="338">
        <f>('[1]ОАО ДК Лен р-на'!L216+'[1]ОАО ДК Лен р-на'!L220+'[1]ОАО ДК Лен р-на'!L224+'[1]ОАО ДК Лен р-на'!L228+'[1]ОАО ДК Лен р-на'!L232+'[1]ОАО ДК Лен р-на'!L236+'[1]ОАО ДК Лен р-на'!L238+'[1]ОАО ДК Лен р-на'!L240+'[1]ОАО ДК Лен р-на'!L242+'[1]ООО Технология'!L119+'[1]ООО Технология'!L122+'[1]ООО Технология'!L124+'[1]ООО Технология'!L126+'[1]ООО Технология'!L128)/1000</f>
        <v>1663.9308157999999</v>
      </c>
      <c r="BW59" s="338">
        <f>('[1]ОАО ДК Лен р-на'!M216+'[1]ОАО ДК Лен р-на'!M220+'[1]ОАО ДК Лен р-на'!M224+'[1]ОАО ДК Лен р-на'!M228+'[1]ОАО ДК Лен р-на'!M232+'[1]ОАО ДК Лен р-на'!M236+'[1]ОАО ДК Лен р-на'!M238+'[1]ОАО ДК Лен р-на'!M240+'[1]ОАО ДК Лен р-на'!M242+'[1]ООО Технология'!M119+'[1]ООО Технология'!M122+'[1]ООО Технология'!M124+'[1]ООО Технология'!M126+'[1]ООО Технология'!M128)/1000</f>
        <v>1663.9308157999999</v>
      </c>
      <c r="BX59" s="301">
        <f t="shared" si="40"/>
        <v>0</v>
      </c>
      <c r="BY59" s="338">
        <f>('[1]ОАО ДК ЖД р-на'!K363+'[1]ОАО ДК ЖД р-на'!K370+'[1]ОАО ДК ЖД р-на'!K377)/1000</f>
        <v>328.76845000000003</v>
      </c>
      <c r="BZ59" s="338">
        <f>('[1]ОАО ДК ЖД р-на'!L363+'[1]ОАО ДК ЖД р-на'!L370+'[1]ОАО ДК ЖД р-на'!L377)/1000</f>
        <v>6812.1480577000002</v>
      </c>
      <c r="CA59" s="338">
        <f>('[1]ОАО ДК ЖД р-на'!M363+'[1]ОАО ДК ЖД р-на'!M370+'[1]ОАО ДК ЖД р-на'!M377)/1000</f>
        <v>6812.1480577000002</v>
      </c>
      <c r="CB59" s="301">
        <f t="shared" si="41"/>
        <v>0</v>
      </c>
      <c r="CF59" s="300">
        <f t="shared" si="49"/>
        <v>0</v>
      </c>
      <c r="CJ59" s="301">
        <f t="shared" si="0"/>
        <v>0</v>
      </c>
      <c r="CN59" s="301">
        <f t="shared" si="1"/>
        <v>0</v>
      </c>
      <c r="CR59" s="301">
        <f t="shared" si="2"/>
        <v>0</v>
      </c>
      <c r="CS59" s="338">
        <f>'[1]МостОтряд №51'!K42/1000</f>
        <v>8.31541</v>
      </c>
      <c r="CT59" s="338">
        <f>'[1]МостОтряд №51'!L42/1000</f>
        <v>189.2587316</v>
      </c>
      <c r="CU59" s="338">
        <f>'[1]МостОтряд №51'!M42/1000</f>
        <v>189.2587316</v>
      </c>
      <c r="CV59" s="301">
        <f t="shared" si="3"/>
        <v>0</v>
      </c>
      <c r="CW59" s="338">
        <f>('[1]Пр-т Гая'!K96+'[1]Пр-т Гая'!K103+'[1]Пр-т Гая'!K110)/1000</f>
        <v>23.571840000000002</v>
      </c>
      <c r="CX59" s="338">
        <f>('[1]Пр-т Гая'!L96+'[1]Пр-т Гая'!L103+'[1]Пр-т Гая'!L110)/1000</f>
        <v>488.8799616</v>
      </c>
      <c r="CY59" s="338">
        <f>('[1]Пр-т Гая'!M96+'[1]Пр-т Гая'!M103+'[1]Пр-т Гая'!M110)/1000</f>
        <v>488.8799616</v>
      </c>
      <c r="CZ59" s="301">
        <f t="shared" si="4"/>
        <v>0</v>
      </c>
      <c r="DA59" s="338">
        <f>[1]Стасова!K72/1000</f>
        <v>0</v>
      </c>
      <c r="DB59" s="338">
        <f>[1]Стасова!L72/1000</f>
        <v>0</v>
      </c>
      <c r="DC59" s="338">
        <f>[1]Стасова!M72/1000</f>
        <v>0</v>
      </c>
      <c r="DD59" s="300">
        <f t="shared" si="5"/>
        <v>0</v>
      </c>
      <c r="DH59" s="301">
        <f t="shared" si="6"/>
        <v>0</v>
      </c>
      <c r="DL59" s="301">
        <f t="shared" si="50"/>
        <v>0</v>
      </c>
      <c r="DM59" s="338">
        <f>'[1]Альфаком-У'!K97/1000</f>
        <v>0.13449</v>
      </c>
      <c r="DN59" s="338">
        <f>'[1]Альфаком-У'!L97/1000</f>
        <v>2.8081512000000002</v>
      </c>
      <c r="DO59" s="338">
        <f>'[1]Альфаком-У'!M97/1000</f>
        <v>2.8081512000000002</v>
      </c>
      <c r="DP59" s="301">
        <f t="shared" si="7"/>
        <v>0</v>
      </c>
      <c r="DT59" s="300">
        <f t="shared" si="8"/>
        <v>0</v>
      </c>
      <c r="DU59" s="338">
        <f>'[1]Альфаком-У-ТСЖ З-2'!K82/1000</f>
        <v>0</v>
      </c>
      <c r="DV59" s="338">
        <f>'[1]Альфаком-У-ТСЖ З-2'!L82/1000</f>
        <v>0</v>
      </c>
      <c r="DW59" s="338">
        <f>'[1]Альфаком-У-ТСЖ З-2'!M82/1000</f>
        <v>0</v>
      </c>
      <c r="DX59" s="301">
        <f t="shared" si="9"/>
        <v>0</v>
      </c>
      <c r="EB59" s="301">
        <f t="shared" si="10"/>
        <v>0</v>
      </c>
      <c r="EF59" s="301">
        <f t="shared" si="11"/>
        <v>0</v>
      </c>
      <c r="EG59" s="338">
        <f>('[1]ООО ЦЭТ'!K121+'[1]ООО ЦЭТ'!K125+'[1]ООО ЦЭТ'!K129+'[1]ООО ЦЭТ'!K133+'[1]ООО ЦЭТ'!K137+'[1]ООО ЦЭТ'!K141+'[1]ООО ЦЭТ'!K143+'[1]ООО ЦЭТ'!K145)/1000</f>
        <v>72.982089999999999</v>
      </c>
      <c r="EH59" s="338">
        <f>('[1]ООО ЦЭТ'!L121+'[1]ООО ЦЭТ'!L125+'[1]ООО ЦЭТ'!L129+'[1]ООО ЦЭТ'!L133+'[1]ООО ЦЭТ'!L137+'[1]ООО ЦЭТ'!L141+'[1]ООО ЦЭТ'!L143+'[1]ООО ЦЭТ'!L145)/1000</f>
        <v>1617.1205434999999</v>
      </c>
      <c r="EI59" s="338">
        <f>('[1]ООО ЦЭТ'!M121+'[1]ООО ЦЭТ'!M125+'[1]ООО ЦЭТ'!M129+'[1]ООО ЦЭТ'!M133+'[1]ООО ЦЭТ'!M137+'[1]ООО ЦЭТ'!M141+'[1]ООО ЦЭТ'!M143+'[1]ООО ЦЭТ'!M145)/1000</f>
        <v>1617.1205434999999</v>
      </c>
      <c r="EJ59" s="301">
        <f t="shared" si="12"/>
        <v>0</v>
      </c>
      <c r="EK59" s="338">
        <f>'[1]ТСЖ Форт'!K42/1000</f>
        <v>0.25645999999999997</v>
      </c>
      <c r="EL59" s="338">
        <f>'[1]ТСЖ Форт'!L42/1000</f>
        <v>5.3548847999999989</v>
      </c>
      <c r="EM59" s="338">
        <f>'[1]ТСЖ Форт'!M42/1000</f>
        <v>5.3548847999999989</v>
      </c>
      <c r="EN59" s="301">
        <f t="shared" si="13"/>
        <v>0</v>
      </c>
      <c r="ER59" s="300">
        <f t="shared" si="14"/>
        <v>0</v>
      </c>
      <c r="ES59" s="338">
        <f>('[1]УК ЖКХ Симбирск'!K120+'[1]УК ЖКХ Симбирск'!K124+'[1]УК ЖКХ Симбирск'!K128+'[1]УК ЖКХ Симбирск'!K132+'[1]УК ЖКХ Симбирск'!K136+'[1]УК ЖКХ Симбирск'!K140)/1000</f>
        <v>1.16978</v>
      </c>
      <c r="ET59" s="338">
        <f>('[1]УК ЖКХ Симбирск'!L120+'[1]УК ЖКХ Симбирск'!L124+'[1]УК ЖКХ Симбирск'!L128+'[1]УК ЖКХ Симбирск'!L132+'[1]УК ЖКХ Симбирск'!L136+'[1]УК ЖКХ Симбирск'!L140)/1000</f>
        <v>24.425006399999997</v>
      </c>
      <c r="EU59" s="338">
        <f>('[1]УК ЖКХ Симбирск'!M120+'[1]УК ЖКХ Симбирск'!M124+'[1]УК ЖКХ Симбирск'!M128+'[1]УК ЖКХ Симбирск'!M132+'[1]УК ЖКХ Симбирск'!M136+'[1]УК ЖКХ Симбирск'!M140)/1000</f>
        <v>24.425006399999997</v>
      </c>
      <c r="EV59" s="300">
        <f t="shared" si="15"/>
        <v>0</v>
      </c>
      <c r="EW59" s="338">
        <f>('[1]ООО Наш Дом 010212'!K68+'[1]ООО Наш Дом 010212'!K73)/1000</f>
        <v>0</v>
      </c>
      <c r="EX59" s="338">
        <f>('[1]ООО Наш Дом 010212'!L68+'[1]ООО Наш Дом 010212'!L73)/1000</f>
        <v>0</v>
      </c>
      <c r="EY59" s="338">
        <f>('[1]ООО Наш Дом 010212'!M68+'[1]ООО Наш Дом 010212'!M73)/1000</f>
        <v>0</v>
      </c>
      <c r="EZ59" s="301">
        <f t="shared" si="16"/>
        <v>0</v>
      </c>
      <c r="FD59" s="301">
        <f t="shared" si="17"/>
        <v>0</v>
      </c>
      <c r="FE59" s="338">
        <f>('[1]ООО ЖКиСР УправДом'!K86)/1000</f>
        <v>0</v>
      </c>
      <c r="FF59" s="338">
        <f>('[1]ООО ЖКиСР УправДом'!L86)/1000</f>
        <v>0</v>
      </c>
      <c r="FG59" s="338">
        <f>('[1]ООО ЖКиСР УправДом'!M86)/1000</f>
        <v>0</v>
      </c>
      <c r="FH59" s="300">
        <f t="shared" si="18"/>
        <v>0</v>
      </c>
      <c r="FI59" s="338">
        <f>'[1]ТСЖ Малахит'!K35/1000</f>
        <v>7.3609999999999995E-2</v>
      </c>
      <c r="FJ59" s="338">
        <f>'[1]ТСЖ Малахит'!L35/1000</f>
        <v>1.3065775000000002</v>
      </c>
      <c r="FK59" s="338">
        <f>'[1]ТСЖ Малахит'!M35/1000</f>
        <v>1.3065775000000002</v>
      </c>
      <c r="FL59" s="301">
        <f t="shared" si="19"/>
        <v>0</v>
      </c>
      <c r="FM59" s="338">
        <v>0</v>
      </c>
      <c r="FN59" s="338">
        <v>0</v>
      </c>
      <c r="FO59" s="338">
        <v>0</v>
      </c>
      <c r="FP59" s="301">
        <f>FO59-FN59</f>
        <v>0</v>
      </c>
      <c r="FQ59" s="338">
        <f>('[1]ООО ЖКХ Лен-го района'!K103+'[1]ООО ЖКХ Лен-го района'!K107)/1000</f>
        <v>1.22197</v>
      </c>
      <c r="FR59" s="338">
        <f>('[1]ООО ЖКХ Лен-го района'!L103+'[1]ООО ЖКХ Лен-го района'!L107)/1000</f>
        <v>25.343657799999995</v>
      </c>
      <c r="FS59" s="338">
        <f>('[1]ООО ЖКХ Лен-го района'!M103+'[1]ООО ЖКХ Лен-го района'!M107)/1000</f>
        <v>25.343657799999995</v>
      </c>
      <c r="FT59" s="301">
        <f t="shared" si="21"/>
        <v>0</v>
      </c>
      <c r="FX59" s="301">
        <f t="shared" si="22"/>
        <v>0</v>
      </c>
      <c r="FY59" s="338">
        <f>'[1]ООО КПД-2 Жилсервис'!K41/1000</f>
        <v>0</v>
      </c>
      <c r="FZ59" s="338">
        <f>'[1]ООО КПД-2 Жилсервис'!L41/1000</f>
        <v>0</v>
      </c>
      <c r="GA59" s="338">
        <f>'[1]ООО КПД-2 Жилсервис'!M41/1000</f>
        <v>0</v>
      </c>
      <c r="GB59" s="301">
        <f t="shared" si="23"/>
        <v>0</v>
      </c>
      <c r="GC59" s="338">
        <f>'[1]ООО УК ЦЭТ'!K135/1000</f>
        <v>0</v>
      </c>
      <c r="GD59" s="338">
        <f>'[1]ООО УК ЦЭТ'!L135/1000</f>
        <v>0</v>
      </c>
      <c r="GE59" s="338">
        <f>'[1]ООО УК ЦЭТ'!M135/1000</f>
        <v>0</v>
      </c>
      <c r="GF59" s="301">
        <f>GE59-GD59</f>
        <v>0</v>
      </c>
      <c r="GJ59" s="301">
        <f>GI59-GH59</f>
        <v>0</v>
      </c>
      <c r="GN59" s="301">
        <f t="shared" si="43"/>
        <v>0</v>
      </c>
      <c r="GO59" s="338">
        <f>'[1]ООО УО Партнер'!K68/1000</f>
        <v>0.1164</v>
      </c>
      <c r="GP59" s="338">
        <f>'[1]ООО УО Партнер'!L68/1000</f>
        <v>2.3722319999999999</v>
      </c>
      <c r="GQ59" s="338">
        <f>'[1]ООО УО Партнер'!M68/1000</f>
        <v>2.3722319999999999</v>
      </c>
      <c r="GR59" s="301">
        <f t="shared" si="44"/>
        <v>0</v>
      </c>
      <c r="GV59" s="301">
        <f t="shared" si="45"/>
        <v>0</v>
      </c>
      <c r="GZ59" s="301">
        <f t="shared" si="46"/>
        <v>0</v>
      </c>
      <c r="HA59" s="328"/>
      <c r="HB59" s="339"/>
      <c r="HC59" s="286"/>
      <c r="HD59" s="286"/>
      <c r="HE59" s="286"/>
      <c r="HF59" s="286"/>
      <c r="HG59" s="286"/>
      <c r="HH59" s="286"/>
      <c r="HI59" s="286"/>
      <c r="HJ59" s="286"/>
      <c r="HK59" s="286"/>
      <c r="HL59" s="286"/>
      <c r="HM59" s="286"/>
      <c r="HN59" s="286"/>
      <c r="HO59" s="286"/>
      <c r="HP59" s="286"/>
      <c r="HQ59" s="286"/>
      <c r="HR59" s="286"/>
      <c r="HS59" s="306"/>
      <c r="HT59" s="306"/>
      <c r="HU59" s="306"/>
      <c r="HV59" s="306"/>
      <c r="HW59" s="286"/>
      <c r="HX59" s="286"/>
      <c r="HY59" s="286"/>
      <c r="HZ59" s="286"/>
      <c r="IA59" s="286"/>
      <c r="IB59" s="286"/>
      <c r="IC59" s="286"/>
      <c r="ID59" s="286"/>
      <c r="IE59" s="286"/>
      <c r="IF59" s="286"/>
      <c r="IG59" s="286"/>
      <c r="IH59" s="286"/>
      <c r="II59" s="286"/>
      <c r="IJ59" s="286"/>
      <c r="IK59" s="286"/>
      <c r="IL59" s="286"/>
      <c r="IM59" s="286"/>
      <c r="IN59" s="286"/>
      <c r="IO59" s="286"/>
      <c r="IP59" s="286"/>
      <c r="IQ59" s="286"/>
      <c r="IR59" s="286"/>
      <c r="IS59" s="286"/>
      <c r="IT59" s="286"/>
      <c r="IU59" s="286"/>
      <c r="IV59" s="286"/>
    </row>
    <row r="60" spans="1:256" s="338" customFormat="1" ht="13.5" hidden="1" customHeight="1">
      <c r="A60" s="912"/>
      <c r="B60" s="352"/>
      <c r="C60" s="380" t="s">
        <v>229</v>
      </c>
      <c r="D60" s="381" t="s">
        <v>162</v>
      </c>
      <c r="E60" s="299">
        <f t="shared" si="71"/>
        <v>78.791479999999993</v>
      </c>
      <c r="F60" s="299">
        <f t="shared" si="71"/>
        <v>0</v>
      </c>
      <c r="G60" s="299">
        <f t="shared" si="71"/>
        <v>0</v>
      </c>
      <c r="H60" s="299">
        <f t="shared" si="71"/>
        <v>0</v>
      </c>
      <c r="L60" s="301">
        <f t="shared" si="25"/>
        <v>0</v>
      </c>
      <c r="M60" s="338">
        <f>('[1]УМУП УК ЖКХ г.Ульяновска'!K99+'[1]УМУП УК ЖКХ г.Ульяновска'!K101)/1000</f>
        <v>0</v>
      </c>
      <c r="N60" s="338">
        <f>('[1]УМУП УК ЖКХ г.Ульяновска'!L99+'[1]УМУП УК ЖКХ г.Ульяновска'!L101)/1000</f>
        <v>0</v>
      </c>
      <c r="O60" s="338">
        <f>('[1]УМУП УК ЖКХ г.Ульяновска'!M99+'[1]УМУП УК ЖКХ г.Ульяновска'!M101)/1000</f>
        <v>0</v>
      </c>
      <c r="P60" s="301">
        <f t="shared" si="26"/>
        <v>0</v>
      </c>
      <c r="Q60" s="338">
        <f>('[1]ОАО ДК Засвияжье 1'!K136)/1000</f>
        <v>0</v>
      </c>
      <c r="R60" s="338">
        <f>('[1]ОАО ДК Засвияжье 1'!L136)/1000</f>
        <v>0</v>
      </c>
      <c r="S60" s="338">
        <f>('[1]ОАО ДК Засвияжье 1'!M136)/1000</f>
        <v>0</v>
      </c>
      <c r="T60" s="301">
        <f t="shared" si="27"/>
        <v>0</v>
      </c>
      <c r="U60" s="338">
        <f>('[1]ОАО ДК Заволж р-на'!K237+'[1]ОАО ДК Заволж р-на'!K240+'[1]ОАО ДК Заволж р-на'!K243)/1000</f>
        <v>30.734849999999998</v>
      </c>
      <c r="V60" s="338">
        <f>('[1]ОАО ДК Заволж р-на'!L237+'[1]ОАО ДК Заволж р-на'!L240+'[1]ОАО ДК Заволж р-на'!L243)/1000*0</f>
        <v>0</v>
      </c>
      <c r="W60" s="338">
        <f>('[1]ОАО ДК Заволж р-на'!M237+'[1]ОАО ДК Заволж р-на'!M240+'[1]ОАО ДК Заволж р-на'!M243)/1000*0</f>
        <v>0</v>
      </c>
      <c r="X60" s="301">
        <f t="shared" si="28"/>
        <v>0</v>
      </c>
      <c r="AB60" s="301">
        <f t="shared" si="29"/>
        <v>0</v>
      </c>
      <c r="AC60" s="338">
        <f>[1]МегаЛинк!K88/1000</f>
        <v>0.13</v>
      </c>
      <c r="AD60" s="338">
        <f>[1]МегаЛинк!L88/1000*0</f>
        <v>0</v>
      </c>
      <c r="AE60" s="338">
        <f>[1]МегаЛинк!M88/1000*0</f>
        <v>0</v>
      </c>
      <c r="AF60" s="300">
        <f t="shared" si="30"/>
        <v>0</v>
      </c>
      <c r="AJ60" s="300">
        <f t="shared" si="31"/>
        <v>0</v>
      </c>
      <c r="AK60" s="338">
        <f>'[1]ООО РЭС'!K98/1000</f>
        <v>0</v>
      </c>
      <c r="AL60" s="338">
        <f>'[1]ООО РЭС'!L98/1000</f>
        <v>0</v>
      </c>
      <c r="AM60" s="338">
        <f>'[1]ООО РЭС'!M98/1000</f>
        <v>0</v>
      </c>
      <c r="AN60" s="301">
        <f t="shared" si="32"/>
        <v>0</v>
      </c>
      <c r="AO60" s="338">
        <f>('[1]ЗАО ГК Аметист'!K125+'[1]ЗАО ГК Аметист'!K130+'[1]ЗАО ГК Аметист'!K135)/1000</f>
        <v>0</v>
      </c>
      <c r="AP60" s="338">
        <f>('[1]ЗАО ГК Аметист'!L125+'[1]ЗАО ГК Аметист'!L130+'[1]ЗАО ГК Аметист'!L135+'[1]ЗАО ГК Аметист'!L230)/1000</f>
        <v>0</v>
      </c>
      <c r="AQ60" s="338">
        <f>('[1]ЗАО ГК Аметист'!M125+'[1]ЗАО ГК Аметист'!M130+'[1]ЗАО ГК Аметист'!M135+'[1]ЗАО ГК Аметист'!M230)/1000</f>
        <v>0</v>
      </c>
      <c r="AR60" s="300">
        <f t="shared" si="33"/>
        <v>0</v>
      </c>
      <c r="AS60" s="338">
        <f>'[1]Фундамент СК ООО'!K45/1000</f>
        <v>0</v>
      </c>
      <c r="AT60" s="338">
        <f>'[1]Фундамент СК ООО'!L45/1000</f>
        <v>0</v>
      </c>
      <c r="AU60" s="338">
        <f>'[1]Фундамент СК ООО'!M45/1000</f>
        <v>0</v>
      </c>
      <c r="AV60" s="301">
        <f t="shared" si="34"/>
        <v>0</v>
      </c>
      <c r="AZ60" s="301">
        <f t="shared" si="35"/>
        <v>0</v>
      </c>
      <c r="BD60" s="301">
        <f t="shared" si="36"/>
        <v>0</v>
      </c>
      <c r="BH60" s="301">
        <f t="shared" si="37"/>
        <v>0</v>
      </c>
      <c r="BI60" s="338">
        <f>([1]СМУ!K142+[1]СМУ!K146+[1]СМУ!K150)/1000</f>
        <v>1.9796599999999998</v>
      </c>
      <c r="BJ60" s="338">
        <f>([1]СМУ!L142+[1]СМУ!L146+[1]СМУ!L150)/1000*0</f>
        <v>0</v>
      </c>
      <c r="BK60" s="338">
        <f>([1]СМУ!M142+[1]СМУ!M146+[1]СМУ!M150)/1000*0</f>
        <v>0</v>
      </c>
      <c r="BL60" s="301">
        <f t="shared" si="38"/>
        <v>0</v>
      </c>
      <c r="BM60" s="338">
        <f>('[1]Евро-Строй-Сервис'!K41+'[1]Евро-Строй-Сервис'!K43+'[1]Евро-Строй-Сервис'!K45)/1000</f>
        <v>0.49429000000000001</v>
      </c>
      <c r="BN60" s="338">
        <f>('[1]Евро-Строй-Сервис'!L41+'[1]Евро-Строй-Сервис'!L43+'[1]Евро-Строй-Сервис'!L45)/1000*0</f>
        <v>0</v>
      </c>
      <c r="BO60" s="338">
        <f>('[1]Евро-Строй-Сервис'!M41+'[1]Евро-Строй-Сервис'!M43+'[1]Евро-Строй-Сервис'!M45)/1000*0</f>
        <v>0</v>
      </c>
      <c r="BP60" s="301">
        <f t="shared" si="52"/>
        <v>0</v>
      </c>
      <c r="BQ60" s="338">
        <f>('[1]ОАО ДК Засвияжье 2'!K79+'[1]ОАО ДК Засвияжье 2'!K84)/1000</f>
        <v>0</v>
      </c>
      <c r="BR60" s="338">
        <f>('[1]ОАО ДК Засвияжье 2'!L79+'[1]ОАО ДК Засвияжье 2'!L84)/1000</f>
        <v>0</v>
      </c>
      <c r="BS60" s="338">
        <f>('[1]ОАО ДК Засвияжье 2'!M79+'[1]ОАО ДК Засвияжье 2'!M84)/1000</f>
        <v>0</v>
      </c>
      <c r="BT60" s="301">
        <f t="shared" si="39"/>
        <v>0</v>
      </c>
      <c r="BU60" s="338">
        <f>('[1]ОАО ДК Лен р-на'!K247+'[1]ОАО ДК Лен р-на'!K251+'[1]ОАО ДК Лен р-на'!K255+'[1]ОАО ДК Лен р-на'!K259+'[1]ОАО ДК Лен р-на'!K263+'[1]ОАО ДК Лен р-на'!K267+'[1]ОАО ДК Лен р-на'!K269)/1000</f>
        <v>8.9219999999999994E-2</v>
      </c>
      <c r="BV60" s="338">
        <f>('[1]ОАО ДК Лен р-на'!L247+'[1]ОАО ДК Лен р-на'!L251+'[1]ОАО ДК Лен р-на'!L255+'[1]ОАО ДК Лен р-на'!L259+'[1]ОАО ДК Лен р-на'!L263+'[1]ОАО ДК Лен р-на'!L267+'[1]ОАО ДК Лен р-на'!L269)/1000*0</f>
        <v>0</v>
      </c>
      <c r="BW60" s="338">
        <f>('[1]ОАО ДК Лен р-на'!M247+'[1]ОАО ДК Лен р-на'!M251+'[1]ОАО ДК Лен р-на'!M255+'[1]ОАО ДК Лен р-на'!M259+'[1]ОАО ДК Лен р-на'!M263+'[1]ОАО ДК Лен р-на'!M267+'[1]ОАО ДК Лен р-на'!M269)/1000*0</f>
        <v>0</v>
      </c>
      <c r="BX60" s="301">
        <f t="shared" si="40"/>
        <v>0</v>
      </c>
      <c r="BY60" s="338">
        <f>('[1]ОАО ДК ЖД р-на'!K385+'[1]ОАО ДК ЖД р-на'!K392+'[1]ОАО ДК ЖД р-на'!K399)/1000</f>
        <v>19.326760000000004</v>
      </c>
      <c r="BZ60" s="338">
        <f>('[1]ОАО ДК ЖД р-на'!L385+'[1]ОАО ДК ЖД р-на'!L392+'[1]ОАО ДК ЖД р-на'!L399)/1000*0</f>
        <v>0</v>
      </c>
      <c r="CA60" s="338">
        <f>('[1]ОАО ДК ЖД р-на'!M385+'[1]ОАО ДК ЖД р-на'!M392+'[1]ОАО ДК ЖД р-на'!M399)/1000*0</f>
        <v>0</v>
      </c>
      <c r="CB60" s="301">
        <f t="shared" si="41"/>
        <v>0</v>
      </c>
      <c r="CF60" s="300">
        <f t="shared" si="49"/>
        <v>0</v>
      </c>
      <c r="CJ60" s="301">
        <f t="shared" si="0"/>
        <v>0</v>
      </c>
      <c r="CN60" s="301">
        <f t="shared" si="1"/>
        <v>0</v>
      </c>
      <c r="CR60" s="301">
        <f t="shared" si="2"/>
        <v>0</v>
      </c>
      <c r="CS60" s="338">
        <f>'[1]МостОтряд №51'!K45/1000</f>
        <v>6.6670000000000007E-2</v>
      </c>
      <c r="CT60" s="338">
        <f>'[1]МостОтряд №51'!L45/1000*0</f>
        <v>0</v>
      </c>
      <c r="CU60" s="338">
        <f>'[1]МостОтряд №51'!M45/1000*0</f>
        <v>0</v>
      </c>
      <c r="CV60" s="301">
        <f t="shared" si="3"/>
        <v>0</v>
      </c>
      <c r="CW60" s="338">
        <f>('[1]Пр-т Гая'!K118+'[1]Пр-т Гая'!K125+'[1]Пр-т Гая'!K132)/1000</f>
        <v>3.4549499999999997</v>
      </c>
      <c r="CX60" s="338">
        <f>('[1]Пр-т Гая'!L118+'[1]Пр-т Гая'!L125+'[1]Пр-т Гая'!L132)/1000*0</f>
        <v>0</v>
      </c>
      <c r="CY60" s="338">
        <f>('[1]Пр-т Гая'!M118+'[1]Пр-т Гая'!M125+'[1]Пр-т Гая'!M132)/1000*0</f>
        <v>0</v>
      </c>
      <c r="CZ60" s="301">
        <f t="shared" si="4"/>
        <v>0</v>
      </c>
      <c r="DA60" s="338">
        <f>[1]Стасова!K78/1000</f>
        <v>0</v>
      </c>
      <c r="DB60" s="338">
        <f>[1]Стасова!L78/1000</f>
        <v>0</v>
      </c>
      <c r="DC60" s="338">
        <f>[1]Стасова!M78/1000</f>
        <v>0</v>
      </c>
      <c r="DD60" s="300">
        <f t="shared" si="5"/>
        <v>0</v>
      </c>
      <c r="DH60" s="301">
        <f t="shared" si="6"/>
        <v>0</v>
      </c>
      <c r="DL60" s="301">
        <f t="shared" si="50"/>
        <v>0</v>
      </c>
      <c r="DM60" s="338">
        <f>'[1]Альфаком-У'!K103/1000</f>
        <v>0</v>
      </c>
      <c r="DN60" s="338">
        <f>'[1]Альфаком-У'!L103/1000*0</f>
        <v>0</v>
      </c>
      <c r="DO60" s="338">
        <f>'[1]Альфаком-У'!M103/1000*0</f>
        <v>0</v>
      </c>
      <c r="DP60" s="301">
        <f t="shared" si="7"/>
        <v>0</v>
      </c>
      <c r="DT60" s="300">
        <f t="shared" si="8"/>
        <v>0</v>
      </c>
      <c r="DU60" s="338">
        <f>'[1]Альфаком-У-ТСЖ З-2'!K88/1000</f>
        <v>0</v>
      </c>
      <c r="DV60" s="338">
        <f>'[1]Альфаком-У-ТСЖ З-2'!L88/1000*0</f>
        <v>0</v>
      </c>
      <c r="DW60" s="338">
        <f>'[1]Альфаком-У-ТСЖ З-2'!M88/1000*0</f>
        <v>0</v>
      </c>
      <c r="DX60" s="301">
        <f t="shared" si="9"/>
        <v>0</v>
      </c>
      <c r="EB60" s="301">
        <f t="shared" si="10"/>
        <v>0</v>
      </c>
      <c r="EF60" s="301">
        <f t="shared" si="11"/>
        <v>0</v>
      </c>
      <c r="EG60" s="338">
        <f>('[1]ООО ЦЭТ'!K150+'[1]ООО ЦЭТ'!K154+'[1]ООО ЦЭТ'!K158+'[1]ООО ЦЭТ'!K162+'[1]ООО ЦЭТ'!K166+'[1]ООО ЦЭТ'!K170)/1000</f>
        <v>14.24023</v>
      </c>
      <c r="EH60" s="338">
        <f>('[1]ООО ЦЭТ'!L150+'[1]ООО ЦЭТ'!L154+'[1]ООО ЦЭТ'!L158+'[1]ООО ЦЭТ'!L162+'[1]ООО ЦЭТ'!L166+'[1]ООО ЦЭТ'!L170)/1000*0</f>
        <v>0</v>
      </c>
      <c r="EI60" s="338">
        <f>('[1]ООО ЦЭТ'!M150+'[1]ООО ЦЭТ'!M154+'[1]ООО ЦЭТ'!M158+'[1]ООО ЦЭТ'!M162+'[1]ООО ЦЭТ'!M166+'[1]ООО ЦЭТ'!M170)/1000*0</f>
        <v>0</v>
      </c>
      <c r="EJ60" s="301">
        <f t="shared" si="12"/>
        <v>0</v>
      </c>
      <c r="EK60" s="338">
        <f>'[1]ТСЖ Форт'!K45/1000</f>
        <v>0</v>
      </c>
      <c r="EL60" s="338">
        <f>'[1]ТСЖ Форт'!L45/1000</f>
        <v>0</v>
      </c>
      <c r="EM60" s="338">
        <f>'[1]ТСЖ Форт'!M45/1000</f>
        <v>0</v>
      </c>
      <c r="EN60" s="301">
        <f t="shared" si="13"/>
        <v>0</v>
      </c>
      <c r="ER60" s="300">
        <f t="shared" si="14"/>
        <v>0</v>
      </c>
      <c r="ES60" s="338">
        <f>('[1]УК ЖКХ Симбирск'!K145+'[1]УК ЖКХ Симбирск'!K149+'[1]УК ЖКХ Симбирск'!K153+'[1]УК ЖКХ Симбирск'!K157+'[1]УК ЖКХ Симбирск'!K161+'[1]УК ЖКХ Симбирск'!K165)/1000</f>
        <v>2.1887699999999999</v>
      </c>
      <c r="ET60" s="338">
        <f>('[1]УК ЖКХ Симбирск'!L145+'[1]УК ЖКХ Симбирск'!L149+'[1]УК ЖКХ Симбирск'!L153+'[1]УК ЖКХ Симбирск'!L157+'[1]УК ЖКХ Симбирск'!L161+'[1]УК ЖКХ Симбирск'!L165)/1000*0</f>
        <v>0</v>
      </c>
      <c r="EU60" s="338">
        <f>('[1]УК ЖКХ Симбирск'!M145+'[1]УК ЖКХ Симбирск'!M149+'[1]УК ЖКХ Симбирск'!M153+'[1]УК ЖКХ Симбирск'!M157+'[1]УК ЖКХ Симбирск'!M161+'[1]УК ЖКХ Симбирск'!M165)/1000*0</f>
        <v>0</v>
      </c>
      <c r="EV60" s="300">
        <f t="shared" si="15"/>
        <v>0</v>
      </c>
      <c r="EW60" s="338">
        <f>('[1]ООО Наш Дом 010212'!K79+'[1]ООО Наш Дом 010212'!K84)/1000</f>
        <v>0</v>
      </c>
      <c r="EX60" s="338">
        <f>('[1]ООО Наш Дом 010212'!L79+'[1]ООО Наш Дом 010212'!L84)/1000</f>
        <v>0</v>
      </c>
      <c r="EY60" s="338">
        <f>('[1]ООО Наш Дом 010212'!M79+'[1]ООО Наш Дом 010212'!M84)/1000</f>
        <v>0</v>
      </c>
      <c r="EZ60" s="301">
        <f t="shared" si="16"/>
        <v>0</v>
      </c>
      <c r="FD60" s="301">
        <f t="shared" si="17"/>
        <v>0</v>
      </c>
      <c r="FE60" s="338">
        <f>'[1]ООО ЖКиСР УправДом'!K94/1000</f>
        <v>0</v>
      </c>
      <c r="FF60" s="338">
        <f>'[1]ООО ЖКиСР УправДом'!L94/1000</f>
        <v>0</v>
      </c>
      <c r="FG60" s="338">
        <f>'[1]ООО ЖКиСР УправДом'!M94/1000</f>
        <v>0</v>
      </c>
      <c r="FH60" s="300">
        <f t="shared" si="18"/>
        <v>0</v>
      </c>
      <c r="FI60" s="338">
        <f>'[1]ТСЖ Малахит'!K38/1000</f>
        <v>5.9623800000000005</v>
      </c>
      <c r="FJ60" s="338">
        <f>'[1]ТСЖ Малахит'!L38/1000*0</f>
        <v>0</v>
      </c>
      <c r="FK60" s="338">
        <f>'[1]ТСЖ Малахит'!M38/1000*0</f>
        <v>0</v>
      </c>
      <c r="FL60" s="301">
        <f t="shared" si="19"/>
        <v>0</v>
      </c>
      <c r="FM60" s="338">
        <f>'[1]ООО Технология'!K131/1000</f>
        <v>0</v>
      </c>
      <c r="FN60" s="338">
        <f>'[1]ООО Технология'!L131/1000</f>
        <v>0</v>
      </c>
      <c r="FO60" s="338">
        <f>'[1]ООО Технология'!M131/1000</f>
        <v>0</v>
      </c>
      <c r="FP60" s="301">
        <f>FO60-FN60</f>
        <v>0</v>
      </c>
      <c r="FQ60" s="338">
        <f>'[1]ООО ЖКХ Лен-го района'!K112/1000</f>
        <v>0</v>
      </c>
      <c r="FR60" s="338">
        <f>'[1]ООО ЖКХ Лен-го района'!L112/1000</f>
        <v>0</v>
      </c>
      <c r="FS60" s="338">
        <f>'[1]ООО ЖКХ Лен-го района'!M112/1000</f>
        <v>0</v>
      </c>
      <c r="FT60" s="301">
        <f t="shared" si="21"/>
        <v>0</v>
      </c>
      <c r="FX60" s="301">
        <f t="shared" si="22"/>
        <v>0</v>
      </c>
      <c r="FY60" s="338">
        <f>'[1]ООО КПД-2 Жилсервис'!K44/1000</f>
        <v>0</v>
      </c>
      <c r="FZ60" s="338">
        <f>'[1]ООО КПД-2 Жилсервис'!L44/1000</f>
        <v>0</v>
      </c>
      <c r="GA60" s="338">
        <f>'[1]ООО КПД-2 Жилсервис'!M44/1000</f>
        <v>0</v>
      </c>
      <c r="GB60" s="301">
        <f t="shared" si="23"/>
        <v>0</v>
      </c>
      <c r="GF60" s="301">
        <f>GE60-GD60</f>
        <v>0</v>
      </c>
      <c r="GJ60" s="301">
        <f>GI60-GH60</f>
        <v>0</v>
      </c>
      <c r="GN60" s="301">
        <f t="shared" si="43"/>
        <v>0</v>
      </c>
      <c r="GO60" s="338">
        <f>'[1]ООО УО Партнер'!K71/1000</f>
        <v>0.1237</v>
      </c>
      <c r="GP60" s="338">
        <f>'[1]ООО УО Партнер'!L71/1000*0</f>
        <v>0</v>
      </c>
      <c r="GQ60" s="338">
        <f>'[1]ООО УО Партнер'!M71/1000*0</f>
        <v>0</v>
      </c>
      <c r="GR60" s="301">
        <f t="shared" si="44"/>
        <v>0</v>
      </c>
      <c r="GV60" s="301">
        <f t="shared" si="45"/>
        <v>0</v>
      </c>
      <c r="GZ60" s="301">
        <f t="shared" si="46"/>
        <v>0</v>
      </c>
      <c r="HA60" s="328"/>
      <c r="HB60" s="339"/>
      <c r="HC60" s="286"/>
      <c r="HD60" s="286"/>
      <c r="HE60" s="286"/>
      <c r="HF60" s="286"/>
      <c r="HG60" s="286"/>
      <c r="HH60" s="286"/>
      <c r="HI60" s="286"/>
      <c r="HJ60" s="286"/>
      <c r="HK60" s="286"/>
      <c r="HL60" s="286"/>
      <c r="HM60" s="286"/>
      <c r="HN60" s="286"/>
      <c r="HO60" s="286"/>
      <c r="HP60" s="286"/>
      <c r="HQ60" s="286"/>
      <c r="HR60" s="286"/>
      <c r="HS60" s="306"/>
      <c r="HT60" s="306"/>
      <c r="HU60" s="306"/>
      <c r="HV60" s="306"/>
      <c r="HW60" s="286"/>
      <c r="HX60" s="286"/>
      <c r="HY60" s="286"/>
      <c r="HZ60" s="286"/>
      <c r="IA60" s="286"/>
      <c r="IB60" s="286"/>
      <c r="IC60" s="286"/>
      <c r="ID60" s="286"/>
      <c r="IE60" s="286"/>
      <c r="IF60" s="286"/>
      <c r="IG60" s="286"/>
      <c r="IH60" s="286"/>
      <c r="II60" s="286"/>
      <c r="IJ60" s="286"/>
      <c r="IK60" s="286"/>
      <c r="IL60" s="286"/>
      <c r="IM60" s="286"/>
      <c r="IN60" s="286"/>
      <c r="IO60" s="286"/>
      <c r="IP60" s="286"/>
      <c r="IQ60" s="286"/>
      <c r="IR60" s="286"/>
      <c r="IS60" s="286"/>
      <c r="IT60" s="286"/>
      <c r="IU60" s="286"/>
      <c r="IV60" s="286"/>
    </row>
    <row r="61" spans="1:256" s="301" customFormat="1" ht="13.5" hidden="1" customHeight="1">
      <c r="A61" s="912"/>
      <c r="B61" s="341"/>
      <c r="C61" s="382" t="s">
        <v>231</v>
      </c>
      <c r="D61" s="381" t="s">
        <v>162</v>
      </c>
      <c r="E61" s="301">
        <f>SUM(E62:E63)</f>
        <v>1219.6116400000001</v>
      </c>
      <c r="F61" s="301">
        <f>SUM(F62:F63)</f>
        <v>26434.585571699994</v>
      </c>
      <c r="G61" s="301">
        <f>SUM(G62:G63)</f>
        <v>26434.585571699994</v>
      </c>
      <c r="H61" s="301">
        <f>SUM(H62:H63)</f>
        <v>0</v>
      </c>
      <c r="I61" s="338"/>
      <c r="J61" s="338"/>
      <c r="K61" s="338"/>
      <c r="L61" s="301">
        <f t="shared" si="25"/>
        <v>0</v>
      </c>
      <c r="M61" s="301">
        <f>M62+M63</f>
        <v>1.5226399999999998</v>
      </c>
      <c r="N61" s="301">
        <f t="shared" ref="N61:S61" si="72">N62+N63</f>
        <v>35.435812000000006</v>
      </c>
      <c r="O61" s="301">
        <f t="shared" si="72"/>
        <v>35.435812000000006</v>
      </c>
      <c r="P61" s="301">
        <f t="shared" si="26"/>
        <v>0</v>
      </c>
      <c r="Q61" s="301">
        <f t="shared" si="72"/>
        <v>1.88242</v>
      </c>
      <c r="R61" s="301">
        <f t="shared" si="72"/>
        <v>21.805808199999998</v>
      </c>
      <c r="S61" s="301">
        <f t="shared" si="72"/>
        <v>21.805808199999998</v>
      </c>
      <c r="T61" s="301">
        <f t="shared" si="27"/>
        <v>0</v>
      </c>
      <c r="U61" s="301">
        <f>U62+U63</f>
        <v>144.80578999999997</v>
      </c>
      <c r="V61" s="301">
        <f>V62+V63</f>
        <v>3215.3333213999999</v>
      </c>
      <c r="W61" s="301">
        <f>W62+W63</f>
        <v>3215.3333213999999</v>
      </c>
      <c r="X61" s="301">
        <f t="shared" si="28"/>
        <v>0</v>
      </c>
      <c r="Y61" s="338"/>
      <c r="Z61" s="338"/>
      <c r="AA61" s="338"/>
      <c r="AB61" s="301">
        <f t="shared" si="29"/>
        <v>0</v>
      </c>
      <c r="AC61" s="338"/>
      <c r="AD61" s="338"/>
      <c r="AE61" s="338"/>
      <c r="AF61" s="300">
        <f t="shared" si="30"/>
        <v>0</v>
      </c>
      <c r="AJ61" s="300">
        <f t="shared" si="31"/>
        <v>0</v>
      </c>
      <c r="AK61" s="338"/>
      <c r="AL61" s="338"/>
      <c r="AM61" s="338"/>
      <c r="AN61" s="301">
        <f t="shared" si="32"/>
        <v>0</v>
      </c>
      <c r="AO61" s="301">
        <f>AO62+AO63</f>
        <v>6.2303800000000003</v>
      </c>
      <c r="AP61" s="301">
        <f>AP62+AP63</f>
        <v>117.46252700000002</v>
      </c>
      <c r="AQ61" s="301">
        <f>AQ62+AQ63</f>
        <v>117.46252700000002</v>
      </c>
      <c r="AR61" s="300">
        <f t="shared" si="33"/>
        <v>0</v>
      </c>
      <c r="AV61" s="301">
        <f t="shared" si="34"/>
        <v>0</v>
      </c>
      <c r="AZ61" s="301">
        <f t="shared" si="35"/>
        <v>0</v>
      </c>
      <c r="BA61" s="338"/>
      <c r="BB61" s="338"/>
      <c r="BC61" s="338"/>
      <c r="BD61" s="301">
        <f t="shared" si="36"/>
        <v>0</v>
      </c>
      <c r="BH61" s="301">
        <f t="shared" si="37"/>
        <v>0</v>
      </c>
      <c r="BI61" s="301">
        <f>BI62+BI63</f>
        <v>7.57789</v>
      </c>
      <c r="BJ61" s="301">
        <f>BJ62+BJ63</f>
        <v>178.3835306</v>
      </c>
      <c r="BK61" s="301">
        <f>BK62+BK63</f>
        <v>178.3835306</v>
      </c>
      <c r="BL61" s="301">
        <f t="shared" si="38"/>
        <v>0</v>
      </c>
      <c r="BM61" s="301">
        <f>BM62+BM63</f>
        <v>23.958280000000002</v>
      </c>
      <c r="BN61" s="301">
        <f>BN62+BN63</f>
        <v>543.05202820000011</v>
      </c>
      <c r="BO61" s="301">
        <f>BO62+BO63</f>
        <v>543.05202820000011</v>
      </c>
      <c r="BP61" s="301">
        <f t="shared" si="52"/>
        <v>0</v>
      </c>
      <c r="BQ61" s="301">
        <f>BQ62+BQ63</f>
        <v>7.1966099999999997</v>
      </c>
      <c r="BR61" s="301">
        <f>BR62+BR63</f>
        <v>139.66696260000001</v>
      </c>
      <c r="BS61" s="301">
        <f>BS62+BS63</f>
        <v>139.66696260000001</v>
      </c>
      <c r="BT61" s="301">
        <f t="shared" si="39"/>
        <v>0</v>
      </c>
      <c r="BU61" s="301">
        <f>BU62+BU63</f>
        <v>454.20474999999993</v>
      </c>
      <c r="BV61" s="301">
        <f>BV62+BV63</f>
        <v>10471.215113799999</v>
      </c>
      <c r="BW61" s="301">
        <f>BW62+BW63</f>
        <v>10471.215113799999</v>
      </c>
      <c r="BX61" s="301">
        <f t="shared" si="40"/>
        <v>0</v>
      </c>
      <c r="BY61" s="301">
        <f>BY62+BY63</f>
        <v>483.68119999999999</v>
      </c>
      <c r="BZ61" s="301">
        <f>BZ62+BZ63</f>
        <v>10311.980585099998</v>
      </c>
      <c r="CA61" s="301">
        <f>CA62+CA63</f>
        <v>10311.980585099998</v>
      </c>
      <c r="CB61" s="301">
        <f t="shared" si="41"/>
        <v>0</v>
      </c>
      <c r="CC61" s="338"/>
      <c r="CD61" s="338"/>
      <c r="CE61" s="338"/>
      <c r="CF61" s="300">
        <f t="shared" si="49"/>
        <v>0</v>
      </c>
      <c r="CG61" s="338"/>
      <c r="CH61" s="338"/>
      <c r="CI61" s="338"/>
      <c r="CJ61" s="301">
        <f t="shared" si="0"/>
        <v>0</v>
      </c>
      <c r="CK61" s="338"/>
      <c r="CL61" s="338"/>
      <c r="CM61" s="338"/>
      <c r="CN61" s="301">
        <f t="shared" si="1"/>
        <v>0</v>
      </c>
      <c r="CO61" s="301">
        <f>CO62+CO63</f>
        <v>13.270609999999998</v>
      </c>
      <c r="CP61" s="301">
        <f>CP62+CP63</f>
        <v>297.11130400000002</v>
      </c>
      <c r="CQ61" s="301">
        <f>SUM(CQ62:CQ63)</f>
        <v>297.11130400000002</v>
      </c>
      <c r="CR61" s="301">
        <f t="shared" si="2"/>
        <v>0</v>
      </c>
      <c r="CS61" s="338"/>
      <c r="CT61" s="338"/>
      <c r="CU61" s="338"/>
      <c r="CV61" s="301">
        <f t="shared" si="3"/>
        <v>0</v>
      </c>
      <c r="CW61" s="301">
        <f>CW62+CW63</f>
        <v>5.7829299999999995</v>
      </c>
      <c r="CX61" s="301">
        <f>CX62+CX63</f>
        <v>131.65192259999998</v>
      </c>
      <c r="CY61" s="301">
        <f>SUM(CY62:CY63)</f>
        <v>131.65192259999998</v>
      </c>
      <c r="CZ61" s="301">
        <f t="shared" si="4"/>
        <v>0</v>
      </c>
      <c r="DA61" s="301">
        <f>DA62+DA63</f>
        <v>0</v>
      </c>
      <c r="DB61" s="301">
        <f>DB62+DB63</f>
        <v>0</v>
      </c>
      <c r="DC61" s="301">
        <f>DC62+DC63</f>
        <v>0</v>
      </c>
      <c r="DD61" s="300">
        <f t="shared" si="5"/>
        <v>0</v>
      </c>
      <c r="DE61" s="338"/>
      <c r="DF61" s="338"/>
      <c r="DG61" s="338"/>
      <c r="DH61" s="301">
        <f t="shared" si="6"/>
        <v>0</v>
      </c>
      <c r="DI61" s="338"/>
      <c r="DJ61" s="338"/>
      <c r="DK61" s="338"/>
      <c r="DL61" s="301">
        <f t="shared" si="50"/>
        <v>0</v>
      </c>
      <c r="DM61" s="301">
        <f t="shared" ref="DM61:DS61" si="73">DM62+DM63</f>
        <v>11.065819999999999</v>
      </c>
      <c r="DN61" s="301">
        <f t="shared" si="73"/>
        <v>232.58016839999996</v>
      </c>
      <c r="DO61" s="301">
        <f t="shared" si="73"/>
        <v>232.58016839999996</v>
      </c>
      <c r="DP61" s="301">
        <f t="shared" si="7"/>
        <v>0</v>
      </c>
      <c r="DQ61" s="301">
        <f t="shared" si="73"/>
        <v>0</v>
      </c>
      <c r="DR61" s="301">
        <f t="shared" si="73"/>
        <v>0</v>
      </c>
      <c r="DS61" s="301">
        <f t="shared" si="73"/>
        <v>0</v>
      </c>
      <c r="DT61" s="300">
        <f t="shared" si="8"/>
        <v>0</v>
      </c>
      <c r="DX61" s="301">
        <f t="shared" si="9"/>
        <v>0</v>
      </c>
      <c r="EB61" s="301">
        <f t="shared" si="10"/>
        <v>0</v>
      </c>
      <c r="EC61" s="338"/>
      <c r="ED61" s="338"/>
      <c r="EE61" s="338"/>
      <c r="EF61" s="301">
        <f t="shared" si="11"/>
        <v>0</v>
      </c>
      <c r="EG61" s="301">
        <f t="shared" ref="EG61:EY61" si="74">EG62+EG63</f>
        <v>15.924020000000001</v>
      </c>
      <c r="EH61" s="301">
        <f t="shared" si="74"/>
        <v>313.4058015</v>
      </c>
      <c r="EI61" s="301">
        <f t="shared" si="74"/>
        <v>313.4058015</v>
      </c>
      <c r="EJ61" s="301">
        <f t="shared" si="12"/>
        <v>0</v>
      </c>
      <c r="EN61" s="301">
        <f t="shared" si="13"/>
        <v>0</v>
      </c>
      <c r="EO61" s="301">
        <f t="shared" si="74"/>
        <v>4.88218</v>
      </c>
      <c r="EP61" s="301">
        <f t="shared" si="74"/>
        <v>84.214577000000006</v>
      </c>
      <c r="EQ61" s="301">
        <f t="shared" si="74"/>
        <v>84.214577000000006</v>
      </c>
      <c r="ER61" s="300">
        <f t="shared" si="14"/>
        <v>0</v>
      </c>
      <c r="ES61" s="301">
        <f t="shared" si="74"/>
        <v>4.17319</v>
      </c>
      <c r="ET61" s="301">
        <f t="shared" si="74"/>
        <v>91.458460900000006</v>
      </c>
      <c r="EU61" s="301">
        <f t="shared" si="74"/>
        <v>91.458460900000006</v>
      </c>
      <c r="EV61" s="300">
        <f t="shared" si="15"/>
        <v>0</v>
      </c>
      <c r="EW61" s="301">
        <f t="shared" si="74"/>
        <v>0</v>
      </c>
      <c r="EX61" s="301">
        <f t="shared" si="74"/>
        <v>0</v>
      </c>
      <c r="EY61" s="301">
        <f t="shared" si="74"/>
        <v>0</v>
      </c>
      <c r="EZ61" s="301">
        <f t="shared" si="16"/>
        <v>0</v>
      </c>
      <c r="FA61" s="301">
        <f t="shared" ref="FA61:FG61" si="75">FA62+FA63</f>
        <v>6.1499999999999999E-2</v>
      </c>
      <c r="FB61" s="301">
        <f t="shared" si="75"/>
        <v>0</v>
      </c>
      <c r="FC61" s="301">
        <f t="shared" si="75"/>
        <v>0</v>
      </c>
      <c r="FD61" s="301">
        <f t="shared" si="17"/>
        <v>0</v>
      </c>
      <c r="FE61" s="301">
        <f t="shared" si="75"/>
        <v>23.88411</v>
      </c>
      <c r="FF61" s="301">
        <f t="shared" si="75"/>
        <v>45.318023800000006</v>
      </c>
      <c r="FG61" s="301">
        <f t="shared" si="75"/>
        <v>45.318023800000006</v>
      </c>
      <c r="FH61" s="300">
        <f t="shared" si="18"/>
        <v>0</v>
      </c>
      <c r="FL61" s="301">
        <f t="shared" si="19"/>
        <v>0</v>
      </c>
      <c r="FM61" s="301">
        <f t="shared" ref="FM61:FS61" si="76">FM62+FM63</f>
        <v>0</v>
      </c>
      <c r="FN61" s="301">
        <f t="shared" si="76"/>
        <v>0</v>
      </c>
      <c r="FO61" s="301">
        <f t="shared" si="76"/>
        <v>0</v>
      </c>
      <c r="FP61" s="301">
        <f t="shared" si="76"/>
        <v>0</v>
      </c>
      <c r="FQ61" s="301">
        <f t="shared" si="76"/>
        <v>6.0027400000000002</v>
      </c>
      <c r="FR61" s="301">
        <f t="shared" si="76"/>
        <v>128.90163860000001</v>
      </c>
      <c r="FS61" s="301">
        <f t="shared" si="76"/>
        <v>128.90163860000001</v>
      </c>
      <c r="FT61" s="301">
        <f t="shared" si="21"/>
        <v>0</v>
      </c>
      <c r="FX61" s="301">
        <f t="shared" si="22"/>
        <v>0</v>
      </c>
      <c r="GB61" s="301">
        <f t="shared" si="23"/>
        <v>0</v>
      </c>
      <c r="GF61" s="301">
        <f>GF62+GF63</f>
        <v>0</v>
      </c>
      <c r="GJ61" s="301">
        <f>GJ62+GJ63</f>
        <v>0</v>
      </c>
      <c r="GN61" s="301">
        <f t="shared" si="43"/>
        <v>0</v>
      </c>
      <c r="GO61" s="301">
        <f>SUM(GO62:GO63)</f>
        <v>3.5045800000000003</v>
      </c>
      <c r="GP61" s="301">
        <f>SUM(GP62:GP63)</f>
        <v>75.607986000000011</v>
      </c>
      <c r="GQ61" s="301">
        <f>SUM(GQ62:GQ63)</f>
        <v>75.607986000000011</v>
      </c>
      <c r="GR61" s="301">
        <f t="shared" si="44"/>
        <v>0</v>
      </c>
      <c r="GV61" s="301">
        <f t="shared" si="45"/>
        <v>0</v>
      </c>
      <c r="GZ61" s="301">
        <f t="shared" si="46"/>
        <v>0</v>
      </c>
      <c r="HA61" s="328"/>
      <c r="HB61" s="339"/>
      <c r="HC61" s="286"/>
      <c r="HD61" s="286"/>
      <c r="HE61" s="286"/>
      <c r="HF61" s="286"/>
      <c r="HG61" s="286"/>
      <c r="HH61" s="286"/>
      <c r="HI61" s="286"/>
      <c r="HJ61" s="286"/>
      <c r="HK61" s="286"/>
      <c r="HL61" s="286"/>
      <c r="HM61" s="286"/>
      <c r="HN61" s="286"/>
      <c r="HO61" s="286"/>
      <c r="HP61" s="286"/>
      <c r="HQ61" s="286"/>
      <c r="HR61" s="286"/>
      <c r="HS61" s="306"/>
      <c r="HT61" s="306"/>
      <c r="HU61" s="306"/>
      <c r="HV61" s="306"/>
      <c r="HW61" s="286"/>
      <c r="HX61" s="286"/>
      <c r="HY61" s="286"/>
      <c r="HZ61" s="286"/>
      <c r="IA61" s="286"/>
      <c r="IB61" s="286"/>
      <c r="IC61" s="286"/>
      <c r="ID61" s="286"/>
      <c r="IE61" s="286"/>
      <c r="IF61" s="286"/>
      <c r="IG61" s="286"/>
      <c r="IH61" s="286"/>
      <c r="II61" s="286"/>
      <c r="IJ61" s="286"/>
      <c r="IK61" s="286"/>
      <c r="IL61" s="286"/>
      <c r="IM61" s="286"/>
      <c r="IN61" s="286"/>
      <c r="IO61" s="286"/>
      <c r="IP61" s="286"/>
      <c r="IQ61" s="286"/>
      <c r="IR61" s="286"/>
      <c r="IS61" s="286"/>
      <c r="IT61" s="286"/>
      <c r="IU61" s="286"/>
      <c r="IV61" s="286"/>
    </row>
    <row r="62" spans="1:256" s="338" customFormat="1" ht="13.5" hidden="1" customHeight="1">
      <c r="A62" s="912"/>
      <c r="B62" s="341"/>
      <c r="C62" s="380" t="s">
        <v>228</v>
      </c>
      <c r="D62" s="381" t="s">
        <v>162</v>
      </c>
      <c r="E62" s="299">
        <f t="shared" ref="E62:H63" si="77">I62+M62+Q62+U62+Y62+AC62+AG62+AK62+AO62+AS62+AW62+BA62+BE62+BI62+BM62+BQ62+BU62+BY62+CC62+CG62+CK62+CO62+CS62+CW62+DA62+DE62+DI62+DM62+DQ62+DU62+DY62+EC62+EG62+EK62+EO62+ES62+EW62+FA62+FE62+FI62+FM62+FQ62+FU62+FY62+GC62+GK62+GG62+GO62+GS62+GW62</f>
        <v>1134.85229</v>
      </c>
      <c r="F62" s="299">
        <f t="shared" si="77"/>
        <v>26434.585571699994</v>
      </c>
      <c r="G62" s="299">
        <f t="shared" si="77"/>
        <v>26434.585571699994</v>
      </c>
      <c r="H62" s="299">
        <f t="shared" si="77"/>
        <v>0</v>
      </c>
      <c r="L62" s="301">
        <f t="shared" si="25"/>
        <v>0</v>
      </c>
      <c r="M62" s="338">
        <f>('[1]УМУП УК ЖКХ г.Ульяновска'!K106+'[1]УМУП УК ЖКХ г.Ульяновска'!K108+'[1]УМУП УК ЖКХ г.Ульяновска'!K110+'[1]УМУП УК ЖКХ г.Ульяновска'!K113+'[1]УМУП УК ЖКХ г.Ульяновска'!K118)/1000</f>
        <v>1.5226399999999998</v>
      </c>
      <c r="N62" s="338">
        <f>('[1]УМУП УК ЖКХ г.Ульяновска'!L106+'[1]УМУП УК ЖКХ г.Ульяновска'!L108+'[1]УМУП УК ЖКХ г.Ульяновска'!L110+'[1]УМУП УК ЖКХ г.Ульяновска'!L113+'[1]УМУП УК ЖКХ г.Ульяновска'!L118)/1000</f>
        <v>35.435812000000006</v>
      </c>
      <c r="O62" s="338">
        <f>('[1]УМУП УК ЖКХ г.Ульяновска'!M106+'[1]УМУП УК ЖКХ г.Ульяновска'!M108+'[1]УМУП УК ЖКХ г.Ульяновска'!M110+'[1]УМУП УК ЖКХ г.Ульяновска'!M113+'[1]УМУП УК ЖКХ г.Ульяновска'!M118)/1000</f>
        <v>35.435812000000006</v>
      </c>
      <c r="P62" s="301">
        <f t="shared" si="26"/>
        <v>0</v>
      </c>
      <c r="Q62" s="338">
        <f>'[1]ОАО ДК Засвияжье 1'!K140/1000</f>
        <v>0.92632999999999999</v>
      </c>
      <c r="R62" s="338">
        <f>'[1]ОАО ДК Засвияжье 1'!L140/1000</f>
        <v>21.805808199999998</v>
      </c>
      <c r="S62" s="338">
        <f>'[1]ОАО ДК Засвияжье 1'!M140/1000</f>
        <v>21.805808199999998</v>
      </c>
      <c r="T62" s="301">
        <f t="shared" si="27"/>
        <v>0</v>
      </c>
      <c r="U62" s="338">
        <f>('[1]ОАО ДК Заволж р-на'!K249+'[1]ОАО ДК Заволж р-на'!K250+'[1]ОАО ДК Заволж р-на'!K251+'[1]ОАО ДК Заволж р-на'!K252)/1000</f>
        <v>137.09467999999998</v>
      </c>
      <c r="V62" s="338">
        <f>('[1]ОАО ДК Заволж р-на'!L249+'[1]ОАО ДК Заволж р-на'!L250+'[1]ОАО ДК Заволж р-на'!L251+'[1]ОАО ДК Заволж р-на'!L252)/1000</f>
        <v>3215.3333213999999</v>
      </c>
      <c r="W62" s="338">
        <f>('[1]ОАО ДК Заволж р-на'!M249+'[1]ОАО ДК Заволж р-на'!M250+'[1]ОАО ДК Заволж р-на'!M251+'[1]ОАО ДК Заволж р-на'!M252)/1000</f>
        <v>3215.3333213999999</v>
      </c>
      <c r="X62" s="301">
        <f t="shared" si="28"/>
        <v>0</v>
      </c>
      <c r="AB62" s="301">
        <f t="shared" si="29"/>
        <v>0</v>
      </c>
      <c r="AF62" s="300">
        <f t="shared" si="30"/>
        <v>0</v>
      </c>
      <c r="AJ62" s="300">
        <f t="shared" si="31"/>
        <v>0</v>
      </c>
      <c r="AN62" s="301">
        <f t="shared" si="32"/>
        <v>0</v>
      </c>
      <c r="AO62" s="338">
        <f>'[1]ЗАО ГК Аметист'!K143/1000</f>
        <v>5.1473500000000003</v>
      </c>
      <c r="AP62" s="338">
        <f>'[1]ЗАО ГК Аметист'!L143/1000</f>
        <v>117.46252700000002</v>
      </c>
      <c r="AQ62" s="338">
        <f>'[1]ЗАО ГК Аметист'!M143/1000</f>
        <v>117.46252700000002</v>
      </c>
      <c r="AR62" s="300">
        <f t="shared" si="33"/>
        <v>0</v>
      </c>
      <c r="AV62" s="301">
        <f t="shared" si="34"/>
        <v>0</v>
      </c>
      <c r="AZ62" s="301">
        <f t="shared" si="35"/>
        <v>0</v>
      </c>
      <c r="BD62" s="301">
        <f t="shared" si="36"/>
        <v>0</v>
      </c>
      <c r="BH62" s="301">
        <f t="shared" si="37"/>
        <v>0</v>
      </c>
      <c r="BI62" s="338">
        <f>[1]СМУ!K157/1000</f>
        <v>7.57789</v>
      </c>
      <c r="BJ62" s="338">
        <f>[1]СМУ!L157/1000</f>
        <v>178.3835306</v>
      </c>
      <c r="BK62" s="338">
        <f>[1]СМУ!M157/1000</f>
        <v>178.3835306</v>
      </c>
      <c r="BL62" s="301">
        <f t="shared" si="38"/>
        <v>0</v>
      </c>
      <c r="BM62" s="338">
        <f>('[1]Евро-Строй-Сервис'!K50+'[1]Евро-Строй-Сервис'!K52)/1000</f>
        <v>23.069330000000001</v>
      </c>
      <c r="BN62" s="338">
        <f>('[1]Евро-Строй-Сервис'!L50+'[1]Евро-Строй-Сервис'!L52)/1000</f>
        <v>543.05202820000011</v>
      </c>
      <c r="BO62" s="338">
        <f>('[1]Евро-Строй-Сервис'!M50+'[1]Евро-Строй-Сервис'!M52)/1000</f>
        <v>543.05202820000011</v>
      </c>
      <c r="BP62" s="301">
        <f t="shared" si="52"/>
        <v>0</v>
      </c>
      <c r="BQ62" s="338">
        <f>('[1]ОАО ДК Засвияжье 2'!K137+'[1]ОАО ДК Засвияжье 2'!K138+'[1]ОАО ДК Засвияжье 2'!K139+'[1]ОАО ДК Засвияжье 2'!K140+'[1]ОАО ДК Засвияжье 2'!K141+'[1]ОАО ДК Засвияжье 2'!K142)/1000</f>
        <v>6.7766599999999997</v>
      </c>
      <c r="BR62" s="338">
        <f>('[1]ОАО ДК Засвияжье 2'!L137+'[1]ОАО ДК Засвияжье 2'!L138+'[1]ОАО ДК Засвияжье 2'!L139+'[1]ОАО ДК Засвияжье 2'!L140+'[1]ОАО ДК Засвияжье 2'!L141+'[1]ОАО ДК Засвияжье 2'!L142)/1000</f>
        <v>139.66696260000001</v>
      </c>
      <c r="BS62" s="338">
        <f>('[1]ОАО ДК Засвияжье 2'!M137+'[1]ОАО ДК Засвияжье 2'!M138+'[1]ОАО ДК Засвияжье 2'!M139+'[1]ОАО ДК Засвияжье 2'!M140+'[1]ОАО ДК Засвияжье 2'!M141+'[1]ОАО ДК Засвияжье 2'!M142)/1000</f>
        <v>139.66696260000001</v>
      </c>
      <c r="BT62" s="301">
        <f t="shared" si="39"/>
        <v>0</v>
      </c>
      <c r="BU62" s="338">
        <f>('[1]ОАО ДК Лен р-на'!K277+'[1]ОАО ДК Лен р-на'!K282+'[1]ОАО ДК Лен р-на'!K283+'[1]ОАО ДК Лен р-на'!K284+'[1]ОАО ДК Лен р-на'!K285+'[1]ОАО ДК Лен р-на'!K286+'[1]ОАО ДК Лен р-на'!K287+'[1]ОАО ДК Лен р-на'!K288+'[1]ОАО ДК Лен р-на'!K289+'[1]ОАО ДК Лен р-на'!K290+'[1]ОАО ДК Лен р-на'!K291+'[1]ОАО ДК Лен р-на'!K292+'[1]ОАО ДК Лен р-на'!K293+'[1]ОАО ДК Лен р-на'!K294+'[1]ОАО ДК Лен р-на'!K295+'[1]ОАО ДК Лен р-на'!K296+'[1]ОАО ДК Лен р-на'!K301+'[1]ОАО ДК Лен р-на'!K306+'[1]ООО Технология'!K152+'[1]ООО Технология'!K154+'[1]ООО Технология'!K158+'[1]ООО Технология'!K160)/1000</f>
        <v>453.76878999999991</v>
      </c>
      <c r="BV62" s="338">
        <f>('[1]ОАО ДК Лен р-на'!L277+'[1]ОАО ДК Лен р-на'!L282+'[1]ОАО ДК Лен р-на'!L283+'[1]ОАО ДК Лен р-на'!L284+'[1]ОАО ДК Лен р-на'!L285+'[1]ОАО ДК Лен р-на'!L286+'[1]ОАО ДК Лен р-на'!L287+'[1]ОАО ДК Лен р-на'!L288+'[1]ОАО ДК Лен р-на'!L289+'[1]ОАО ДК Лен р-на'!L290+'[1]ОАО ДК Лен р-на'!L291+'[1]ОАО ДК Лен р-на'!L292+'[1]ОАО ДК Лен р-на'!L293+'[1]ОАО ДК Лен р-на'!L294+'[1]ОАО ДК Лен р-на'!L295+'[1]ОАО ДК Лен р-на'!L296+'[1]ОАО ДК Лен р-на'!L301+'[1]ОАО ДК Лен р-на'!L306+'[1]ООО Технология'!L152+'[1]ООО Технология'!L154+'[1]ООО Технология'!L158+'[1]ООО Технология'!L160)/1000</f>
        <v>10471.215113799999</v>
      </c>
      <c r="BW62" s="338">
        <f>('[1]ОАО ДК Лен р-на'!M277+'[1]ОАО ДК Лен р-на'!M282+'[1]ОАО ДК Лен р-на'!M283+'[1]ОАО ДК Лен р-на'!M284+'[1]ОАО ДК Лен р-на'!M285+'[1]ОАО ДК Лен р-на'!M286+'[1]ОАО ДК Лен р-на'!M287+'[1]ОАО ДК Лен р-на'!M288+'[1]ОАО ДК Лен р-на'!M289+'[1]ОАО ДК Лен р-на'!M290+'[1]ОАО ДК Лен р-на'!M291+'[1]ОАО ДК Лен р-на'!M292+'[1]ОАО ДК Лен р-на'!M293+'[1]ОАО ДК Лен р-на'!M294+'[1]ОАО ДК Лен р-на'!M295+'[1]ОАО ДК Лен р-на'!M296+'[1]ОАО ДК Лен р-на'!M301+'[1]ОАО ДК Лен р-на'!M306+'[1]ООО Технология'!M152+'[1]ООО Технология'!M154+'[1]ООО Технология'!M158+'[1]ООО Технология'!M160)/1000</f>
        <v>10471.215113799999</v>
      </c>
      <c r="BX62" s="301">
        <f t="shared" si="40"/>
        <v>0</v>
      </c>
      <c r="BY62" s="338">
        <f>('[1]ОАО ДК ЖД р-на'!K409+'[1]ОАО ДК ЖД р-на'!K415+'[1]ОАО ДК ЖД р-на'!K416)/1000</f>
        <v>438.62169</v>
      </c>
      <c r="BZ62" s="338">
        <f>('[1]ОАО ДК ЖД р-на'!L409+'[1]ОАО ДК ЖД р-на'!L415+'[1]ОАО ДК ЖД р-на'!L416)/1000</f>
        <v>10311.980585099998</v>
      </c>
      <c r="CA62" s="338">
        <f>('[1]ОАО ДК ЖД р-на'!M409+'[1]ОАО ДК ЖД р-на'!M415+'[1]ОАО ДК ЖД р-на'!M416)/1000</f>
        <v>10311.980585099998</v>
      </c>
      <c r="CB62" s="301">
        <f t="shared" si="41"/>
        <v>0</v>
      </c>
      <c r="CF62" s="300">
        <f t="shared" si="49"/>
        <v>0</v>
      </c>
      <c r="CJ62" s="301">
        <f t="shared" si="0"/>
        <v>0</v>
      </c>
      <c r="CN62" s="301">
        <f t="shared" si="1"/>
        <v>0</v>
      </c>
      <c r="CO62" s="338">
        <f>('[1]Север-1'!K161+'[1]Север-1'!K162+'[1]Север-1'!K163+'[1]Север-1'!K164+'[1]Север-1'!K165+'[1]Север-1'!K166+'[1]Север-1'!K167+'[1]Север-1'!K168+'[1]Север-1'!K169+'[1]Север-1'!K170+'[1]Север-1'!K171+'[1]Север-1'!K172+'[1]Север-1'!K173+'[1]Север-1'!K174+'[1]Север-1'!K175+'[1]Север-1'!K180+'[1]Север-1'!K185)/1000</f>
        <v>12.814459999999999</v>
      </c>
      <c r="CP62" s="338">
        <f>('[1]Север-1'!L161+'[1]Север-1'!L162+'[1]Север-1'!L163+'[1]Север-1'!L164+'[1]Север-1'!L165+'[1]Север-1'!L166+'[1]Север-1'!L167+'[1]Север-1'!L168+'[1]Север-1'!L169+'[1]Север-1'!L170+'[1]Север-1'!L171+'[1]Север-1'!L172+'[1]Север-1'!L173+'[1]Север-1'!L174+'[1]Север-1'!L175+'[1]Север-1'!L180+'[1]Север-1'!L185)/1000</f>
        <v>297.11130400000002</v>
      </c>
      <c r="CQ62" s="338">
        <f>('[1]Север-1'!M161+'[1]Север-1'!M162+'[1]Север-1'!M163+'[1]Север-1'!M164+'[1]Север-1'!M165+'[1]Север-1'!M166+'[1]Север-1'!M167+'[1]Север-1'!M168+'[1]Север-1'!M169+'[1]Север-1'!M170+'[1]Север-1'!M171+'[1]Север-1'!M172+'[1]Север-1'!M173+'[1]Север-1'!M174+'[1]Север-1'!M175+'[1]Север-1'!M180+'[1]Север-1'!M185)/1000</f>
        <v>297.11130400000002</v>
      </c>
      <c r="CR62" s="301">
        <f t="shared" si="2"/>
        <v>0</v>
      </c>
      <c r="CV62" s="301">
        <f t="shared" si="3"/>
        <v>0</v>
      </c>
      <c r="CW62" s="338">
        <f>('[1]Пр-т Гая'!K142+'[1]Пр-т Гая'!K148+'[1]Пр-т Гая'!K149)/1000</f>
        <v>5.5926899999999993</v>
      </c>
      <c r="CX62" s="338">
        <f>('[1]Пр-т Гая'!L142+'[1]Пр-т Гая'!L148+'[1]Пр-т Гая'!L149)/1000</f>
        <v>131.65192259999998</v>
      </c>
      <c r="CY62" s="338">
        <f>('[1]Пр-т Гая'!M142+'[1]Пр-т Гая'!M148+'[1]Пр-т Гая'!M149)/1000</f>
        <v>131.65192259999998</v>
      </c>
      <c r="CZ62" s="301">
        <f t="shared" si="4"/>
        <v>0</v>
      </c>
      <c r="DA62" s="338">
        <f>[1]Стасова!K83/1000</f>
        <v>0</v>
      </c>
      <c r="DB62" s="338">
        <f>[1]Стасова!L83/1000</f>
        <v>0</v>
      </c>
      <c r="DC62" s="338">
        <f>[1]Стасова!M83/1000</f>
        <v>0</v>
      </c>
      <c r="DD62" s="300">
        <f t="shared" si="5"/>
        <v>0</v>
      </c>
      <c r="DH62" s="301">
        <f t="shared" si="6"/>
        <v>0</v>
      </c>
      <c r="DL62" s="301">
        <f t="shared" si="50"/>
        <v>0</v>
      </c>
      <c r="DM62" s="338">
        <f>'[1]Альфаком-У'!K108/1000</f>
        <v>10.187479999999999</v>
      </c>
      <c r="DN62" s="338">
        <f>'[1]Альфаком-У'!L108/1000</f>
        <v>232.58016839999996</v>
      </c>
      <c r="DO62" s="338">
        <f>'[1]Альфаком-У'!M108/1000</f>
        <v>232.58016839999996</v>
      </c>
      <c r="DP62" s="301">
        <f t="shared" si="7"/>
        <v>0</v>
      </c>
      <c r="DQ62" s="338">
        <f>'[1]ТСЖ Дачный'!K83/1000</f>
        <v>0</v>
      </c>
      <c r="DR62" s="338">
        <f>'[1]ТСЖ Дачный'!L83/1000</f>
        <v>0</v>
      </c>
      <c r="DS62" s="338">
        <f>'[1]ТСЖ Дачный'!M83/1000</f>
        <v>0</v>
      </c>
      <c r="DT62" s="300">
        <f t="shared" si="8"/>
        <v>0</v>
      </c>
      <c r="DX62" s="301">
        <f t="shared" si="9"/>
        <v>0</v>
      </c>
      <c r="EB62" s="301">
        <f t="shared" si="10"/>
        <v>0</v>
      </c>
      <c r="EF62" s="301">
        <f t="shared" si="11"/>
        <v>0</v>
      </c>
      <c r="EG62" s="338">
        <f>('[1]ООО ЦЭТ'!K178+'[1]ООО ЦЭТ'!K183+'[1]ООО ЦЭТ'!K188+'[1]ООО ЦЭТ'!K193)/1000</f>
        <v>13.422090000000001</v>
      </c>
      <c r="EH62" s="338">
        <f>('[1]ООО ЦЭТ'!L178+'[1]ООО ЦЭТ'!L183+'[1]ООО ЦЭТ'!L188+'[1]ООО ЦЭТ'!L193)/1000</f>
        <v>313.4058015</v>
      </c>
      <c r="EI62" s="338">
        <f>('[1]ООО ЦЭТ'!M178+'[1]ООО ЦЭТ'!M183+'[1]ООО ЦЭТ'!M188+'[1]ООО ЦЭТ'!M193)/1000</f>
        <v>313.4058015</v>
      </c>
      <c r="EJ62" s="301">
        <f t="shared" si="12"/>
        <v>0</v>
      </c>
      <c r="EN62" s="301">
        <f t="shared" si="13"/>
        <v>0</v>
      </c>
      <c r="EO62" s="338">
        <f>'[1]ООО ЖЭК'!K83/1000</f>
        <v>3.6066199999999999</v>
      </c>
      <c r="EP62" s="338">
        <f>'[1]ООО ЖЭК'!L83/1000</f>
        <v>84.214577000000006</v>
      </c>
      <c r="EQ62" s="338">
        <f>'[1]ООО ЖЭК'!M83/1000</f>
        <v>84.214577000000006</v>
      </c>
      <c r="ER62" s="300">
        <f t="shared" si="14"/>
        <v>0</v>
      </c>
      <c r="ES62" s="338">
        <f>SUM('[1]УК ЖКХ Симбирск'!K178:K192,'[1]УК ЖКХ Симбирск'!K173,'[1]УК ЖКХ Симбирск'!K197,'[1]УК ЖКХ Симбирск'!K202)/1000</f>
        <v>3.9087799999999997</v>
      </c>
      <c r="ET62" s="338">
        <f>SUM('[1]УК ЖКХ Симбирск'!L178:L192,'[1]УК ЖКХ Симбирск'!L173,'[1]УК ЖКХ Симбирск'!L197,'[1]УК ЖКХ Симбирск'!L202)/1000</f>
        <v>91.458460900000006</v>
      </c>
      <c r="EU62" s="338">
        <f>SUM('[1]УК ЖКХ Симбирск'!M178:M192,'[1]УК ЖКХ Симбирск'!M173,'[1]УК ЖКХ Симбирск'!M197,'[1]УК ЖКХ Симбирск'!M202)/1000</f>
        <v>91.458460900000006</v>
      </c>
      <c r="EV62" s="300">
        <f t="shared" si="15"/>
        <v>0</v>
      </c>
      <c r="EW62" s="338">
        <f>('[1]ООО Наш Дом 010212'!K93+'[1]ООО Наш Дом 010212'!K94+'[1]ООО Наш Дом 010212'!K95+'[1]ООО Наш Дом 010212'!K96)/1000</f>
        <v>0</v>
      </c>
      <c r="EX62" s="338">
        <f>('[1]ООО Наш Дом 010212'!L93+'[1]ООО Наш Дом 010212'!L94+'[1]ООО Наш Дом 010212'!L95+'[1]ООО Наш Дом 010212'!L96)/1000</f>
        <v>0</v>
      </c>
      <c r="EY62" s="338">
        <f>('[1]ООО Наш Дом 010212'!M93+'[1]ООО Наш Дом 010212'!M94+'[1]ООО Наш Дом 010212'!M95+'[1]ООО Наш Дом 010212'!M96)/1000</f>
        <v>0</v>
      </c>
      <c r="EZ62" s="301">
        <f t="shared" si="16"/>
        <v>0</v>
      </c>
      <c r="FA62" s="338">
        <f>'[1]ООО Истоки+'!K93/1000</f>
        <v>0</v>
      </c>
      <c r="FB62" s="338">
        <f>'[1]ООО Истоки+'!L93/1000</f>
        <v>0</v>
      </c>
      <c r="FC62" s="338">
        <f>'[1]ООО Истоки+'!M93/1000</f>
        <v>0</v>
      </c>
      <c r="FD62" s="301">
        <f t="shared" si="17"/>
        <v>0</v>
      </c>
      <c r="FE62" s="338">
        <f>('[1]ООО ЖКиСР УправДом'!K101+'[1]ООО ЖКиСР УправДом'!K102+'[1]ООО ЖКиСР УправДом'!K104)/1000</f>
        <v>1.93957</v>
      </c>
      <c r="FF62" s="338">
        <f>('[1]ООО ЖКиСР УправДом'!L101+'[1]ООО ЖКиСР УправДом'!L102+'[1]ООО ЖКиСР УправДом'!L104)/1000</f>
        <v>45.318023800000006</v>
      </c>
      <c r="FG62" s="338">
        <f>('[1]ООО ЖКиСР УправДом'!M101+'[1]ООО ЖКиСР УправДом'!M102+'[1]ООО ЖКиСР УправДом'!M104)/1000</f>
        <v>45.318023800000006</v>
      </c>
      <c r="FH62" s="300">
        <f t="shared" si="18"/>
        <v>0</v>
      </c>
      <c r="FL62" s="301">
        <f t="shared" si="19"/>
        <v>0</v>
      </c>
      <c r="FM62" s="338">
        <v>0</v>
      </c>
      <c r="FN62" s="338">
        <v>0</v>
      </c>
      <c r="FO62" s="338">
        <v>0</v>
      </c>
      <c r="FP62" s="301">
        <f>FO62-FN62</f>
        <v>0</v>
      </c>
      <c r="FQ62" s="338">
        <f>('[1]ООО ЖКХ Лен-го района'!K116+'[1]ООО ЖКХ Лен-го района'!K117+'[1]ООО ЖКХ Лен-го района'!K118+'[1]ООО ЖКХ Лен-го района'!K123+'[1]ООО ЖКХ Лен-го района'!K129)/1000</f>
        <v>5.6137899999999998</v>
      </c>
      <c r="FR62" s="338">
        <f>('[1]ООО ЖКХ Лен-го района'!L116+'[1]ООО ЖКХ Лен-го района'!L117+'[1]ООО ЖКХ Лен-го района'!L118+'[1]ООО ЖКХ Лен-го района'!L123+'[1]ООО ЖКХ Лен-го района'!L129)/1000</f>
        <v>128.90163860000001</v>
      </c>
      <c r="FS62" s="338">
        <f>('[1]ООО ЖКХ Лен-го района'!M116+'[1]ООО ЖКХ Лен-го района'!M117+'[1]ООО ЖКХ Лен-го района'!M118+'[1]ООО ЖКХ Лен-го района'!M123+'[1]ООО ЖКХ Лен-го района'!M129)/1000</f>
        <v>128.90163860000001</v>
      </c>
      <c r="FT62" s="301">
        <f t="shared" si="21"/>
        <v>0</v>
      </c>
      <c r="FX62" s="301">
        <f t="shared" si="22"/>
        <v>0</v>
      </c>
      <c r="GB62" s="301">
        <f t="shared" si="23"/>
        <v>0</v>
      </c>
      <c r="GF62" s="301">
        <f>GE62-GD62</f>
        <v>0</v>
      </c>
      <c r="GJ62" s="301">
        <f>GI62-GH62</f>
        <v>0</v>
      </c>
      <c r="GN62" s="301">
        <f t="shared" si="43"/>
        <v>0</v>
      </c>
      <c r="GO62" s="338">
        <f>('[1]ООО УО Партнер'!K76+'[1]ООО УО Партнер'!K78+'[1]ООО УО Партнер'!K80+'[1]ООО УО Партнер'!K84)/1000</f>
        <v>3.2614500000000004</v>
      </c>
      <c r="GP62" s="338">
        <f>('[1]ООО УО Партнер'!L76+'[1]ООО УО Партнер'!L78+'[1]ООО УО Партнер'!L80+'[1]ООО УО Партнер'!L84)/1000</f>
        <v>75.607986000000011</v>
      </c>
      <c r="GQ62" s="338">
        <f>('[1]ООО УО Партнер'!M76+'[1]ООО УО Партнер'!M78+'[1]ООО УО Партнер'!M80+'[1]ООО УО Партнер'!M84)/1000</f>
        <v>75.607986000000011</v>
      </c>
      <c r="GR62" s="301">
        <f t="shared" si="44"/>
        <v>0</v>
      </c>
      <c r="GV62" s="301">
        <f t="shared" si="45"/>
        <v>0</v>
      </c>
      <c r="GZ62" s="301">
        <f t="shared" si="46"/>
        <v>0</v>
      </c>
      <c r="HA62" s="328"/>
      <c r="HB62" s="339"/>
      <c r="HC62" s="286"/>
      <c r="HD62" s="286"/>
      <c r="HE62" s="286"/>
      <c r="HF62" s="286"/>
      <c r="HG62" s="286"/>
      <c r="HH62" s="286"/>
      <c r="HI62" s="286"/>
      <c r="HJ62" s="286"/>
      <c r="HK62" s="286"/>
      <c r="HL62" s="286"/>
      <c r="HM62" s="286"/>
      <c r="HN62" s="286"/>
      <c r="HO62" s="286"/>
      <c r="HP62" s="286"/>
      <c r="HQ62" s="286"/>
      <c r="HR62" s="286"/>
      <c r="HS62" s="306"/>
      <c r="HT62" s="306"/>
      <c r="HU62" s="306"/>
      <c r="HV62" s="306"/>
      <c r="HW62" s="286"/>
      <c r="HX62" s="286"/>
      <c r="HY62" s="286"/>
      <c r="HZ62" s="286"/>
      <c r="IA62" s="286"/>
      <c r="IB62" s="286"/>
      <c r="IC62" s="286"/>
      <c r="ID62" s="286"/>
      <c r="IE62" s="286"/>
      <c r="IF62" s="286"/>
      <c r="IG62" s="286"/>
      <c r="IH62" s="286"/>
      <c r="II62" s="286"/>
      <c r="IJ62" s="286"/>
      <c r="IK62" s="286"/>
      <c r="IL62" s="286"/>
      <c r="IM62" s="286"/>
      <c r="IN62" s="286"/>
      <c r="IO62" s="286"/>
      <c r="IP62" s="286"/>
      <c r="IQ62" s="286"/>
      <c r="IR62" s="286"/>
      <c r="IS62" s="286"/>
      <c r="IT62" s="286"/>
      <c r="IU62" s="286"/>
      <c r="IV62" s="286"/>
    </row>
    <row r="63" spans="1:256" s="338" customFormat="1" ht="13.5" hidden="1" customHeight="1">
      <c r="A63" s="912"/>
      <c r="B63" s="341"/>
      <c r="C63" s="380" t="s">
        <v>229</v>
      </c>
      <c r="D63" s="381" t="s">
        <v>162</v>
      </c>
      <c r="E63" s="299">
        <f t="shared" si="77"/>
        <v>84.759349999999998</v>
      </c>
      <c r="F63" s="299">
        <f t="shared" si="77"/>
        <v>0</v>
      </c>
      <c r="G63" s="299">
        <f t="shared" si="77"/>
        <v>0</v>
      </c>
      <c r="H63" s="299">
        <f t="shared" si="77"/>
        <v>0</v>
      </c>
      <c r="L63" s="301">
        <f t="shared" si="25"/>
        <v>0</v>
      </c>
      <c r="M63" s="338">
        <f>('[1]УМУП УК ЖКХ г.Ульяновска'!K121+'[1]УМУП УК ЖКХ г.Ульяновска'!K124)/1000</f>
        <v>0</v>
      </c>
      <c r="N63" s="338">
        <f>('[1]УМУП УК ЖКХ г.Ульяновска'!L121+'[1]УМУП УК ЖКХ г.Ульяновска'!L124)/1000</f>
        <v>0</v>
      </c>
      <c r="O63" s="338">
        <f>('[1]УМУП УК ЖКХ г.Ульяновска'!M121+'[1]УМУП УК ЖКХ г.Ульяновска'!M124)/1000</f>
        <v>0</v>
      </c>
      <c r="P63" s="301">
        <f t="shared" si="26"/>
        <v>0</v>
      </c>
      <c r="Q63" s="338">
        <f>'[1]ОАО ДК Засвияжье 1'!K142/1000</f>
        <v>0.95609</v>
      </c>
      <c r="R63" s="338">
        <f>'[1]ОАО ДК Засвияжье 1'!L142/1000*0</f>
        <v>0</v>
      </c>
      <c r="S63" s="338">
        <f>'[1]ОАО ДК Засвияжье 1'!M142/1000*0</f>
        <v>0</v>
      </c>
      <c r="T63" s="301">
        <f t="shared" si="27"/>
        <v>0</v>
      </c>
      <c r="U63" s="338">
        <f>('[1]ОАО ДК Заволж р-на'!K254+'[1]ОАО ДК Заволж р-на'!K255+'[1]ОАО ДК Заволж р-на'!K256)/1000</f>
        <v>7.7111100000000006</v>
      </c>
      <c r="V63" s="338">
        <f>('[1]ОАО ДК Заволж р-на'!L254+'[1]ОАО ДК Заволж р-на'!L255+'[1]ОАО ДК Заволж р-на'!L256)/1000*0</f>
        <v>0</v>
      </c>
      <c r="W63" s="338">
        <f>('[1]ОАО ДК Заволж р-на'!M254+'[1]ОАО ДК Заволж р-на'!M255+'[1]ОАО ДК Заволж р-на'!M256)/1000*0</f>
        <v>0</v>
      </c>
      <c r="X63" s="301">
        <f t="shared" si="28"/>
        <v>0</v>
      </c>
      <c r="AB63" s="301">
        <f t="shared" si="29"/>
        <v>0</v>
      </c>
      <c r="AF63" s="300">
        <f t="shared" si="30"/>
        <v>0</v>
      </c>
      <c r="AJ63" s="300">
        <f t="shared" si="31"/>
        <v>0</v>
      </c>
      <c r="AN63" s="301">
        <f t="shared" si="32"/>
        <v>0</v>
      </c>
      <c r="AO63" s="338">
        <f>'[1]ЗАО ГК Аметист'!K149/1000</f>
        <v>1.0830299999999999</v>
      </c>
      <c r="AP63" s="338">
        <f>'[1]ЗАО ГК Аметист'!L149/1000*0</f>
        <v>0</v>
      </c>
      <c r="AQ63" s="338">
        <f>'[1]ЗАО ГК Аметист'!M149/1000*0</f>
        <v>0</v>
      </c>
      <c r="AR63" s="300">
        <f t="shared" si="33"/>
        <v>0</v>
      </c>
      <c r="AV63" s="301">
        <f t="shared" si="34"/>
        <v>0</v>
      </c>
      <c r="AZ63" s="301">
        <f t="shared" si="35"/>
        <v>0</v>
      </c>
      <c r="BD63" s="301">
        <f t="shared" si="36"/>
        <v>0</v>
      </c>
      <c r="BH63" s="301">
        <f t="shared" si="37"/>
        <v>0</v>
      </c>
      <c r="BI63" s="338">
        <f>[1]СМУ!K162/1000</f>
        <v>0</v>
      </c>
      <c r="BJ63" s="338">
        <f>[1]СМУ!L162/1000</f>
        <v>0</v>
      </c>
      <c r="BK63" s="338">
        <f>[1]СМУ!M162/1000</f>
        <v>0</v>
      </c>
      <c r="BL63" s="301">
        <f t="shared" si="38"/>
        <v>0</v>
      </c>
      <c r="BM63" s="338">
        <f>('[1]Евро-Строй-Сервис'!K55)/1000</f>
        <v>0.88895000000000002</v>
      </c>
      <c r="BN63" s="338">
        <f>('[1]Евро-Строй-Сервис'!L55)/1000*0</f>
        <v>0</v>
      </c>
      <c r="BO63" s="338">
        <f>('[1]Евро-Строй-Сервис'!M55)/1000*0</f>
        <v>0</v>
      </c>
      <c r="BP63" s="301">
        <f t="shared" si="52"/>
        <v>0</v>
      </c>
      <c r="BQ63" s="338">
        <f>('[1]ОАО ДК Засвияжье 2'!K145+'[1]ОАО ДК Засвияжье 2'!K146+'[1]ОАО ДК Засвияжье 2'!K148+'[1]ОАО ДК Засвияжье 2'!K149+'[1]ОАО ДК Засвияжье 2'!K150)/1000</f>
        <v>0.41994999999999999</v>
      </c>
      <c r="BR63" s="338">
        <f>('[1]ОАО ДК Засвияжье 2'!L145+'[1]ОАО ДК Засвияжье 2'!L146+'[1]ОАО ДК Засвияжье 2'!L148+'[1]ОАО ДК Засвияжье 2'!L149+'[1]ОАО ДК Засвияжье 2'!L150)/1000*0</f>
        <v>0</v>
      </c>
      <c r="BS63" s="338">
        <f>('[1]ОАО ДК Засвияжье 2'!M145+'[1]ОАО ДК Засвияжье 2'!M146+'[1]ОАО ДК Засвияжье 2'!M148+'[1]ОАО ДК Засвияжье 2'!M149+'[1]ОАО ДК Засвияжье 2'!M150)/1000*0</f>
        <v>0</v>
      </c>
      <c r="BT63" s="301">
        <f t="shared" si="39"/>
        <v>0</v>
      </c>
      <c r="BU63" s="338">
        <f>('[1]ОАО ДК Лен р-на'!K308+'[1]ОАО ДК Лен р-на'!K309+'[1]ОАО ДК Лен р-на'!K310+'[1]ОАО ДК Лен р-на'!K311+'[1]ОАО ДК Лен р-на'!K312+'[1]ОАО ДК Лен р-на'!K313+'[1]ОАО ДК Лен р-на'!K314+'[1]ОАО ДК Лен р-на'!K315+'[1]ОАО ДК Лен р-на'!K316+'[1]ОАО ДК Лен р-на'!K317+'[1]ОАО ДК Лен р-на'!K318+'[1]ОАО ДК Лен р-на'!K319+'[1]ОАО ДК Лен р-на'!K320+'[1]ОАО ДК Лен р-на'!K321+'[1]ОАО ДК Лен р-на'!K322+'[1]ОАО ДК Лен р-на'!K323+'[1]ОАО ДК Лен р-на'!K324+'[1]ООО Технология'!K163)/1000</f>
        <v>0.43595999999999996</v>
      </c>
      <c r="BV63" s="338">
        <f>('[1]ОАО ДК Лен р-на'!L308+'[1]ОАО ДК Лен р-на'!L309+'[1]ОАО ДК Лен р-на'!L310+'[1]ОАО ДК Лен р-на'!L311+'[1]ОАО ДК Лен р-на'!L312+'[1]ОАО ДК Лен р-на'!L313+'[1]ОАО ДК Лен р-на'!L314+'[1]ОАО ДК Лен р-на'!L315+'[1]ОАО ДК Лен р-на'!L316+'[1]ОАО ДК Лен р-на'!L317+'[1]ОАО ДК Лен р-на'!L318+'[1]ОАО ДК Лен р-на'!L319+'[1]ОАО ДК Лен р-на'!L320+'[1]ОАО ДК Лен р-на'!L321+'[1]ОАО ДК Лен р-на'!L322+'[1]ОАО ДК Лен р-на'!L323+'[1]ОАО ДК Лен р-на'!L324+'[1]ООО Технология'!L163)/1000*0</f>
        <v>0</v>
      </c>
      <c r="BW63" s="338">
        <f>('[1]ОАО ДК Лен р-на'!M308+'[1]ОАО ДК Лен р-на'!M309+'[1]ОАО ДК Лен р-на'!M310+'[1]ОАО ДК Лен р-на'!M311+'[1]ОАО ДК Лен р-на'!M312+'[1]ОАО ДК Лен р-на'!M313+'[1]ОАО ДК Лен р-на'!M314+'[1]ОАО ДК Лен р-на'!M315+'[1]ОАО ДК Лен р-на'!M316+'[1]ОАО ДК Лен р-на'!M317+'[1]ОАО ДК Лен р-на'!M318+'[1]ОАО ДК Лен р-на'!M319+'[1]ОАО ДК Лен р-на'!M320+'[1]ОАО ДК Лен р-на'!M321+'[1]ОАО ДК Лен р-на'!M322+'[1]ОАО ДК Лен р-на'!M323+'[1]ОАО ДК Лен р-на'!M324+'[1]ООО Технология'!M163)/1000*0</f>
        <v>0</v>
      </c>
      <c r="BX63" s="301">
        <f t="shared" si="40"/>
        <v>0</v>
      </c>
      <c r="BY63" s="338">
        <f>('[1]ОАО ДК ЖД р-на'!K424+'[1]ОАО ДК ЖД р-на'!K431+'[1]ОАО ДК ЖД р-на'!K432)/1000</f>
        <v>45.059510000000003</v>
      </c>
      <c r="BZ63" s="338">
        <f>('[1]ОАО ДК ЖД р-на'!L424+'[1]ОАО ДК ЖД р-на'!L431+'[1]ОАО ДК ЖД р-на'!L432)/1000*0</f>
        <v>0</v>
      </c>
      <c r="CA63" s="338">
        <f>('[1]ОАО ДК ЖД р-на'!M424+'[1]ОАО ДК ЖД р-на'!M431+'[1]ОАО ДК ЖД р-на'!M432)/1000*0</f>
        <v>0</v>
      </c>
      <c r="CB63" s="301">
        <f t="shared" si="41"/>
        <v>0</v>
      </c>
      <c r="CF63" s="300">
        <f t="shared" si="49"/>
        <v>0</v>
      </c>
      <c r="CJ63" s="301">
        <f t="shared" si="0"/>
        <v>0</v>
      </c>
      <c r="CN63" s="301">
        <f t="shared" si="1"/>
        <v>0</v>
      </c>
      <c r="CO63" s="338">
        <f>('[1]Север-1'!K187+'[1]Север-1'!K188+'[1]Север-1'!K189+'[1]Север-1'!K190+'[1]Север-1'!K191+'[1]Север-1'!K192+'[1]Север-1'!K193+'[1]Север-1'!K194+'[1]Север-1'!K195+'[1]Север-1'!K196+'[1]Север-1'!K197+'[1]Север-1'!K198+'[1]Север-1'!K199+'[1]Север-1'!K200+'[1]Север-1'!K201)/1000</f>
        <v>0.45615</v>
      </c>
      <c r="CP63" s="338">
        <f>('[1]Север-1'!L187+'[1]Север-1'!L188+'[1]Север-1'!L189+'[1]Север-1'!L190+'[1]Север-1'!L191+'[1]Север-1'!L192+'[1]Север-1'!L193+'[1]Север-1'!L194+'[1]Север-1'!L195+'[1]Север-1'!L196+'[1]Север-1'!L197+'[1]Север-1'!L198+'[1]Север-1'!L199+'[1]Север-1'!L200+'[1]Север-1'!L201)/1000*0</f>
        <v>0</v>
      </c>
      <c r="CQ63" s="338">
        <f>('[1]Север-1'!M187+'[1]Север-1'!M188+'[1]Север-1'!M189+'[1]Север-1'!M190+'[1]Север-1'!M191+'[1]Север-1'!M192+'[1]Север-1'!M193+'[1]Север-1'!M194+'[1]Север-1'!M195+'[1]Север-1'!M196+'[1]Север-1'!M197+'[1]Север-1'!M198+'[1]Север-1'!M199+'[1]Север-1'!M200+'[1]Север-1'!M201)/1000*0</f>
        <v>0</v>
      </c>
      <c r="CR63" s="301">
        <f t="shared" si="2"/>
        <v>0</v>
      </c>
      <c r="CV63" s="301">
        <f t="shared" si="3"/>
        <v>0</v>
      </c>
      <c r="CW63" s="338">
        <f>('[1]Пр-т Гая'!K157+'[1]Пр-т Гая'!K164+'[1]Пр-т Гая'!K165)/1000</f>
        <v>0.19024000000000002</v>
      </c>
      <c r="CX63" s="338">
        <f>('[1]Пр-т Гая'!L157+'[1]Пр-т Гая'!L164+'[1]Пр-т Гая'!L165)/1000*0</f>
        <v>0</v>
      </c>
      <c r="CY63" s="338">
        <f>('[1]Пр-т Гая'!M157+'[1]Пр-т Гая'!M164+'[1]Пр-т Гая'!M165)/1000*0</f>
        <v>0</v>
      </c>
      <c r="CZ63" s="301">
        <f t="shared" si="4"/>
        <v>0</v>
      </c>
      <c r="DA63" s="338">
        <f>[1]Стасова!K85/1000</f>
        <v>0</v>
      </c>
      <c r="DB63" s="338">
        <f>[1]Стасова!L85/1000</f>
        <v>0</v>
      </c>
      <c r="DC63" s="338">
        <f>[1]Стасова!M85/1000</f>
        <v>0</v>
      </c>
      <c r="DD63" s="300">
        <f t="shared" si="5"/>
        <v>0</v>
      </c>
      <c r="DH63" s="301">
        <f t="shared" si="6"/>
        <v>0</v>
      </c>
      <c r="DL63" s="301">
        <f t="shared" si="50"/>
        <v>0</v>
      </c>
      <c r="DM63" s="338">
        <f>'[1]Альфаком-У'!K110/1000</f>
        <v>0.87834000000000001</v>
      </c>
      <c r="DN63" s="338">
        <f>'[1]Альфаком-У'!L110/1000*0</f>
        <v>0</v>
      </c>
      <c r="DO63" s="338">
        <f>'[1]Альфаком-У'!M110/1000*0</f>
        <v>0</v>
      </c>
      <c r="DP63" s="301">
        <f t="shared" si="7"/>
        <v>0</v>
      </c>
      <c r="DQ63" s="338">
        <f>'[1]ТСЖ Дачный'!K85/1000</f>
        <v>0</v>
      </c>
      <c r="DR63" s="338">
        <f>'[1]ТСЖ Дачный'!L85/1000*0</f>
        <v>0</v>
      </c>
      <c r="DS63" s="338">
        <f>'[1]ТСЖ Дачный'!M85/1000*0</f>
        <v>0</v>
      </c>
      <c r="DT63" s="300">
        <f t="shared" si="8"/>
        <v>0</v>
      </c>
      <c r="DX63" s="301">
        <f t="shared" si="9"/>
        <v>0</v>
      </c>
      <c r="EB63" s="301">
        <f t="shared" si="10"/>
        <v>0</v>
      </c>
      <c r="EF63" s="301">
        <f t="shared" si="11"/>
        <v>0</v>
      </c>
      <c r="EG63" s="338">
        <f>('[1]ООО ЦЭТ'!K195+'[1]ООО ЦЭТ'!K196)/1000</f>
        <v>2.5019299999999998</v>
      </c>
      <c r="EH63" s="338">
        <f>('[1]ООО ЦЭТ'!L195+'[1]ООО ЦЭТ'!L196)/1000*0</f>
        <v>0</v>
      </c>
      <c r="EI63" s="338">
        <f>('[1]ООО ЦЭТ'!M195+'[1]ООО ЦЭТ'!M196)/1000*0</f>
        <v>0</v>
      </c>
      <c r="EJ63" s="301">
        <f t="shared" si="12"/>
        <v>0</v>
      </c>
      <c r="EN63" s="301">
        <f t="shared" si="13"/>
        <v>0</v>
      </c>
      <c r="EO63" s="338">
        <f>('[1]ООО ЖЭК'!K85+'[1]ООО ЖЭК'!K86)/1000</f>
        <v>1.27556</v>
      </c>
      <c r="EP63" s="338">
        <f>('[1]ООО ЖЭК'!L85+'[1]ООО ЖЭК'!L86)/1000*0</f>
        <v>0</v>
      </c>
      <c r="EQ63" s="338">
        <f>('[1]ООО ЖЭК'!M85+'[1]ООО ЖЭК'!M86)/1000*0</f>
        <v>0</v>
      </c>
      <c r="ER63" s="300">
        <f t="shared" si="14"/>
        <v>0</v>
      </c>
      <c r="ES63" s="338">
        <f>SUM('[1]УК ЖКХ Симбирск'!K204:K218)/1000</f>
        <v>0.26441000000000003</v>
      </c>
      <c r="ET63" s="338">
        <f>SUM('[1]УК ЖКХ Симбирск'!L204:L218)/1000*0</f>
        <v>0</v>
      </c>
      <c r="EU63" s="338">
        <f>SUM('[1]УК ЖКХ Симбирск'!M204:M218)/1000*0</f>
        <v>0</v>
      </c>
      <c r="EV63" s="300">
        <f t="shared" si="15"/>
        <v>0</v>
      </c>
      <c r="EW63" s="338">
        <f>('[1]ООО Наш Дом 010212'!K102)/1000</f>
        <v>0</v>
      </c>
      <c r="EX63" s="338">
        <f>('[1]ООО Наш Дом 010212'!L102)/1000</f>
        <v>0</v>
      </c>
      <c r="EY63" s="338">
        <f>('[1]ООО Наш Дом 010212'!M102)/1000</f>
        <v>0</v>
      </c>
      <c r="EZ63" s="301">
        <f t="shared" si="16"/>
        <v>0</v>
      </c>
      <c r="FA63" s="338">
        <f>('[1]ООО Истоки+'!K94)/1000</f>
        <v>6.1499999999999999E-2</v>
      </c>
      <c r="FB63" s="338">
        <f>('[1]ООО Истоки+'!L94)/1000*0</f>
        <v>0</v>
      </c>
      <c r="FC63" s="338">
        <f>('[1]ООО Истоки+'!M94)/1000*0</f>
        <v>0</v>
      </c>
      <c r="FD63" s="301">
        <f t="shared" si="17"/>
        <v>0</v>
      </c>
      <c r="FE63" s="338">
        <f>('[1]ООО ЖКиСР УправДом'!K106+'[1]ООО ЖКиСР УправДом'!K107+'[1]ООО ЖКиСР УправДом'!K108+'[1]ООО ЖКиСР УправДом'!K109+'[1]ООО ЖКиСР УправДом'!K111)/1000</f>
        <v>21.94454</v>
      </c>
      <c r="FF63" s="338">
        <f>('[1]ООО ЖКиСР УправДом'!L106+'[1]ООО ЖКиСР УправДом'!L107+'[1]ООО ЖКиСР УправДом'!L108+'[1]ООО ЖКиСР УправДом'!L109+'[1]ООО ЖКиСР УправДом'!L111)/1000*0</f>
        <v>0</v>
      </c>
      <c r="FG63" s="338">
        <f>('[1]ООО ЖКиСР УправДом'!M106+'[1]ООО ЖКиСР УправДом'!M107+'[1]ООО ЖКиСР УправДом'!M108+'[1]ООО ЖКиСР УправДом'!M109+'[1]ООО ЖКиСР УправДом'!M111)/1000*0</f>
        <v>0</v>
      </c>
      <c r="FH63" s="300">
        <f t="shared" si="18"/>
        <v>0</v>
      </c>
      <c r="FL63" s="301">
        <f t="shared" si="19"/>
        <v>0</v>
      </c>
      <c r="FM63" s="338">
        <f>'[1]ООО Технология'!K163/1000</f>
        <v>0</v>
      </c>
      <c r="FN63" s="338">
        <f>'[1]ООО Технология'!L163/1000</f>
        <v>0</v>
      </c>
      <c r="FO63" s="338">
        <f>'[1]ООО Технология'!M163/1000</f>
        <v>0</v>
      </c>
      <c r="FP63" s="301">
        <f>FO63-FN63</f>
        <v>0</v>
      </c>
      <c r="FQ63" s="338">
        <f>('[1]ООО ЖКХ Лен-го района'!K131+'[1]ООО ЖКХ Лен-го района'!K132+'[1]ООО ЖКХ Лен-го района'!K133+'[1]ООО ЖКХ Лен-го района'!K134+'[1]ООО ЖКХ Лен-го района'!K135+'[1]ООО ЖКХ Лен-го района'!K136+'[1]ООО ЖКХ Лен-го района'!K137+'[1]ООО ЖКХ Лен-го района'!K138+'[1]ООО ЖКХ Лен-го района'!K139+'[1]ООО ЖКХ Лен-го района'!K140+'[1]ООО ЖКХ Лен-го района'!K141+'[1]ООО ЖКХ Лен-го района'!K142+'[1]ООО ЖКХ Лен-го района'!K143+'[1]ООО ЖКХ Лен-го района'!K144+'[1]ООО ЖКХ Лен-го района'!K145+'[1]ООО ЖКХ Лен-го района'!K146+'[1]ООО ЖКХ Лен-го района'!K147+'[1]ООО ЖКХ Лен-го района'!K148+'[1]ООО ЖКХ Лен-го района'!K149)/1000</f>
        <v>0.38894999999999996</v>
      </c>
      <c r="FR63" s="338">
        <f>('[1]ООО ЖКХ Лен-го района'!L131+'[1]ООО ЖКХ Лен-го района'!L132+'[1]ООО ЖКХ Лен-го района'!L133+'[1]ООО ЖКХ Лен-го района'!L134+'[1]ООО ЖКХ Лен-го района'!L135+'[1]ООО ЖКХ Лен-го района'!L136+'[1]ООО ЖКХ Лен-го района'!L137+'[1]ООО ЖКХ Лен-го района'!L138+'[1]ООО ЖКХ Лен-го района'!L139+'[1]ООО ЖКХ Лен-го района'!L140+'[1]ООО ЖКХ Лен-го района'!L141+'[1]ООО ЖКХ Лен-го района'!L142+'[1]ООО ЖКХ Лен-го района'!L143+'[1]ООО ЖКХ Лен-го района'!L144+'[1]ООО ЖКХ Лен-го района'!L145+'[1]ООО ЖКХ Лен-го района'!L146+'[1]ООО ЖКХ Лен-го района'!L147+'[1]ООО ЖКХ Лен-го района'!L148+'[1]ООО ЖКХ Лен-го района'!L149)/1000*0</f>
        <v>0</v>
      </c>
      <c r="FS63" s="338">
        <f>('[1]ООО ЖКХ Лен-го района'!M131+'[1]ООО ЖКХ Лен-го района'!M132+'[1]ООО ЖКХ Лен-го района'!M133+'[1]ООО ЖКХ Лен-го района'!M134+'[1]ООО ЖКХ Лен-го района'!M135+'[1]ООО ЖКХ Лен-го района'!M136+'[1]ООО ЖКХ Лен-го района'!M137+'[1]ООО ЖКХ Лен-го района'!M138+'[1]ООО ЖКХ Лен-го района'!M139+'[1]ООО ЖКХ Лен-го района'!M140+'[1]ООО ЖКХ Лен-го района'!M141+'[1]ООО ЖКХ Лен-го района'!M142+'[1]ООО ЖКХ Лен-го района'!M143+'[1]ООО ЖКХ Лен-го района'!M144+'[1]ООО ЖКХ Лен-го района'!M145+'[1]ООО ЖКХ Лен-го района'!M146+'[1]ООО ЖКХ Лен-го района'!M147+'[1]ООО ЖКХ Лен-го района'!M148+'[1]ООО ЖКХ Лен-го района'!M149)/1000*0</f>
        <v>0</v>
      </c>
      <c r="FT63" s="301">
        <f t="shared" si="21"/>
        <v>0</v>
      </c>
      <c r="FX63" s="301">
        <f t="shared" si="22"/>
        <v>0</v>
      </c>
      <c r="GB63" s="301">
        <f t="shared" si="23"/>
        <v>0</v>
      </c>
      <c r="GF63" s="301">
        <f>GE63-GD63</f>
        <v>0</v>
      </c>
      <c r="GJ63" s="301">
        <f>GI63-GH63</f>
        <v>0</v>
      </c>
      <c r="GN63" s="301">
        <f t="shared" si="43"/>
        <v>0</v>
      </c>
      <c r="GO63" s="338">
        <f>('[1]ООО УО Партнер'!K87+'[1]ООО УО Партнер'!K90)/1000</f>
        <v>0.24312999999999999</v>
      </c>
      <c r="GP63" s="338">
        <f>('[1]ООО УО Партнер'!L87+'[1]ООО УО Партнер'!L90)/1000*0</f>
        <v>0</v>
      </c>
      <c r="GQ63" s="338">
        <f>('[1]ООО УО Партнер'!M87+'[1]ООО УО Партнер'!M90)/1000*0</f>
        <v>0</v>
      </c>
      <c r="GR63" s="301">
        <f t="shared" si="44"/>
        <v>0</v>
      </c>
      <c r="GV63" s="301">
        <f t="shared" si="45"/>
        <v>0</v>
      </c>
      <c r="GZ63" s="301">
        <f t="shared" si="46"/>
        <v>0</v>
      </c>
      <c r="HA63" s="328"/>
      <c r="HB63" s="339"/>
      <c r="HC63" s="286"/>
      <c r="HD63" s="286"/>
      <c r="HE63" s="286"/>
      <c r="HF63" s="286"/>
      <c r="HG63" s="286"/>
      <c r="HH63" s="286"/>
      <c r="HI63" s="286"/>
      <c r="HJ63" s="286"/>
      <c r="HK63" s="286"/>
      <c r="HL63" s="286"/>
      <c r="HM63" s="286"/>
      <c r="HN63" s="286"/>
      <c r="HO63" s="286"/>
      <c r="HP63" s="286"/>
      <c r="HQ63" s="286"/>
      <c r="HR63" s="286"/>
      <c r="HS63" s="306"/>
      <c r="HT63" s="306"/>
      <c r="HU63" s="306"/>
      <c r="HV63" s="306"/>
      <c r="HW63" s="286"/>
      <c r="HX63" s="286"/>
      <c r="HY63" s="286"/>
      <c r="HZ63" s="286"/>
      <c r="IA63" s="286"/>
      <c r="IB63" s="286"/>
      <c r="IC63" s="286"/>
      <c r="ID63" s="286"/>
      <c r="IE63" s="286"/>
      <c r="IF63" s="286"/>
      <c r="IG63" s="286"/>
      <c r="IH63" s="286"/>
      <c r="II63" s="286"/>
      <c r="IJ63" s="286"/>
      <c r="IK63" s="286"/>
      <c r="IL63" s="286"/>
      <c r="IM63" s="286"/>
      <c r="IN63" s="286"/>
      <c r="IO63" s="286"/>
      <c r="IP63" s="286"/>
      <c r="IQ63" s="286"/>
      <c r="IR63" s="286"/>
      <c r="IS63" s="286"/>
      <c r="IT63" s="286"/>
      <c r="IU63" s="286"/>
      <c r="IV63" s="286"/>
    </row>
    <row r="64" spans="1:256" s="338" customFormat="1" ht="13.5" hidden="1" customHeight="1">
      <c r="A64" s="912"/>
      <c r="B64" s="341"/>
      <c r="C64" s="382" t="s">
        <v>232</v>
      </c>
      <c r="D64" s="381" t="s">
        <v>162</v>
      </c>
      <c r="E64" s="301">
        <f t="shared" ref="E64:K64" si="78">SUM(E65:E66)</f>
        <v>340.15511000000004</v>
      </c>
      <c r="F64" s="301">
        <f t="shared" si="78"/>
        <v>1981.1766948</v>
      </c>
      <c r="G64" s="301">
        <f t="shared" si="78"/>
        <v>1981.1766948</v>
      </c>
      <c r="H64" s="301">
        <f t="shared" si="78"/>
        <v>0</v>
      </c>
      <c r="I64" s="301">
        <f t="shared" si="78"/>
        <v>2.7510000000000003E-2</v>
      </c>
      <c r="J64" s="301">
        <f t="shared" si="78"/>
        <v>0</v>
      </c>
      <c r="K64" s="301">
        <f t="shared" si="78"/>
        <v>0</v>
      </c>
      <c r="L64" s="301">
        <f t="shared" si="25"/>
        <v>0</v>
      </c>
      <c r="M64" s="301">
        <f>SUM(M65:M66)</f>
        <v>0</v>
      </c>
      <c r="N64" s="301">
        <f>SUM(N65:N66)</f>
        <v>0</v>
      </c>
      <c r="O64" s="301">
        <f>SUM(O65:O66)</f>
        <v>0</v>
      </c>
      <c r="P64" s="301">
        <f t="shared" si="26"/>
        <v>0</v>
      </c>
      <c r="T64" s="301">
        <f t="shared" si="27"/>
        <v>0</v>
      </c>
      <c r="U64" s="301">
        <f t="shared" ref="U64:AI64" si="79">U65+U66</f>
        <v>0.14518999999999999</v>
      </c>
      <c r="V64" s="301">
        <f t="shared" si="79"/>
        <v>2.7513505</v>
      </c>
      <c r="W64" s="301">
        <f t="shared" si="79"/>
        <v>2.7513505</v>
      </c>
      <c r="X64" s="301">
        <f t="shared" si="28"/>
        <v>0</v>
      </c>
      <c r="Y64" s="301">
        <f t="shared" si="79"/>
        <v>4.3150000000000001E-2</v>
      </c>
      <c r="Z64" s="301">
        <f t="shared" si="79"/>
        <v>0.81769250000000004</v>
      </c>
      <c r="AA64" s="301">
        <f t="shared" si="79"/>
        <v>0.81769250000000004</v>
      </c>
      <c r="AB64" s="301">
        <f t="shared" si="29"/>
        <v>0</v>
      </c>
      <c r="AC64" s="301">
        <f t="shared" si="79"/>
        <v>239.44410000000002</v>
      </c>
      <c r="AD64" s="301">
        <f t="shared" si="79"/>
        <v>1660.3053869999999</v>
      </c>
      <c r="AE64" s="301">
        <f t="shared" si="79"/>
        <v>1660.3053869999999</v>
      </c>
      <c r="AF64" s="300">
        <f t="shared" si="30"/>
        <v>0</v>
      </c>
      <c r="AG64" s="301">
        <f t="shared" si="79"/>
        <v>43.925539999999998</v>
      </c>
      <c r="AH64" s="301">
        <f t="shared" si="79"/>
        <v>240.62653149999997</v>
      </c>
      <c r="AI64" s="301">
        <f t="shared" si="79"/>
        <v>240.62653149999997</v>
      </c>
      <c r="AJ64" s="300">
        <f t="shared" si="31"/>
        <v>0</v>
      </c>
      <c r="AK64" s="301"/>
      <c r="AL64" s="301"/>
      <c r="AM64" s="301"/>
      <c r="AN64" s="301">
        <f t="shared" si="32"/>
        <v>0</v>
      </c>
      <c r="AR64" s="300">
        <f t="shared" si="33"/>
        <v>0</v>
      </c>
      <c r="AV64" s="301">
        <f t="shared" si="34"/>
        <v>0</v>
      </c>
      <c r="AW64" s="301">
        <f>AW65+AW66</f>
        <v>42.779980000000002</v>
      </c>
      <c r="AX64" s="301">
        <f>AX65+AX66</f>
        <v>0</v>
      </c>
      <c r="AY64" s="301">
        <f>AY65+AY66</f>
        <v>0</v>
      </c>
      <c r="AZ64" s="301">
        <f t="shared" si="35"/>
        <v>0</v>
      </c>
      <c r="BA64" s="301"/>
      <c r="BB64" s="301"/>
      <c r="BC64" s="301"/>
      <c r="BD64" s="301">
        <f t="shared" si="36"/>
        <v>0</v>
      </c>
      <c r="BE64" s="301"/>
      <c r="BF64" s="301"/>
      <c r="BG64" s="301"/>
      <c r="BH64" s="301">
        <f t="shared" si="37"/>
        <v>0</v>
      </c>
      <c r="BI64" s="301"/>
      <c r="BJ64" s="301"/>
      <c r="BK64" s="301"/>
      <c r="BL64" s="301">
        <f t="shared" si="38"/>
        <v>0</v>
      </c>
      <c r="BM64" s="301">
        <f>BM65+BM66</f>
        <v>2.87E-2</v>
      </c>
      <c r="BN64" s="301">
        <f>BN65+BN66</f>
        <v>0.54386500000000004</v>
      </c>
      <c r="BO64" s="301">
        <f>BO65+BO66</f>
        <v>0.54386500000000004</v>
      </c>
      <c r="BP64" s="301">
        <f t="shared" si="52"/>
        <v>0</v>
      </c>
      <c r="BT64" s="301">
        <f t="shared" si="39"/>
        <v>0</v>
      </c>
      <c r="BX64" s="301">
        <f t="shared" si="40"/>
        <v>0</v>
      </c>
      <c r="CB64" s="301">
        <f t="shared" si="41"/>
        <v>0</v>
      </c>
      <c r="CC64" s="301">
        <f>CC65+CC66</f>
        <v>9.7036899999999999</v>
      </c>
      <c r="CD64" s="301">
        <f>CD65+CD66</f>
        <v>0</v>
      </c>
      <c r="CE64" s="301">
        <f>CE65+CE66</f>
        <v>0</v>
      </c>
      <c r="CF64" s="300">
        <f t="shared" si="49"/>
        <v>0</v>
      </c>
      <c r="CG64" s="301">
        <f>SUM(CG65:CG66)</f>
        <v>0.24543999999999999</v>
      </c>
      <c r="CH64" s="301">
        <f>SUM(CH65:CH66)</f>
        <v>3.8980687999999994</v>
      </c>
      <c r="CI64" s="301">
        <f>SUM(CI65:CI66)</f>
        <v>3.8980687999999994</v>
      </c>
      <c r="CJ64" s="301">
        <f t="shared" si="0"/>
        <v>0</v>
      </c>
      <c r="CN64" s="301">
        <f t="shared" si="1"/>
        <v>0</v>
      </c>
      <c r="CR64" s="301">
        <f t="shared" si="2"/>
        <v>0</v>
      </c>
      <c r="CV64" s="301">
        <f t="shared" si="3"/>
        <v>0</v>
      </c>
      <c r="CZ64" s="301">
        <f t="shared" si="4"/>
        <v>0</v>
      </c>
      <c r="DD64" s="300">
        <f t="shared" si="5"/>
        <v>0</v>
      </c>
      <c r="DH64" s="301">
        <f t="shared" si="6"/>
        <v>0</v>
      </c>
      <c r="DL64" s="301">
        <f t="shared" si="50"/>
        <v>0</v>
      </c>
      <c r="DP64" s="301">
        <f t="shared" si="7"/>
        <v>0</v>
      </c>
      <c r="DT64" s="300">
        <f t="shared" si="8"/>
        <v>0</v>
      </c>
      <c r="DX64" s="301">
        <f t="shared" si="9"/>
        <v>0</v>
      </c>
      <c r="DY64" s="301"/>
      <c r="DZ64" s="301"/>
      <c r="EA64" s="301"/>
      <c r="EB64" s="301">
        <f t="shared" si="10"/>
        <v>0</v>
      </c>
      <c r="EC64" s="301">
        <f>EC65+EC66</f>
        <v>3.8118099999999999</v>
      </c>
      <c r="ED64" s="301">
        <f>ED65+ED66</f>
        <v>72.233799499999989</v>
      </c>
      <c r="EE64" s="301">
        <f>EE65+EE66</f>
        <v>72.233799499999989</v>
      </c>
      <c r="EF64" s="301">
        <f t="shared" si="11"/>
        <v>0</v>
      </c>
      <c r="EJ64" s="301">
        <f t="shared" si="12"/>
        <v>0</v>
      </c>
      <c r="EN64" s="301">
        <f t="shared" si="13"/>
        <v>0</v>
      </c>
      <c r="ER64" s="300">
        <f t="shared" si="14"/>
        <v>0</v>
      </c>
      <c r="EV64" s="300">
        <f t="shared" si="15"/>
        <v>0</v>
      </c>
      <c r="EZ64" s="301">
        <f t="shared" si="16"/>
        <v>0</v>
      </c>
      <c r="FD64" s="301">
        <f t="shared" si="17"/>
        <v>0</v>
      </c>
      <c r="FH64" s="300">
        <f t="shared" si="18"/>
        <v>0</v>
      </c>
      <c r="FL64" s="301">
        <f t="shared" si="19"/>
        <v>0</v>
      </c>
      <c r="FP64" s="301">
        <f>FO64-FN64</f>
        <v>0</v>
      </c>
      <c r="FT64" s="301">
        <f t="shared" si="21"/>
        <v>0</v>
      </c>
      <c r="FX64" s="301">
        <f t="shared" si="22"/>
        <v>0</v>
      </c>
      <c r="GB64" s="301">
        <f t="shared" si="23"/>
        <v>0</v>
      </c>
      <c r="GF64" s="301">
        <f>GE64-GD64</f>
        <v>0</v>
      </c>
      <c r="GJ64" s="301">
        <f>GI64-GH64</f>
        <v>0</v>
      </c>
      <c r="GN64" s="301">
        <f t="shared" si="43"/>
        <v>0</v>
      </c>
      <c r="GR64" s="301">
        <f t="shared" si="44"/>
        <v>0</v>
      </c>
      <c r="GS64" s="301"/>
      <c r="GT64" s="301"/>
      <c r="GU64" s="301"/>
      <c r="GV64" s="301">
        <f t="shared" si="45"/>
        <v>0</v>
      </c>
      <c r="GW64" s="301"/>
      <c r="GX64" s="301"/>
      <c r="GY64" s="301"/>
      <c r="GZ64" s="301">
        <f t="shared" si="46"/>
        <v>0</v>
      </c>
      <c r="HA64" s="328"/>
      <c r="HB64" s="339"/>
      <c r="HC64" s="286"/>
      <c r="HD64" s="286"/>
      <c r="HE64" s="286"/>
      <c r="HF64" s="286"/>
      <c r="HG64" s="286"/>
      <c r="HH64" s="286"/>
      <c r="HI64" s="286"/>
      <c r="HJ64" s="286"/>
      <c r="HK64" s="286"/>
      <c r="HL64" s="286"/>
      <c r="HM64" s="286"/>
      <c r="HN64" s="286"/>
      <c r="HO64" s="286"/>
      <c r="HP64" s="286"/>
      <c r="HQ64" s="286"/>
      <c r="HR64" s="286"/>
      <c r="HS64" s="306"/>
      <c r="HT64" s="306"/>
      <c r="HU64" s="306"/>
      <c r="HV64" s="306"/>
      <c r="HW64" s="286"/>
      <c r="HX64" s="286"/>
      <c r="HY64" s="286"/>
      <c r="HZ64" s="286"/>
      <c r="IA64" s="286"/>
      <c r="IB64" s="286"/>
      <c r="IC64" s="286"/>
      <c r="ID64" s="286"/>
      <c r="IE64" s="286"/>
      <c r="IF64" s="286"/>
      <c r="IG64" s="286"/>
      <c r="IH64" s="286"/>
      <c r="II64" s="286"/>
      <c r="IJ64" s="286"/>
      <c r="IK64" s="286"/>
      <c r="IL64" s="286"/>
      <c r="IM64" s="286"/>
      <c r="IN64" s="286"/>
      <c r="IO64" s="286"/>
      <c r="IP64" s="286"/>
      <c r="IQ64" s="286"/>
      <c r="IR64" s="286"/>
      <c r="IS64" s="286"/>
      <c r="IT64" s="286"/>
      <c r="IU64" s="286"/>
      <c r="IV64" s="286"/>
    </row>
    <row r="65" spans="1:256" s="338" customFormat="1" ht="13.5" hidden="1" customHeight="1">
      <c r="A65" s="912"/>
      <c r="B65" s="341"/>
      <c r="C65" s="380" t="s">
        <v>228</v>
      </c>
      <c r="D65" s="381" t="s">
        <v>162</v>
      </c>
      <c r="E65" s="299">
        <f t="shared" ref="E65:H66" si="80">I65+M65+Q65+U65+Y65+AC65+AG65+AK65+AO65+AS65+AW65+BA65+BE65+BI65+BM65+BQ65+BU65+BY65+CC65+CG65+CK65+CO65+CS65+CW65+DA65+DE65+DI65+DM65+DQ65+DU65+DY65+EC65+EG65+EK65+EO65+ES65+EW65+FA65+FE65+FI65+FM65+FQ65+FU65+FY65+GC65+GK65+GG65+GO65+GS65+GW65</f>
        <v>104.54991999999999</v>
      </c>
      <c r="F65" s="299">
        <f t="shared" si="80"/>
        <v>1981.1766948</v>
      </c>
      <c r="G65" s="299">
        <f t="shared" si="80"/>
        <v>1981.1766948</v>
      </c>
      <c r="H65" s="299">
        <f t="shared" si="80"/>
        <v>0</v>
      </c>
      <c r="I65" s="338">
        <v>0</v>
      </c>
      <c r="J65" s="338">
        <v>0</v>
      </c>
      <c r="K65" s="338">
        <v>0</v>
      </c>
      <c r="L65" s="301">
        <f t="shared" si="25"/>
        <v>0</v>
      </c>
      <c r="M65" s="338">
        <f>'[1]УМУП УК ЖКХ г.Ульяновска'!K130/1000</f>
        <v>0</v>
      </c>
      <c r="N65" s="338">
        <f>'[1]УМУП УК ЖКХ г.Ульяновска'!L130/1000</f>
        <v>0</v>
      </c>
      <c r="O65" s="338">
        <f>'[1]УМУП УК ЖКХ г.Ульяновска'!M130/1000</f>
        <v>0</v>
      </c>
      <c r="P65" s="301">
        <f t="shared" si="26"/>
        <v>0</v>
      </c>
      <c r="T65" s="301">
        <f t="shared" si="27"/>
        <v>0</v>
      </c>
      <c r="U65" s="338">
        <f>'[1]ОАО ДК Заволж р-на'!K262/1000</f>
        <v>0.14518999999999999</v>
      </c>
      <c r="V65" s="338">
        <f>'[1]ОАО ДК Заволж р-на'!L262/1000</f>
        <v>2.7513505</v>
      </c>
      <c r="W65" s="338">
        <f>'[1]ОАО ДК Заволж р-на'!M262/1000</f>
        <v>2.7513505</v>
      </c>
      <c r="X65" s="301">
        <f t="shared" si="28"/>
        <v>0</v>
      </c>
      <c r="Y65" s="338">
        <f>'[1]ООО ЖСС'!K81/1000</f>
        <v>4.3150000000000001E-2</v>
      </c>
      <c r="Z65" s="338">
        <f>'[1]ООО ЖСС'!L81/1000</f>
        <v>0.81769250000000004</v>
      </c>
      <c r="AA65" s="338">
        <f>'[1]ООО ЖСС'!M81/1000</f>
        <v>0.81769250000000004</v>
      </c>
      <c r="AB65" s="301">
        <f t="shared" si="29"/>
        <v>0</v>
      </c>
      <c r="AC65" s="338">
        <f>[1]МегаЛинк!K74/1000</f>
        <v>87.61506</v>
      </c>
      <c r="AD65" s="338">
        <f>[1]МегаЛинк!L74/1000</f>
        <v>1660.3053869999999</v>
      </c>
      <c r="AE65" s="338">
        <f>[1]МегаЛинк!M74/1000</f>
        <v>1660.3053869999999</v>
      </c>
      <c r="AF65" s="300">
        <f t="shared" si="30"/>
        <v>0</v>
      </c>
      <c r="AG65" s="338">
        <f>[1]Вымпел!K42/1000</f>
        <v>12.69797</v>
      </c>
      <c r="AH65" s="338">
        <f>[1]Вымпел!L42/1000</f>
        <v>240.62653149999997</v>
      </c>
      <c r="AI65" s="338">
        <f>[1]Вымпел!M42/1000</f>
        <v>240.62653149999997</v>
      </c>
      <c r="AJ65" s="300">
        <f t="shared" si="31"/>
        <v>0</v>
      </c>
      <c r="AN65" s="301">
        <f t="shared" si="32"/>
        <v>0</v>
      </c>
      <c r="AR65" s="300">
        <f t="shared" si="33"/>
        <v>0</v>
      </c>
      <c r="AV65" s="301">
        <f t="shared" si="34"/>
        <v>0</v>
      </c>
      <c r="AW65" s="338">
        <f>'[1]Ульяновский _2 ТСЖ'!K41/1000</f>
        <v>0</v>
      </c>
      <c r="AX65" s="338">
        <f>'[1]Ульяновский _2 ТСЖ'!L41/1000</f>
        <v>0</v>
      </c>
      <c r="AY65" s="338">
        <f>'[1]Ульяновский _2 ТСЖ'!M41/1000</f>
        <v>0</v>
      </c>
      <c r="AZ65" s="301">
        <f t="shared" si="35"/>
        <v>0</v>
      </c>
      <c r="BD65" s="301">
        <f t="shared" si="36"/>
        <v>0</v>
      </c>
      <c r="BH65" s="301">
        <f t="shared" si="37"/>
        <v>0</v>
      </c>
      <c r="BL65" s="301">
        <f t="shared" si="38"/>
        <v>0</v>
      </c>
      <c r="BM65" s="338">
        <f>'[1]Евро-Строй-Сервис'!K68/1000</f>
        <v>2.87E-2</v>
      </c>
      <c r="BN65" s="338">
        <f>'[1]Евро-Строй-Сервис'!L68/1000</f>
        <v>0.54386500000000004</v>
      </c>
      <c r="BO65" s="338">
        <f>'[1]Евро-Строй-Сервис'!M68/1000</f>
        <v>0.54386500000000004</v>
      </c>
      <c r="BP65" s="301">
        <f t="shared" si="52"/>
        <v>0</v>
      </c>
      <c r="BT65" s="301">
        <f t="shared" si="39"/>
        <v>0</v>
      </c>
      <c r="BX65" s="301">
        <f t="shared" si="40"/>
        <v>0</v>
      </c>
      <c r="CB65" s="301">
        <f t="shared" si="41"/>
        <v>0</v>
      </c>
      <c r="CC65" s="338">
        <f>[1]СУК!K42/1000</f>
        <v>0</v>
      </c>
      <c r="CD65" s="338">
        <f>[1]СУК!L42/1000</f>
        <v>0</v>
      </c>
      <c r="CE65" s="338">
        <f>[1]СУК!M42/1000</f>
        <v>0</v>
      </c>
      <c r="CF65" s="300">
        <f t="shared" si="49"/>
        <v>0</v>
      </c>
      <c r="CG65" s="338">
        <f>('[1]УК ЖСС'!K106+'[1]УК ЖСС'!K108)/1000</f>
        <v>0.20804</v>
      </c>
      <c r="CH65" s="338">
        <f>('[1]УК ЖСС'!L106+'[1]УК ЖСС'!L108)/1000</f>
        <v>3.8980687999999994</v>
      </c>
      <c r="CI65" s="338">
        <f>('[1]УК ЖСС'!M106+'[1]УК ЖСС'!M108)/1000</f>
        <v>3.8980687999999994</v>
      </c>
      <c r="CJ65" s="301">
        <f t="shared" si="0"/>
        <v>0</v>
      </c>
      <c r="CN65" s="301">
        <f t="shared" si="1"/>
        <v>0</v>
      </c>
      <c r="CR65" s="301">
        <f t="shared" si="2"/>
        <v>0</v>
      </c>
      <c r="CV65" s="301">
        <f t="shared" si="3"/>
        <v>0</v>
      </c>
      <c r="CZ65" s="301">
        <f t="shared" si="4"/>
        <v>0</v>
      </c>
      <c r="DD65" s="300">
        <f t="shared" si="5"/>
        <v>0</v>
      </c>
      <c r="DH65" s="301">
        <f t="shared" si="6"/>
        <v>0</v>
      </c>
      <c r="DL65" s="301">
        <f t="shared" si="50"/>
        <v>0</v>
      </c>
      <c r="DP65" s="301">
        <f t="shared" si="7"/>
        <v>0</v>
      </c>
      <c r="DT65" s="300">
        <f t="shared" si="8"/>
        <v>0</v>
      </c>
      <c r="DX65" s="301">
        <f t="shared" si="9"/>
        <v>0</v>
      </c>
      <c r="EB65" s="301">
        <f t="shared" si="10"/>
        <v>0</v>
      </c>
      <c r="EC65" s="338">
        <f>'[1]ЗАО Авиастар-СП'!K42/1000</f>
        <v>3.8118099999999999</v>
      </c>
      <c r="ED65" s="338">
        <f>'[1]ЗАО Авиастар-СП'!L42/1000</f>
        <v>72.233799499999989</v>
      </c>
      <c r="EE65" s="338">
        <f>'[1]ЗАО Авиастар-СП'!M42/1000</f>
        <v>72.233799499999989</v>
      </c>
      <c r="EF65" s="301">
        <f t="shared" si="11"/>
        <v>0</v>
      </c>
      <c r="EJ65" s="301">
        <f t="shared" si="12"/>
        <v>0</v>
      </c>
      <c r="EN65" s="301">
        <f t="shared" si="13"/>
        <v>0</v>
      </c>
      <c r="ER65" s="300">
        <f t="shared" si="14"/>
        <v>0</v>
      </c>
      <c r="EV65" s="300">
        <f t="shared" si="15"/>
        <v>0</v>
      </c>
      <c r="EZ65" s="301">
        <f t="shared" si="16"/>
        <v>0</v>
      </c>
      <c r="FD65" s="301">
        <f t="shared" si="17"/>
        <v>0</v>
      </c>
      <c r="FH65" s="300">
        <f t="shared" si="18"/>
        <v>0</v>
      </c>
      <c r="FL65" s="301">
        <f t="shared" si="19"/>
        <v>0</v>
      </c>
      <c r="FP65" s="301">
        <f>FO65-FN65</f>
        <v>0</v>
      </c>
      <c r="FT65" s="301">
        <f t="shared" si="21"/>
        <v>0</v>
      </c>
      <c r="FX65" s="301">
        <f t="shared" si="22"/>
        <v>0</v>
      </c>
      <c r="GB65" s="301">
        <f t="shared" si="23"/>
        <v>0</v>
      </c>
      <c r="GF65" s="301">
        <f>GE65-GD65</f>
        <v>0</v>
      </c>
      <c r="GJ65" s="301">
        <f>GI65-GH65</f>
        <v>0</v>
      </c>
      <c r="GN65" s="301">
        <f t="shared" si="43"/>
        <v>0</v>
      </c>
      <c r="GR65" s="301">
        <f t="shared" si="44"/>
        <v>0</v>
      </c>
      <c r="GV65" s="301">
        <f t="shared" si="45"/>
        <v>0</v>
      </c>
      <c r="GZ65" s="301">
        <f t="shared" si="46"/>
        <v>0</v>
      </c>
      <c r="HA65" s="328"/>
      <c r="HB65" s="339"/>
      <c r="HC65" s="286"/>
      <c r="HD65" s="286"/>
      <c r="HE65" s="286"/>
      <c r="HF65" s="286"/>
      <c r="HG65" s="286"/>
      <c r="HH65" s="286"/>
      <c r="HI65" s="286"/>
      <c r="HJ65" s="286"/>
      <c r="HK65" s="286"/>
      <c r="HL65" s="286"/>
      <c r="HM65" s="286"/>
      <c r="HN65" s="286"/>
      <c r="HO65" s="286"/>
      <c r="HP65" s="286"/>
      <c r="HQ65" s="286"/>
      <c r="HR65" s="286"/>
      <c r="HS65" s="306"/>
      <c r="HT65" s="306"/>
      <c r="HU65" s="306"/>
      <c r="HV65" s="306"/>
      <c r="HW65" s="286"/>
      <c r="HX65" s="286"/>
      <c r="HY65" s="286"/>
      <c r="HZ65" s="286"/>
      <c r="IA65" s="286"/>
      <c r="IB65" s="286"/>
      <c r="IC65" s="286"/>
      <c r="ID65" s="286"/>
      <c r="IE65" s="286"/>
      <c r="IF65" s="286"/>
      <c r="IG65" s="286"/>
      <c r="IH65" s="286"/>
      <c r="II65" s="286"/>
      <c r="IJ65" s="286"/>
      <c r="IK65" s="286"/>
      <c r="IL65" s="286"/>
      <c r="IM65" s="286"/>
      <c r="IN65" s="286"/>
      <c r="IO65" s="286"/>
      <c r="IP65" s="286"/>
      <c r="IQ65" s="286"/>
      <c r="IR65" s="286"/>
      <c r="IS65" s="286"/>
      <c r="IT65" s="286"/>
      <c r="IU65" s="286"/>
      <c r="IV65" s="286"/>
    </row>
    <row r="66" spans="1:256" s="338" customFormat="1" ht="13.5" hidden="1" customHeight="1">
      <c r="A66" s="912"/>
      <c r="B66" s="341"/>
      <c r="C66" s="380" t="s">
        <v>229</v>
      </c>
      <c r="D66" s="381" t="s">
        <v>162</v>
      </c>
      <c r="E66" s="299">
        <f t="shared" si="80"/>
        <v>235.60519000000002</v>
      </c>
      <c r="F66" s="299">
        <f t="shared" si="80"/>
        <v>0</v>
      </c>
      <c r="G66" s="299">
        <f t="shared" si="80"/>
        <v>0</v>
      </c>
      <c r="H66" s="299">
        <f t="shared" si="80"/>
        <v>0</v>
      </c>
      <c r="I66" s="338">
        <f>'[1]ГК РЭС'!K50/1000</f>
        <v>2.7510000000000003E-2</v>
      </c>
      <c r="J66" s="338">
        <f>'[1]ГК РЭС'!L50/1000*0</f>
        <v>0</v>
      </c>
      <c r="K66" s="338">
        <f>'[1]ГК РЭС'!M50/1000*0</f>
        <v>0</v>
      </c>
      <c r="L66" s="301">
        <f t="shared" si="25"/>
        <v>0</v>
      </c>
      <c r="M66" s="338">
        <f>'[1]УМУП УК ЖКХ г.Ульяновска'!K134/1000</f>
        <v>0</v>
      </c>
      <c r="N66" s="338">
        <f>'[1]УМУП УК ЖКХ г.Ульяновска'!L134/1000</f>
        <v>0</v>
      </c>
      <c r="O66" s="338">
        <f>'[1]УМУП УК ЖКХ г.Ульяновска'!M134/1000</f>
        <v>0</v>
      </c>
      <c r="P66" s="301">
        <f t="shared" si="26"/>
        <v>0</v>
      </c>
      <c r="T66" s="301">
        <f t="shared" si="27"/>
        <v>0</v>
      </c>
      <c r="U66" s="338">
        <f>'[1]ОАО ДК Заволж р-на'!K266/1000</f>
        <v>0</v>
      </c>
      <c r="V66" s="338">
        <f>'[1]ОАО ДК Заволж р-на'!L266/1000</f>
        <v>0</v>
      </c>
      <c r="W66" s="338">
        <f>'[1]ОАО ДК Заволж р-на'!M266/1000</f>
        <v>0</v>
      </c>
      <c r="X66" s="301">
        <f t="shared" si="28"/>
        <v>0</v>
      </c>
      <c r="Y66" s="338">
        <f>'[1]ООО ЖСС'!K84/1000</f>
        <v>0</v>
      </c>
      <c r="Z66" s="338">
        <f>'[1]ООО ЖСС'!L84/1000</f>
        <v>0</v>
      </c>
      <c r="AA66" s="338">
        <f>'[1]ООО ЖСС'!M84/1000</f>
        <v>0</v>
      </c>
      <c r="AB66" s="301">
        <f t="shared" si="29"/>
        <v>0</v>
      </c>
      <c r="AC66" s="338">
        <f>[1]МегаЛинк!K78/1000</f>
        <v>151.82904000000002</v>
      </c>
      <c r="AD66" s="338">
        <f>[1]МегаЛинк!L78/1000*0</f>
        <v>0</v>
      </c>
      <c r="AE66" s="338">
        <f>[1]МегаЛинк!M78/1000*0</f>
        <v>0</v>
      </c>
      <c r="AF66" s="300">
        <f t="shared" si="30"/>
        <v>0</v>
      </c>
      <c r="AG66" s="338">
        <f>[1]Вымпел!K45/1000</f>
        <v>31.22757</v>
      </c>
      <c r="AH66" s="338">
        <f>[1]Вымпел!L45/1000*0</f>
        <v>0</v>
      </c>
      <c r="AI66" s="338">
        <f>[1]Вымпел!M45/1000*0</f>
        <v>0</v>
      </c>
      <c r="AJ66" s="300">
        <f t="shared" si="31"/>
        <v>0</v>
      </c>
      <c r="AN66" s="301">
        <f t="shared" si="32"/>
        <v>0</v>
      </c>
      <c r="AR66" s="300">
        <f t="shared" si="33"/>
        <v>0</v>
      </c>
      <c r="AV66" s="301">
        <f t="shared" si="34"/>
        <v>0</v>
      </c>
      <c r="AW66" s="338">
        <f>'[1]Ульяновский _2 ТСЖ'!K44/1000</f>
        <v>42.779980000000002</v>
      </c>
      <c r="AX66" s="338">
        <f>'[1]Ульяновский _2 ТСЖ'!L44/1000*0</f>
        <v>0</v>
      </c>
      <c r="AY66" s="338">
        <f>'[1]Ульяновский _2 ТСЖ'!M44/1000*0</f>
        <v>0</v>
      </c>
      <c r="AZ66" s="301">
        <f t="shared" si="35"/>
        <v>0</v>
      </c>
      <c r="BD66" s="301">
        <f t="shared" si="36"/>
        <v>0</v>
      </c>
      <c r="BH66" s="301">
        <f t="shared" si="37"/>
        <v>0</v>
      </c>
      <c r="BL66" s="301">
        <f t="shared" si="38"/>
        <v>0</v>
      </c>
      <c r="BM66" s="338">
        <f>('[1]Евро-Строй-Сервис'!K71+'[1]Евро-Строй-Сервис'!K73)/1000</f>
        <v>0</v>
      </c>
      <c r="BN66" s="338">
        <f>('[1]Евро-Строй-Сервис'!L71+'[1]Евро-Строй-Сервис'!L73)/1000</f>
        <v>0</v>
      </c>
      <c r="BO66" s="338">
        <f>('[1]Евро-Строй-Сервис'!M71+'[1]Евро-Строй-Сервис'!M73)/1000</f>
        <v>0</v>
      </c>
      <c r="BP66" s="301">
        <f t="shared" si="52"/>
        <v>0</v>
      </c>
      <c r="BT66" s="301">
        <f t="shared" si="39"/>
        <v>0</v>
      </c>
      <c r="BX66" s="301">
        <f t="shared" si="40"/>
        <v>0</v>
      </c>
      <c r="CB66" s="301">
        <f t="shared" si="41"/>
        <v>0</v>
      </c>
      <c r="CC66" s="338">
        <f>[1]СУК!K45/1000</f>
        <v>9.7036899999999999</v>
      </c>
      <c r="CD66" s="338">
        <f>[1]СУК!L45/1000*0</f>
        <v>0</v>
      </c>
      <c r="CE66" s="338">
        <f>[1]СУК!M45/1000*0</f>
        <v>0</v>
      </c>
      <c r="CF66" s="300">
        <f t="shared" si="49"/>
        <v>0</v>
      </c>
      <c r="CG66" s="338">
        <f>'[1]УК ЖСС'!K111/1000</f>
        <v>3.7399999999999996E-2</v>
      </c>
      <c r="CH66" s="338">
        <f>'[1]УК ЖСС'!L111/1000*0</f>
        <v>0</v>
      </c>
      <c r="CI66" s="338">
        <f>'[1]УК ЖСС'!M111/1000*0</f>
        <v>0</v>
      </c>
      <c r="CJ66" s="301">
        <f t="shared" si="0"/>
        <v>0</v>
      </c>
      <c r="CN66" s="301">
        <f t="shared" si="1"/>
        <v>0</v>
      </c>
      <c r="CR66" s="301">
        <f t="shared" si="2"/>
        <v>0</v>
      </c>
      <c r="CV66" s="301">
        <f t="shared" si="3"/>
        <v>0</v>
      </c>
      <c r="CZ66" s="301">
        <f t="shared" si="4"/>
        <v>0</v>
      </c>
      <c r="DD66" s="300">
        <f t="shared" si="5"/>
        <v>0</v>
      </c>
      <c r="DH66" s="301">
        <f t="shared" si="6"/>
        <v>0</v>
      </c>
      <c r="DL66" s="301">
        <f t="shared" si="50"/>
        <v>0</v>
      </c>
      <c r="DP66" s="301">
        <f t="shared" si="7"/>
        <v>0</v>
      </c>
      <c r="DT66" s="300">
        <f t="shared" si="8"/>
        <v>0</v>
      </c>
      <c r="DX66" s="301">
        <f t="shared" si="9"/>
        <v>0</v>
      </c>
      <c r="EB66" s="301">
        <f t="shared" si="10"/>
        <v>0</v>
      </c>
      <c r="EC66" s="338">
        <f>'[1]ЗАО Авиастар-СП'!K45/1000</f>
        <v>0</v>
      </c>
      <c r="ED66" s="338">
        <f>'[1]ЗАО Авиастар-СП'!L45/1000</f>
        <v>0</v>
      </c>
      <c r="EE66" s="338">
        <f>'[1]ЗАО Авиастар-СП'!M45/1000</f>
        <v>0</v>
      </c>
      <c r="EF66" s="301">
        <f t="shared" si="11"/>
        <v>0</v>
      </c>
      <c r="EJ66" s="301">
        <f t="shared" si="12"/>
        <v>0</v>
      </c>
      <c r="EN66" s="301">
        <f t="shared" si="13"/>
        <v>0</v>
      </c>
      <c r="ER66" s="300">
        <f t="shared" si="14"/>
        <v>0</v>
      </c>
      <c r="EV66" s="300">
        <f t="shared" si="15"/>
        <v>0</v>
      </c>
      <c r="EZ66" s="301">
        <f t="shared" si="16"/>
        <v>0</v>
      </c>
      <c r="FD66" s="301">
        <f t="shared" si="17"/>
        <v>0</v>
      </c>
      <c r="FH66" s="300">
        <f t="shared" si="18"/>
        <v>0</v>
      </c>
      <c r="FL66" s="301">
        <f t="shared" si="19"/>
        <v>0</v>
      </c>
      <c r="FP66" s="301">
        <f>FO66-FN66</f>
        <v>0</v>
      </c>
      <c r="FT66" s="301">
        <f t="shared" si="21"/>
        <v>0</v>
      </c>
      <c r="FX66" s="301">
        <f t="shared" si="22"/>
        <v>0</v>
      </c>
      <c r="GB66" s="301">
        <f t="shared" si="23"/>
        <v>0</v>
      </c>
      <c r="GF66" s="301">
        <f>GE66-GD66</f>
        <v>0</v>
      </c>
      <c r="GJ66" s="301">
        <f>GI66-GH66</f>
        <v>0</v>
      </c>
      <c r="GN66" s="301">
        <f t="shared" si="43"/>
        <v>0</v>
      </c>
      <c r="GR66" s="301">
        <f t="shared" si="44"/>
        <v>0</v>
      </c>
      <c r="GV66" s="301">
        <f t="shared" si="45"/>
        <v>0</v>
      </c>
      <c r="GZ66" s="301">
        <f t="shared" si="46"/>
        <v>0</v>
      </c>
      <c r="HA66" s="328"/>
      <c r="HB66" s="339"/>
      <c r="HC66" s="286"/>
      <c r="HD66" s="286"/>
      <c r="HE66" s="286"/>
      <c r="HF66" s="286"/>
      <c r="HG66" s="286"/>
      <c r="HH66" s="286"/>
      <c r="HI66" s="286"/>
      <c r="HJ66" s="286"/>
      <c r="HK66" s="286"/>
      <c r="HL66" s="286"/>
      <c r="HM66" s="286"/>
      <c r="HN66" s="286"/>
      <c r="HO66" s="286"/>
      <c r="HP66" s="286"/>
      <c r="HQ66" s="286"/>
      <c r="HR66" s="286"/>
      <c r="HS66" s="306"/>
      <c r="HT66" s="306"/>
      <c r="HU66" s="306"/>
      <c r="HV66" s="306"/>
      <c r="HW66" s="286"/>
      <c r="HX66" s="286"/>
      <c r="HY66" s="286"/>
      <c r="HZ66" s="286"/>
      <c r="IA66" s="286"/>
      <c r="IB66" s="286"/>
      <c r="IC66" s="286"/>
      <c r="ID66" s="286"/>
      <c r="IE66" s="286"/>
      <c r="IF66" s="286"/>
      <c r="IG66" s="286"/>
      <c r="IH66" s="286"/>
      <c r="II66" s="286"/>
      <c r="IJ66" s="286"/>
      <c r="IK66" s="286"/>
      <c r="IL66" s="286"/>
      <c r="IM66" s="286"/>
      <c r="IN66" s="286"/>
      <c r="IO66" s="286"/>
      <c r="IP66" s="286"/>
      <c r="IQ66" s="286"/>
      <c r="IR66" s="286"/>
      <c r="IS66" s="286"/>
      <c r="IT66" s="286"/>
      <c r="IU66" s="286"/>
      <c r="IV66" s="286"/>
    </row>
    <row r="67" spans="1:256" s="338" customFormat="1" ht="13.5" hidden="1" customHeight="1">
      <c r="A67" s="912"/>
      <c r="B67" s="341"/>
      <c r="C67" s="382" t="s">
        <v>233</v>
      </c>
      <c r="D67" s="381" t="s">
        <v>162</v>
      </c>
      <c r="E67" s="301">
        <f>SUM(E68:E69)</f>
        <v>14.57849</v>
      </c>
      <c r="F67" s="301">
        <f>SUM(F68:F69)</f>
        <v>279.23682209999998</v>
      </c>
      <c r="G67" s="301">
        <f>SUM(G68:G69)</f>
        <v>279.23682209999998</v>
      </c>
      <c r="H67" s="301">
        <f>SUM(H68:H69)</f>
        <v>0</v>
      </c>
      <c r="L67" s="301">
        <f t="shared" si="25"/>
        <v>0</v>
      </c>
      <c r="M67" s="301">
        <f>M68+M69</f>
        <v>0</v>
      </c>
      <c r="N67" s="301">
        <f>N68+N69</f>
        <v>0</v>
      </c>
      <c r="O67" s="301">
        <f>O68+O69</f>
        <v>0</v>
      </c>
      <c r="P67" s="301">
        <f t="shared" si="26"/>
        <v>0</v>
      </c>
      <c r="T67" s="301">
        <f t="shared" si="27"/>
        <v>0</v>
      </c>
      <c r="X67" s="301">
        <f t="shared" si="28"/>
        <v>0</v>
      </c>
      <c r="AB67" s="301">
        <f t="shared" si="29"/>
        <v>0</v>
      </c>
      <c r="AF67" s="300">
        <f t="shared" si="30"/>
        <v>0</v>
      </c>
      <c r="AJ67" s="300">
        <f t="shared" si="31"/>
        <v>0</v>
      </c>
      <c r="AN67" s="301">
        <f t="shared" si="32"/>
        <v>0</v>
      </c>
      <c r="AR67" s="300">
        <f t="shared" si="33"/>
        <v>0</v>
      </c>
      <c r="AV67" s="301">
        <f t="shared" si="34"/>
        <v>0</v>
      </c>
      <c r="AZ67" s="301">
        <f t="shared" si="35"/>
        <v>0</v>
      </c>
      <c r="BD67" s="301">
        <f t="shared" si="36"/>
        <v>0</v>
      </c>
      <c r="BH67" s="301">
        <f t="shared" si="37"/>
        <v>0</v>
      </c>
      <c r="BL67" s="301">
        <f t="shared" si="38"/>
        <v>0</v>
      </c>
      <c r="BP67" s="301">
        <f t="shared" si="52"/>
        <v>0</v>
      </c>
      <c r="BQ67" s="301">
        <f>SUM(BQ68:BQ69)</f>
        <v>2.0030899999999998</v>
      </c>
      <c r="BR67" s="301">
        <f>SUM(BR68:BR69)</f>
        <v>46.988293299999995</v>
      </c>
      <c r="BS67" s="301">
        <f>SUM(BS68:BS69)</f>
        <v>46.988293299999995</v>
      </c>
      <c r="BT67" s="301">
        <f t="shared" si="39"/>
        <v>0</v>
      </c>
      <c r="BU67" s="301">
        <f>BU68+BU69</f>
        <v>8.6820000000000004</v>
      </c>
      <c r="BV67" s="301">
        <f>BV68+BV69</f>
        <v>166.42195919999997</v>
      </c>
      <c r="BW67" s="301">
        <f>BW68+BW69</f>
        <v>166.42195919999997</v>
      </c>
      <c r="BX67" s="301">
        <f t="shared" si="40"/>
        <v>0</v>
      </c>
      <c r="CB67" s="301">
        <f t="shared" si="41"/>
        <v>0</v>
      </c>
      <c r="CF67" s="300">
        <f t="shared" si="49"/>
        <v>0</v>
      </c>
      <c r="CJ67" s="301">
        <f t="shared" si="0"/>
        <v>0</v>
      </c>
      <c r="CN67" s="301">
        <f t="shared" si="1"/>
        <v>0</v>
      </c>
      <c r="CR67" s="301">
        <f t="shared" si="2"/>
        <v>0</v>
      </c>
      <c r="CV67" s="301">
        <f t="shared" si="3"/>
        <v>0</v>
      </c>
      <c r="CZ67" s="301">
        <f t="shared" si="4"/>
        <v>0</v>
      </c>
      <c r="DD67" s="300">
        <f t="shared" si="5"/>
        <v>0</v>
      </c>
      <c r="DH67" s="301">
        <f t="shared" si="6"/>
        <v>0</v>
      </c>
      <c r="DL67" s="301">
        <f t="shared" si="50"/>
        <v>0</v>
      </c>
      <c r="DP67" s="301">
        <f t="shared" si="7"/>
        <v>0</v>
      </c>
      <c r="DT67" s="300">
        <f t="shared" si="8"/>
        <v>0</v>
      </c>
      <c r="DX67" s="301">
        <f t="shared" si="9"/>
        <v>0</v>
      </c>
      <c r="EB67" s="301">
        <f t="shared" si="10"/>
        <v>0</v>
      </c>
      <c r="EF67" s="301">
        <f t="shared" si="11"/>
        <v>0</v>
      </c>
      <c r="EG67" s="301">
        <f>SUM(EG68:EG69)</f>
        <v>3.0478000000000001</v>
      </c>
      <c r="EH67" s="301">
        <f>SUM(EH68:EH69)</f>
        <v>55.652828000000007</v>
      </c>
      <c r="EI67" s="301">
        <f>SUM(EI68:EI69)</f>
        <v>55.652828000000007</v>
      </c>
      <c r="EJ67" s="301">
        <f t="shared" si="12"/>
        <v>0</v>
      </c>
      <c r="EK67" s="301"/>
      <c r="EL67" s="301"/>
      <c r="EM67" s="301"/>
      <c r="EN67" s="301">
        <f t="shared" si="13"/>
        <v>0</v>
      </c>
      <c r="EO67" s="301"/>
      <c r="EP67" s="301"/>
      <c r="EQ67" s="301"/>
      <c r="ER67" s="300">
        <f t="shared" si="14"/>
        <v>0</v>
      </c>
      <c r="ES67" s="301"/>
      <c r="ET67" s="301"/>
      <c r="EU67" s="301"/>
      <c r="EV67" s="300">
        <f t="shared" si="15"/>
        <v>0</v>
      </c>
      <c r="EZ67" s="301">
        <f t="shared" si="16"/>
        <v>0</v>
      </c>
      <c r="FA67" s="301"/>
      <c r="FB67" s="301"/>
      <c r="FC67" s="301"/>
      <c r="FD67" s="301">
        <f t="shared" si="17"/>
        <v>0</v>
      </c>
      <c r="FE67" s="301"/>
      <c r="FF67" s="301"/>
      <c r="FG67" s="301"/>
      <c r="FH67" s="300">
        <f t="shared" si="18"/>
        <v>0</v>
      </c>
      <c r="FI67" s="301"/>
      <c r="FJ67" s="301"/>
      <c r="FK67" s="301"/>
      <c r="FL67" s="301">
        <f t="shared" si="19"/>
        <v>0</v>
      </c>
      <c r="FM67" s="301"/>
      <c r="FN67" s="301"/>
      <c r="FO67" s="301"/>
      <c r="FP67" s="301">
        <f>SUM(FP68:FP69)</f>
        <v>0</v>
      </c>
      <c r="FQ67" s="301">
        <f>FQ68+FQ69</f>
        <v>0.84559999999999991</v>
      </c>
      <c r="FR67" s="301">
        <f>FR68+FR69</f>
        <v>10.173741600000001</v>
      </c>
      <c r="FS67" s="301">
        <f>FS68+FS69</f>
        <v>10.173741600000001</v>
      </c>
      <c r="FT67" s="301">
        <f t="shared" si="21"/>
        <v>0</v>
      </c>
      <c r="FU67" s="301"/>
      <c r="FV67" s="301"/>
      <c r="FW67" s="301"/>
      <c r="FX67" s="301">
        <f t="shared" si="22"/>
        <v>0</v>
      </c>
      <c r="FY67" s="301"/>
      <c r="FZ67" s="301"/>
      <c r="GA67" s="301"/>
      <c r="GB67" s="301">
        <f t="shared" si="23"/>
        <v>0</v>
      </c>
      <c r="GC67" s="301"/>
      <c r="GD67" s="301"/>
      <c r="GE67" s="301"/>
      <c r="GF67" s="301">
        <f>SUM(GF68:GF69)</f>
        <v>0</v>
      </c>
      <c r="GG67" s="301"/>
      <c r="GH67" s="301"/>
      <c r="GI67" s="301"/>
      <c r="GJ67" s="301">
        <f>SUM(GJ68:GJ69)</f>
        <v>0</v>
      </c>
      <c r="GK67" s="301"/>
      <c r="GL67" s="301"/>
      <c r="GM67" s="301"/>
      <c r="GN67" s="301">
        <f t="shared" si="43"/>
        <v>0</v>
      </c>
      <c r="GO67" s="301"/>
      <c r="GP67" s="301"/>
      <c r="GQ67" s="301"/>
      <c r="GR67" s="301">
        <f t="shared" si="44"/>
        <v>0</v>
      </c>
      <c r="GS67" s="301"/>
      <c r="GT67" s="301"/>
      <c r="GU67" s="301"/>
      <c r="GV67" s="301">
        <f t="shared" si="45"/>
        <v>0</v>
      </c>
      <c r="GW67" s="301"/>
      <c r="GX67" s="301"/>
      <c r="GY67" s="301"/>
      <c r="GZ67" s="301">
        <f t="shared" si="46"/>
        <v>0</v>
      </c>
      <c r="HA67" s="328"/>
      <c r="HB67" s="339"/>
      <c r="HC67" s="286"/>
      <c r="HD67" s="286"/>
      <c r="HE67" s="286"/>
      <c r="HF67" s="286"/>
      <c r="HG67" s="286"/>
      <c r="HH67" s="286"/>
      <c r="HI67" s="286"/>
      <c r="HJ67" s="286"/>
      <c r="HK67" s="286"/>
      <c r="HL67" s="286"/>
      <c r="HM67" s="286"/>
      <c r="HN67" s="286"/>
      <c r="HO67" s="286"/>
      <c r="HP67" s="286"/>
      <c r="HQ67" s="286"/>
      <c r="HR67" s="286"/>
      <c r="HS67" s="306"/>
      <c r="HT67" s="306"/>
      <c r="HU67" s="306"/>
      <c r="HV67" s="306"/>
      <c r="HW67" s="286"/>
      <c r="HX67" s="286"/>
      <c r="HY67" s="286"/>
      <c r="HZ67" s="286"/>
      <c r="IA67" s="286"/>
      <c r="IB67" s="286"/>
      <c r="IC67" s="286"/>
      <c r="ID67" s="286"/>
      <c r="IE67" s="286"/>
      <c r="IF67" s="286"/>
      <c r="IG67" s="286"/>
      <c r="IH67" s="286"/>
      <c r="II67" s="286"/>
      <c r="IJ67" s="286"/>
      <c r="IK67" s="286"/>
      <c r="IL67" s="286"/>
      <c r="IM67" s="286"/>
      <c r="IN67" s="286"/>
      <c r="IO67" s="286"/>
      <c r="IP67" s="286"/>
      <c r="IQ67" s="286"/>
      <c r="IR67" s="286"/>
      <c r="IS67" s="286"/>
      <c r="IT67" s="286"/>
      <c r="IU67" s="286"/>
      <c r="IV67" s="286"/>
    </row>
    <row r="68" spans="1:256" s="338" customFormat="1" ht="13.5" hidden="1" customHeight="1">
      <c r="A68" s="912"/>
      <c r="B68" s="341"/>
      <c r="C68" s="380" t="s">
        <v>228</v>
      </c>
      <c r="D68" s="381" t="s">
        <v>162</v>
      </c>
      <c r="E68" s="299">
        <f t="shared" ref="E68:H69" si="81">I68+M68+Q68+U68+Y68+AC68+AG68+AK68+AO68+AS68+AW68+BA68+BE68+BI68+BM68+BQ68+BU68+BY68+CC68+CG68+CK68+CO68+CS68+CW68+DA68+DE68+DI68+DM68+DQ68+DU68+DY68+EC68+EG68+EK68+EO68+ES68+EW68+FA68+FE68+FI68+FM68+FQ68+FU68+FY68+GC68+GK68+GG68+GO68+GS68+GW68</f>
        <v>14.19783</v>
      </c>
      <c r="F68" s="299">
        <f t="shared" si="81"/>
        <v>279.23682209999998</v>
      </c>
      <c r="G68" s="299">
        <f t="shared" si="81"/>
        <v>279.23682209999998</v>
      </c>
      <c r="H68" s="299">
        <f t="shared" si="81"/>
        <v>0</v>
      </c>
      <c r="L68" s="301">
        <f t="shared" si="25"/>
        <v>0</v>
      </c>
      <c r="M68" s="338">
        <f>'[1]УМУП УК ЖКХ г.Ульяновска'!K140/1000</f>
        <v>0</v>
      </c>
      <c r="N68" s="338">
        <f>'[1]УМУП УК ЖКХ г.Ульяновска'!L140/1000</f>
        <v>0</v>
      </c>
      <c r="O68" s="338">
        <f>'[1]УМУП УК ЖКХ г.Ульяновска'!M140/1000</f>
        <v>0</v>
      </c>
      <c r="P68" s="301">
        <f t="shared" si="26"/>
        <v>0</v>
      </c>
      <c r="T68" s="301">
        <f t="shared" si="27"/>
        <v>0</v>
      </c>
      <c r="X68" s="301">
        <f t="shared" si="28"/>
        <v>0</v>
      </c>
      <c r="AB68" s="301">
        <f t="shared" si="29"/>
        <v>0</v>
      </c>
      <c r="AF68" s="300">
        <f t="shared" si="30"/>
        <v>0</v>
      </c>
      <c r="AJ68" s="300">
        <f t="shared" si="31"/>
        <v>0</v>
      </c>
      <c r="AN68" s="301">
        <f t="shared" si="32"/>
        <v>0</v>
      </c>
      <c r="AR68" s="300">
        <f t="shared" si="33"/>
        <v>0</v>
      </c>
      <c r="AV68" s="301">
        <f t="shared" si="34"/>
        <v>0</v>
      </c>
      <c r="AZ68" s="301">
        <f t="shared" si="35"/>
        <v>0</v>
      </c>
      <c r="BD68" s="301">
        <f t="shared" si="36"/>
        <v>0</v>
      </c>
      <c r="BH68" s="301">
        <f t="shared" si="37"/>
        <v>0</v>
      </c>
      <c r="BL68" s="301">
        <f t="shared" si="38"/>
        <v>0</v>
      </c>
      <c r="BP68" s="301">
        <f t="shared" si="52"/>
        <v>0</v>
      </c>
      <c r="BQ68" s="338">
        <f>'[1]ОАО ДК Засвияжье 2'!K122/1000</f>
        <v>1.9108699999999998</v>
      </c>
      <c r="BR68" s="338">
        <f>'[1]ОАО ДК Засвияжье 2'!L122/1000</f>
        <v>46.988293299999995</v>
      </c>
      <c r="BS68" s="338">
        <f>'[1]ОАО ДК Засвияжье 2'!M122/1000</f>
        <v>46.988293299999995</v>
      </c>
      <c r="BT68" s="301">
        <f t="shared" si="39"/>
        <v>0</v>
      </c>
      <c r="BU68" s="338">
        <f>'[1]ОАО ДК Лен р-на'!K345/1000</f>
        <v>8.6820000000000004</v>
      </c>
      <c r="BV68" s="338">
        <f>'[1]ОАО ДК Лен р-на'!L345/1000</f>
        <v>166.42195919999997</v>
      </c>
      <c r="BW68" s="338">
        <f>'[1]ОАО ДК Лен р-на'!M345/1000</f>
        <v>166.42195919999997</v>
      </c>
      <c r="BX68" s="301">
        <f t="shared" si="40"/>
        <v>0</v>
      </c>
      <c r="CB68" s="301">
        <f t="shared" si="41"/>
        <v>0</v>
      </c>
      <c r="CF68" s="300">
        <f t="shared" si="49"/>
        <v>0</v>
      </c>
      <c r="CJ68" s="301">
        <f t="shared" si="0"/>
        <v>0</v>
      </c>
      <c r="CN68" s="301">
        <f t="shared" si="1"/>
        <v>0</v>
      </c>
      <c r="CR68" s="301">
        <f t="shared" si="2"/>
        <v>0</v>
      </c>
      <c r="CV68" s="301">
        <f t="shared" si="3"/>
        <v>0</v>
      </c>
      <c r="CZ68" s="301">
        <f t="shared" si="4"/>
        <v>0</v>
      </c>
      <c r="DD68" s="300">
        <f t="shared" si="5"/>
        <v>0</v>
      </c>
      <c r="DH68" s="301">
        <f t="shared" si="6"/>
        <v>0</v>
      </c>
      <c r="DL68" s="301">
        <f t="shared" si="50"/>
        <v>0</v>
      </c>
      <c r="DP68" s="301">
        <f t="shared" si="7"/>
        <v>0</v>
      </c>
      <c r="DT68" s="300">
        <f t="shared" si="8"/>
        <v>0</v>
      </c>
      <c r="DX68" s="301">
        <f t="shared" si="9"/>
        <v>0</v>
      </c>
      <c r="EB68" s="301">
        <f t="shared" si="10"/>
        <v>0</v>
      </c>
      <c r="EF68" s="301">
        <f t="shared" si="11"/>
        <v>0</v>
      </c>
      <c r="EG68" s="338">
        <f>'[1]ООО ЦЭТ'!K202/1000</f>
        <v>3.0478000000000001</v>
      </c>
      <c r="EH68" s="338">
        <f>'[1]ООО ЦЭТ'!L202/1000</f>
        <v>55.652828000000007</v>
      </c>
      <c r="EI68" s="338">
        <f>'[1]ООО ЦЭТ'!M202/1000</f>
        <v>55.652828000000007</v>
      </c>
      <c r="EJ68" s="301">
        <f t="shared" si="12"/>
        <v>0</v>
      </c>
      <c r="EN68" s="301">
        <f t="shared" si="13"/>
        <v>0</v>
      </c>
      <c r="ER68" s="300">
        <f t="shared" si="14"/>
        <v>0</v>
      </c>
      <c r="EV68" s="300">
        <f t="shared" si="15"/>
        <v>0</v>
      </c>
      <c r="EZ68" s="301">
        <f t="shared" si="16"/>
        <v>0</v>
      </c>
      <c r="FD68" s="301">
        <f t="shared" si="17"/>
        <v>0</v>
      </c>
      <c r="FH68" s="300">
        <f t="shared" si="18"/>
        <v>0</v>
      </c>
      <c r="FL68" s="301">
        <f t="shared" si="19"/>
        <v>0</v>
      </c>
      <c r="FP68" s="301">
        <f>FO68-FN68</f>
        <v>0</v>
      </c>
      <c r="FQ68" s="338">
        <f>'[1]ООО ЖКХ Лен-го района'!K177/1000</f>
        <v>0.55715999999999999</v>
      </c>
      <c r="FR68" s="338">
        <f>'[1]ООО ЖКХ Лен-го района'!L177/1000</f>
        <v>10.173741600000001</v>
      </c>
      <c r="FS68" s="338">
        <f>'[1]ООО ЖКХ Лен-го района'!M177/1000</f>
        <v>10.173741600000001</v>
      </c>
      <c r="FT68" s="301">
        <f t="shared" si="21"/>
        <v>0</v>
      </c>
      <c r="FX68" s="301">
        <f t="shared" si="22"/>
        <v>0</v>
      </c>
      <c r="GB68" s="301">
        <f t="shared" si="23"/>
        <v>0</v>
      </c>
      <c r="GF68" s="301">
        <f>GE68-GD68</f>
        <v>0</v>
      </c>
      <c r="GJ68" s="301">
        <f>GI68-GH68</f>
        <v>0</v>
      </c>
      <c r="GN68" s="301">
        <f t="shared" si="43"/>
        <v>0</v>
      </c>
      <c r="GR68" s="301">
        <f t="shared" si="44"/>
        <v>0</v>
      </c>
      <c r="GV68" s="301">
        <f t="shared" si="45"/>
        <v>0</v>
      </c>
      <c r="GZ68" s="301">
        <f t="shared" si="46"/>
        <v>0</v>
      </c>
      <c r="HA68" s="328"/>
      <c r="HB68" s="339"/>
      <c r="HC68" s="286"/>
      <c r="HD68" s="286"/>
      <c r="HE68" s="286"/>
      <c r="HF68" s="286"/>
      <c r="HG68" s="286"/>
      <c r="HH68" s="286"/>
      <c r="HI68" s="286"/>
      <c r="HJ68" s="286"/>
      <c r="HK68" s="286"/>
      <c r="HL68" s="286"/>
      <c r="HM68" s="286"/>
      <c r="HN68" s="286"/>
      <c r="HO68" s="286"/>
      <c r="HP68" s="286"/>
      <c r="HQ68" s="286"/>
      <c r="HR68" s="286"/>
      <c r="HS68" s="306"/>
      <c r="HT68" s="306"/>
      <c r="HU68" s="306"/>
      <c r="HV68" s="306"/>
      <c r="HW68" s="286"/>
      <c r="HX68" s="286"/>
      <c r="HY68" s="286"/>
      <c r="HZ68" s="286"/>
      <c r="IA68" s="286"/>
      <c r="IB68" s="286"/>
      <c r="IC68" s="286"/>
      <c r="ID68" s="286"/>
      <c r="IE68" s="286"/>
      <c r="IF68" s="286"/>
      <c r="IG68" s="286"/>
      <c r="IH68" s="286"/>
      <c r="II68" s="286"/>
      <c r="IJ68" s="286"/>
      <c r="IK68" s="286"/>
      <c r="IL68" s="286"/>
      <c r="IM68" s="286"/>
      <c r="IN68" s="286"/>
      <c r="IO68" s="286"/>
      <c r="IP68" s="286"/>
      <c r="IQ68" s="286"/>
      <c r="IR68" s="286"/>
      <c r="IS68" s="286"/>
      <c r="IT68" s="286"/>
      <c r="IU68" s="286"/>
      <c r="IV68" s="286"/>
    </row>
    <row r="69" spans="1:256" s="338" customFormat="1" ht="13.5" hidden="1" customHeight="1">
      <c r="A69" s="912"/>
      <c r="B69" s="341"/>
      <c r="C69" s="380" t="s">
        <v>229</v>
      </c>
      <c r="D69" s="381" t="s">
        <v>162</v>
      </c>
      <c r="E69" s="299">
        <f t="shared" si="81"/>
        <v>0.38066</v>
      </c>
      <c r="F69" s="299">
        <f t="shared" si="81"/>
        <v>0</v>
      </c>
      <c r="G69" s="299">
        <f t="shared" si="81"/>
        <v>0</v>
      </c>
      <c r="H69" s="299">
        <f t="shared" si="81"/>
        <v>0</v>
      </c>
      <c r="L69" s="301">
        <f t="shared" si="25"/>
        <v>0</v>
      </c>
      <c r="M69" s="338">
        <f>'[1]УМУП УК ЖКХ г.Ульяновска'!K144/1000</f>
        <v>0</v>
      </c>
      <c r="N69" s="338">
        <f>'[1]УМУП УК ЖКХ г.Ульяновска'!L144/1000</f>
        <v>0</v>
      </c>
      <c r="O69" s="338">
        <f>'[1]УМУП УК ЖКХ г.Ульяновска'!M144/1000</f>
        <v>0</v>
      </c>
      <c r="P69" s="301">
        <f t="shared" si="26"/>
        <v>0</v>
      </c>
      <c r="T69" s="301">
        <f t="shared" si="27"/>
        <v>0</v>
      </c>
      <c r="X69" s="301">
        <f t="shared" si="28"/>
        <v>0</v>
      </c>
      <c r="AB69" s="301">
        <f t="shared" si="29"/>
        <v>0</v>
      </c>
      <c r="AF69" s="300">
        <f t="shared" si="30"/>
        <v>0</v>
      </c>
      <c r="AJ69" s="300">
        <f t="shared" si="31"/>
        <v>0</v>
      </c>
      <c r="AN69" s="301">
        <f t="shared" si="32"/>
        <v>0</v>
      </c>
      <c r="AR69" s="300">
        <f t="shared" si="33"/>
        <v>0</v>
      </c>
      <c r="AV69" s="301">
        <f t="shared" si="34"/>
        <v>0</v>
      </c>
      <c r="AZ69" s="301">
        <f t="shared" si="35"/>
        <v>0</v>
      </c>
      <c r="BD69" s="301">
        <f t="shared" si="36"/>
        <v>0</v>
      </c>
      <c r="BH69" s="301">
        <f t="shared" si="37"/>
        <v>0</v>
      </c>
      <c r="BL69" s="301">
        <f t="shared" si="38"/>
        <v>0</v>
      </c>
      <c r="BP69" s="301">
        <f t="shared" si="52"/>
        <v>0</v>
      </c>
      <c r="BQ69" s="338">
        <f>'[1]ОАО ДК Засвияжье 2'!K128/1000</f>
        <v>9.2219999999999996E-2</v>
      </c>
      <c r="BR69" s="338">
        <f>'[1]ОАО ДК Засвияжье 2'!L128/1000*0</f>
        <v>0</v>
      </c>
      <c r="BS69" s="338">
        <f>'[1]ОАО ДК Засвияжье 2'!M128/1000*0</f>
        <v>0</v>
      </c>
      <c r="BT69" s="301">
        <f t="shared" si="39"/>
        <v>0</v>
      </c>
      <c r="BU69" s="338">
        <f>'[1]ОАО ДК Лен р-на'!K349/1000</f>
        <v>0</v>
      </c>
      <c r="BV69" s="338">
        <f>'[1]ОАО ДК Лен р-на'!L349/1000</f>
        <v>0</v>
      </c>
      <c r="BW69" s="338">
        <f>'[1]ОАО ДК Лен р-на'!M349/1000</f>
        <v>0</v>
      </c>
      <c r="BX69" s="301">
        <f t="shared" si="40"/>
        <v>0</v>
      </c>
      <c r="CB69" s="301">
        <f t="shared" si="41"/>
        <v>0</v>
      </c>
      <c r="CF69" s="300">
        <f t="shared" si="49"/>
        <v>0</v>
      </c>
      <c r="CJ69" s="301">
        <f t="shared" si="0"/>
        <v>0</v>
      </c>
      <c r="CN69" s="301">
        <f t="shared" si="1"/>
        <v>0</v>
      </c>
      <c r="CR69" s="301">
        <f t="shared" si="2"/>
        <v>0</v>
      </c>
      <c r="CV69" s="301">
        <f t="shared" si="3"/>
        <v>0</v>
      </c>
      <c r="CZ69" s="301">
        <f t="shared" si="4"/>
        <v>0</v>
      </c>
      <c r="DD69" s="300">
        <f t="shared" si="5"/>
        <v>0</v>
      </c>
      <c r="DH69" s="301">
        <f t="shared" si="6"/>
        <v>0</v>
      </c>
      <c r="DL69" s="301">
        <f t="shared" si="50"/>
        <v>0</v>
      </c>
      <c r="DP69" s="301">
        <f t="shared" si="7"/>
        <v>0</v>
      </c>
      <c r="DT69" s="300">
        <f t="shared" si="8"/>
        <v>0</v>
      </c>
      <c r="DX69" s="301">
        <f t="shared" si="9"/>
        <v>0</v>
      </c>
      <c r="EB69" s="301">
        <f t="shared" si="10"/>
        <v>0</v>
      </c>
      <c r="EF69" s="301">
        <f t="shared" si="11"/>
        <v>0</v>
      </c>
      <c r="EG69" s="338">
        <f>'[1]ООО ЦЭТ'!K206/1000</f>
        <v>0</v>
      </c>
      <c r="EH69" s="338">
        <f>'[1]ООО ЦЭТ'!L206/1000</f>
        <v>0</v>
      </c>
      <c r="EI69" s="338">
        <f>'[1]ООО ЦЭТ'!M206/1000</f>
        <v>0</v>
      </c>
      <c r="EJ69" s="301">
        <f t="shared" si="12"/>
        <v>0</v>
      </c>
      <c r="EN69" s="301">
        <f t="shared" si="13"/>
        <v>0</v>
      </c>
      <c r="ER69" s="300">
        <f t="shared" si="14"/>
        <v>0</v>
      </c>
      <c r="EV69" s="300">
        <f t="shared" si="15"/>
        <v>0</v>
      </c>
      <c r="EZ69" s="301">
        <f t="shared" si="16"/>
        <v>0</v>
      </c>
      <c r="FD69" s="301">
        <f t="shared" si="17"/>
        <v>0</v>
      </c>
      <c r="FH69" s="300">
        <f t="shared" si="18"/>
        <v>0</v>
      </c>
      <c r="FL69" s="301">
        <f t="shared" si="19"/>
        <v>0</v>
      </c>
      <c r="FP69" s="301">
        <f>FO69-FN69</f>
        <v>0</v>
      </c>
      <c r="FQ69" s="338">
        <f>'[1]ООО ЖКХ Лен-го района'!K181/1000</f>
        <v>0.28843999999999997</v>
      </c>
      <c r="FR69" s="338">
        <f>'[1]ООО ЖКХ Лен-го района'!L181/1000*0</f>
        <v>0</v>
      </c>
      <c r="FS69" s="338">
        <f>'[1]ООО ЖКХ Лен-го района'!M181/1000*0</f>
        <v>0</v>
      </c>
      <c r="FT69" s="301">
        <f t="shared" si="21"/>
        <v>0</v>
      </c>
      <c r="FX69" s="301">
        <f t="shared" si="22"/>
        <v>0</v>
      </c>
      <c r="GB69" s="301">
        <f t="shared" si="23"/>
        <v>0</v>
      </c>
      <c r="GF69" s="301">
        <f>GE69-GD69</f>
        <v>0</v>
      </c>
      <c r="GJ69" s="301">
        <f>GI69-GH69</f>
        <v>0</v>
      </c>
      <c r="GN69" s="301">
        <f t="shared" si="43"/>
        <v>0</v>
      </c>
      <c r="GR69" s="301">
        <f t="shared" si="44"/>
        <v>0</v>
      </c>
      <c r="GV69" s="301">
        <f t="shared" si="45"/>
        <v>0</v>
      </c>
      <c r="GZ69" s="301">
        <f t="shared" si="46"/>
        <v>0</v>
      </c>
      <c r="HA69" s="328"/>
      <c r="HB69" s="339"/>
      <c r="HC69" s="286"/>
      <c r="HD69" s="286"/>
      <c r="HE69" s="286"/>
      <c r="HF69" s="286"/>
      <c r="HG69" s="286"/>
      <c r="HH69" s="286"/>
      <c r="HI69" s="286"/>
      <c r="HJ69" s="286"/>
      <c r="HK69" s="286"/>
      <c r="HL69" s="286"/>
      <c r="HM69" s="286"/>
      <c r="HN69" s="286"/>
      <c r="HO69" s="286"/>
      <c r="HP69" s="286"/>
      <c r="HQ69" s="286"/>
      <c r="HR69" s="286"/>
      <c r="HS69" s="306"/>
      <c r="HT69" s="306"/>
      <c r="HU69" s="306"/>
      <c r="HV69" s="306"/>
      <c r="HW69" s="286"/>
      <c r="HX69" s="286"/>
      <c r="HY69" s="286"/>
      <c r="HZ69" s="286"/>
      <c r="IA69" s="286"/>
      <c r="IB69" s="286"/>
      <c r="IC69" s="286"/>
      <c r="ID69" s="286"/>
      <c r="IE69" s="286"/>
      <c r="IF69" s="286"/>
      <c r="IG69" s="286"/>
      <c r="IH69" s="286"/>
      <c r="II69" s="286"/>
      <c r="IJ69" s="286"/>
      <c r="IK69" s="286"/>
      <c r="IL69" s="286"/>
      <c r="IM69" s="286"/>
      <c r="IN69" s="286"/>
      <c r="IO69" s="286"/>
      <c r="IP69" s="286"/>
      <c r="IQ69" s="286"/>
      <c r="IR69" s="286"/>
      <c r="IS69" s="286"/>
      <c r="IT69" s="286"/>
      <c r="IU69" s="286"/>
      <c r="IV69" s="286"/>
    </row>
    <row r="70" spans="1:256" s="338" customFormat="1" ht="13.5" hidden="1" customHeight="1">
      <c r="A70" s="912"/>
      <c r="B70" s="341"/>
      <c r="C70" s="382" t="s">
        <v>234</v>
      </c>
      <c r="D70" s="381" t="s">
        <v>162</v>
      </c>
      <c r="E70" s="301">
        <f>SUM(E71:E72)</f>
        <v>0.48508999999999997</v>
      </c>
      <c r="F70" s="301">
        <f>SUM(F71:F72)</f>
        <v>6.3546789999999991</v>
      </c>
      <c r="G70" s="301">
        <f>SUM(G71:G72)</f>
        <v>6.3546789999999991</v>
      </c>
      <c r="H70" s="301">
        <f>SUM(H71:H72)</f>
        <v>0</v>
      </c>
      <c r="L70" s="301">
        <f t="shared" si="25"/>
        <v>0</v>
      </c>
      <c r="M70" s="301"/>
      <c r="N70" s="301"/>
      <c r="O70" s="301"/>
      <c r="P70" s="301">
        <f t="shared" si="26"/>
        <v>0</v>
      </c>
      <c r="T70" s="301">
        <f t="shared" si="27"/>
        <v>0</v>
      </c>
      <c r="X70" s="301">
        <f t="shared" si="28"/>
        <v>0</v>
      </c>
      <c r="AB70" s="301">
        <f t="shared" si="29"/>
        <v>0</v>
      </c>
      <c r="AF70" s="300">
        <f t="shared" si="30"/>
        <v>0</v>
      </c>
      <c r="AJ70" s="300">
        <f t="shared" si="31"/>
        <v>0</v>
      </c>
      <c r="AN70" s="301">
        <f t="shared" si="32"/>
        <v>0</v>
      </c>
      <c r="AR70" s="300">
        <f t="shared" si="33"/>
        <v>0</v>
      </c>
      <c r="AV70" s="301">
        <f t="shared" si="34"/>
        <v>0</v>
      </c>
      <c r="AZ70" s="301">
        <f t="shared" si="35"/>
        <v>0</v>
      </c>
      <c r="BD70" s="301">
        <f t="shared" si="36"/>
        <v>0</v>
      </c>
      <c r="BH70" s="301">
        <f t="shared" si="37"/>
        <v>0</v>
      </c>
      <c r="BL70" s="301">
        <f t="shared" si="38"/>
        <v>0</v>
      </c>
      <c r="BP70" s="301">
        <f t="shared" si="52"/>
        <v>0</v>
      </c>
      <c r="BT70" s="301">
        <f t="shared" si="39"/>
        <v>0</v>
      </c>
      <c r="BU70" s="301">
        <f>BU71+BU72</f>
        <v>0.48508999999999997</v>
      </c>
      <c r="BV70" s="301">
        <f>BV71+BV72</f>
        <v>6.3546789999999991</v>
      </c>
      <c r="BW70" s="301">
        <f>BW71+BW72</f>
        <v>6.3546789999999991</v>
      </c>
      <c r="BX70" s="301">
        <f t="shared" si="40"/>
        <v>0</v>
      </c>
      <c r="CB70" s="301">
        <f t="shared" si="41"/>
        <v>0</v>
      </c>
      <c r="CF70" s="300">
        <f t="shared" si="49"/>
        <v>0</v>
      </c>
      <c r="CJ70" s="301">
        <f t="shared" si="0"/>
        <v>0</v>
      </c>
      <c r="CN70" s="301">
        <f t="shared" si="1"/>
        <v>0</v>
      </c>
      <c r="CR70" s="301">
        <f t="shared" si="2"/>
        <v>0</v>
      </c>
      <c r="CV70" s="301">
        <f t="shared" si="3"/>
        <v>0</v>
      </c>
      <c r="CZ70" s="301">
        <f t="shared" si="4"/>
        <v>0</v>
      </c>
      <c r="DD70" s="300">
        <f t="shared" si="5"/>
        <v>0</v>
      </c>
      <c r="DH70" s="301">
        <f t="shared" si="6"/>
        <v>0</v>
      </c>
      <c r="DL70" s="301">
        <f t="shared" si="50"/>
        <v>0</v>
      </c>
      <c r="DP70" s="301">
        <f t="shared" ref="DP70:DP135" si="82">DO70-DN70</f>
        <v>0</v>
      </c>
      <c r="DT70" s="300">
        <f t="shared" si="8"/>
        <v>0</v>
      </c>
      <c r="DX70" s="301">
        <f t="shared" si="9"/>
        <v>0</v>
      </c>
      <c r="EB70" s="301">
        <f t="shared" si="10"/>
        <v>0</v>
      </c>
      <c r="EF70" s="301">
        <f t="shared" si="11"/>
        <v>0</v>
      </c>
      <c r="EG70" s="301"/>
      <c r="EH70" s="301"/>
      <c r="EI70" s="301"/>
      <c r="EJ70" s="301">
        <f t="shared" si="12"/>
        <v>0</v>
      </c>
      <c r="EK70" s="301"/>
      <c r="EL70" s="301"/>
      <c r="EM70" s="301"/>
      <c r="EN70" s="301">
        <f t="shared" si="13"/>
        <v>0</v>
      </c>
      <c r="EO70" s="301"/>
      <c r="EP70" s="301"/>
      <c r="EQ70" s="301"/>
      <c r="ER70" s="300">
        <f t="shared" si="14"/>
        <v>0</v>
      </c>
      <c r="ES70" s="301"/>
      <c r="ET70" s="301"/>
      <c r="EU70" s="301"/>
      <c r="EV70" s="300">
        <f t="shared" si="15"/>
        <v>0</v>
      </c>
      <c r="EZ70" s="301">
        <f t="shared" si="16"/>
        <v>0</v>
      </c>
      <c r="FA70" s="301"/>
      <c r="FB70" s="301"/>
      <c r="FC70" s="301"/>
      <c r="FD70" s="301">
        <f t="shared" si="17"/>
        <v>0</v>
      </c>
      <c r="FE70" s="301"/>
      <c r="FF70" s="301"/>
      <c r="FG70" s="301"/>
      <c r="FH70" s="300">
        <f t="shared" si="18"/>
        <v>0</v>
      </c>
      <c r="FI70" s="301"/>
      <c r="FJ70" s="301"/>
      <c r="FK70" s="301"/>
      <c r="FL70" s="301">
        <f t="shared" si="19"/>
        <v>0</v>
      </c>
      <c r="FM70" s="301"/>
      <c r="FN70" s="301"/>
      <c r="FO70" s="301"/>
      <c r="FP70" s="301">
        <f>SUM(FP71:FP72)</f>
        <v>0</v>
      </c>
      <c r="FQ70" s="301"/>
      <c r="FR70" s="301"/>
      <c r="FS70" s="301"/>
      <c r="FT70" s="301">
        <f t="shared" si="21"/>
        <v>0</v>
      </c>
      <c r="FU70" s="301"/>
      <c r="FV70" s="301"/>
      <c r="FW70" s="301"/>
      <c r="FX70" s="301">
        <f t="shared" si="22"/>
        <v>0</v>
      </c>
      <c r="FY70" s="301"/>
      <c r="FZ70" s="301"/>
      <c r="GA70" s="301"/>
      <c r="GB70" s="301">
        <f t="shared" si="23"/>
        <v>0</v>
      </c>
      <c r="GC70" s="301"/>
      <c r="GD70" s="301"/>
      <c r="GE70" s="301"/>
      <c r="GF70" s="301">
        <f>SUM(GF71:GF72)</f>
        <v>0</v>
      </c>
      <c r="GG70" s="301"/>
      <c r="GH70" s="301"/>
      <c r="GI70" s="301"/>
      <c r="GJ70" s="301">
        <f>SUM(GJ71:GJ72)</f>
        <v>0</v>
      </c>
      <c r="GK70" s="301"/>
      <c r="GL70" s="301"/>
      <c r="GM70" s="301"/>
      <c r="GN70" s="301">
        <f t="shared" si="43"/>
        <v>0</v>
      </c>
      <c r="GO70" s="301"/>
      <c r="GP70" s="301"/>
      <c r="GQ70" s="301"/>
      <c r="GR70" s="301">
        <f t="shared" si="44"/>
        <v>0</v>
      </c>
      <c r="GS70" s="301"/>
      <c r="GT70" s="301"/>
      <c r="GU70" s="301"/>
      <c r="GV70" s="301">
        <f t="shared" si="45"/>
        <v>0</v>
      </c>
      <c r="GW70" s="301"/>
      <c r="GX70" s="301"/>
      <c r="GY70" s="301"/>
      <c r="GZ70" s="301">
        <f t="shared" si="46"/>
        <v>0</v>
      </c>
      <c r="HA70" s="328"/>
      <c r="HB70" s="339"/>
      <c r="HC70" s="286"/>
      <c r="HD70" s="286"/>
      <c r="HE70" s="286"/>
      <c r="HF70" s="286"/>
      <c r="HG70" s="286"/>
      <c r="HH70" s="286"/>
      <c r="HI70" s="286"/>
      <c r="HJ70" s="286"/>
      <c r="HK70" s="286"/>
      <c r="HL70" s="286"/>
      <c r="HM70" s="286"/>
      <c r="HN70" s="286"/>
      <c r="HO70" s="286"/>
      <c r="HP70" s="286"/>
      <c r="HQ70" s="286"/>
      <c r="HR70" s="286"/>
      <c r="HS70" s="306"/>
      <c r="HT70" s="306"/>
      <c r="HU70" s="306"/>
      <c r="HV70" s="306"/>
      <c r="HW70" s="286"/>
      <c r="HX70" s="286"/>
      <c r="HY70" s="286"/>
      <c r="HZ70" s="286"/>
      <c r="IA70" s="286"/>
      <c r="IB70" s="286"/>
      <c r="IC70" s="286"/>
      <c r="ID70" s="286"/>
      <c r="IE70" s="286"/>
      <c r="IF70" s="286"/>
      <c r="IG70" s="286"/>
      <c r="IH70" s="286"/>
      <c r="II70" s="286"/>
      <c r="IJ70" s="286"/>
      <c r="IK70" s="286"/>
      <c r="IL70" s="286"/>
      <c r="IM70" s="286"/>
      <c r="IN70" s="286"/>
      <c r="IO70" s="286"/>
      <c r="IP70" s="286"/>
      <c r="IQ70" s="286"/>
      <c r="IR70" s="286"/>
      <c r="IS70" s="286"/>
      <c r="IT70" s="286"/>
      <c r="IU70" s="286"/>
      <c r="IV70" s="286"/>
    </row>
    <row r="71" spans="1:256" s="338" customFormat="1" ht="13.5" hidden="1" customHeight="1">
      <c r="A71" s="912"/>
      <c r="B71" s="341"/>
      <c r="C71" s="380" t="s">
        <v>228</v>
      </c>
      <c r="D71" s="381" t="s">
        <v>162</v>
      </c>
      <c r="E71" s="299">
        <f t="shared" ref="E71:H72" si="83">I71+M71+Q71+U71+Y71+AC71+AG71+AK71+AO71+AS71+AW71+BA71+BE71+BI71+BM71+BQ71+BU71+BY71+CC71+CG71+CK71+CO71+CS71+CW71+DA71+DE71+DI71+DM71+DQ71+DU71+DY71+EC71+EG71+EK71+EO71+ES71+EW71+FA71+FE71+FI71+FM71+FQ71+FU71+FY71+GC71+GK71+GG71+GO71+GS71+GW71</f>
        <v>0.48508999999999997</v>
      </c>
      <c r="F71" s="299">
        <f t="shared" si="83"/>
        <v>6.3546789999999991</v>
      </c>
      <c r="G71" s="299">
        <f t="shared" si="83"/>
        <v>6.3546789999999991</v>
      </c>
      <c r="H71" s="299">
        <f t="shared" si="83"/>
        <v>0</v>
      </c>
      <c r="L71" s="301">
        <f t="shared" si="25"/>
        <v>0</v>
      </c>
      <c r="P71" s="301">
        <f t="shared" si="26"/>
        <v>0</v>
      </c>
      <c r="T71" s="301">
        <f t="shared" si="27"/>
        <v>0</v>
      </c>
      <c r="X71" s="301">
        <f t="shared" si="28"/>
        <v>0</v>
      </c>
      <c r="AB71" s="301">
        <f t="shared" si="29"/>
        <v>0</v>
      </c>
      <c r="AF71" s="300">
        <f t="shared" si="30"/>
        <v>0</v>
      </c>
      <c r="AJ71" s="300">
        <f t="shared" si="31"/>
        <v>0</v>
      </c>
      <c r="AN71" s="301">
        <f t="shared" si="32"/>
        <v>0</v>
      </c>
      <c r="AR71" s="300">
        <f t="shared" si="33"/>
        <v>0</v>
      </c>
      <c r="AV71" s="301">
        <f t="shared" si="34"/>
        <v>0</v>
      </c>
      <c r="AZ71" s="301">
        <f t="shared" si="35"/>
        <v>0</v>
      </c>
      <c r="BD71" s="301">
        <f t="shared" si="36"/>
        <v>0</v>
      </c>
      <c r="BH71" s="301">
        <f t="shared" si="37"/>
        <v>0</v>
      </c>
      <c r="BL71" s="301">
        <f t="shared" si="38"/>
        <v>0</v>
      </c>
      <c r="BP71" s="301">
        <f t="shared" si="52"/>
        <v>0</v>
      </c>
      <c r="BT71" s="301">
        <f t="shared" si="39"/>
        <v>0</v>
      </c>
      <c r="BU71" s="338">
        <f>'[1]ОАО ДК Лен р-на'!K336/1000</f>
        <v>0.48508999999999997</v>
      </c>
      <c r="BV71" s="338">
        <f>'[1]ОАО ДК Лен р-на'!L336/1000</f>
        <v>6.3546789999999991</v>
      </c>
      <c r="BW71" s="338">
        <f>'[1]ОАО ДК Лен р-на'!M336/1000</f>
        <v>6.3546789999999991</v>
      </c>
      <c r="BX71" s="301">
        <f t="shared" si="40"/>
        <v>0</v>
      </c>
      <c r="CB71" s="301">
        <f t="shared" si="41"/>
        <v>0</v>
      </c>
      <c r="CF71" s="300">
        <f t="shared" si="49"/>
        <v>0</v>
      </c>
      <c r="CJ71" s="301">
        <f t="shared" si="0"/>
        <v>0</v>
      </c>
      <c r="CN71" s="301">
        <f t="shared" si="1"/>
        <v>0</v>
      </c>
      <c r="CR71" s="301">
        <f t="shared" si="2"/>
        <v>0</v>
      </c>
      <c r="CV71" s="301">
        <f t="shared" si="3"/>
        <v>0</v>
      </c>
      <c r="CZ71" s="301">
        <f t="shared" si="4"/>
        <v>0</v>
      </c>
      <c r="DD71" s="300">
        <f t="shared" si="5"/>
        <v>0</v>
      </c>
      <c r="DH71" s="301">
        <f t="shared" si="6"/>
        <v>0</v>
      </c>
      <c r="DL71" s="301">
        <f t="shared" si="50"/>
        <v>0</v>
      </c>
      <c r="DP71" s="301">
        <f t="shared" si="82"/>
        <v>0</v>
      </c>
      <c r="DT71" s="300">
        <f t="shared" si="8"/>
        <v>0</v>
      </c>
      <c r="DX71" s="301">
        <f t="shared" si="9"/>
        <v>0</v>
      </c>
      <c r="EB71" s="301">
        <f t="shared" si="10"/>
        <v>0</v>
      </c>
      <c r="EF71" s="301">
        <f t="shared" si="11"/>
        <v>0</v>
      </c>
      <c r="EJ71" s="301">
        <f t="shared" si="12"/>
        <v>0</v>
      </c>
      <c r="EN71" s="301">
        <f t="shared" si="13"/>
        <v>0</v>
      </c>
      <c r="ER71" s="300">
        <f t="shared" si="14"/>
        <v>0</v>
      </c>
      <c r="EV71" s="300">
        <f t="shared" si="15"/>
        <v>0</v>
      </c>
      <c r="EZ71" s="301">
        <f t="shared" si="16"/>
        <v>0</v>
      </c>
      <c r="FD71" s="301">
        <f t="shared" si="17"/>
        <v>0</v>
      </c>
      <c r="FH71" s="300">
        <f t="shared" si="18"/>
        <v>0</v>
      </c>
      <c r="FL71" s="301">
        <f t="shared" si="19"/>
        <v>0</v>
      </c>
      <c r="FP71" s="301">
        <f>FO71-FN71</f>
        <v>0</v>
      </c>
      <c r="FT71" s="301">
        <f t="shared" si="21"/>
        <v>0</v>
      </c>
      <c r="FX71" s="301">
        <f t="shared" si="22"/>
        <v>0</v>
      </c>
      <c r="GB71" s="301">
        <f t="shared" si="23"/>
        <v>0</v>
      </c>
      <c r="GF71" s="301">
        <f>GE71-GD71</f>
        <v>0</v>
      </c>
      <c r="GJ71" s="301">
        <f>GI71-GH71</f>
        <v>0</v>
      </c>
      <c r="GN71" s="301">
        <f t="shared" si="43"/>
        <v>0</v>
      </c>
      <c r="GR71" s="301">
        <f t="shared" si="44"/>
        <v>0</v>
      </c>
      <c r="GV71" s="301">
        <f t="shared" si="45"/>
        <v>0</v>
      </c>
      <c r="GZ71" s="301">
        <f t="shared" si="46"/>
        <v>0</v>
      </c>
      <c r="HA71" s="328"/>
      <c r="HB71" s="339"/>
      <c r="HC71" s="286"/>
      <c r="HD71" s="286"/>
      <c r="HE71" s="286"/>
      <c r="HF71" s="286"/>
      <c r="HG71" s="286"/>
      <c r="HH71" s="286"/>
      <c r="HI71" s="286"/>
      <c r="HJ71" s="286"/>
      <c r="HK71" s="286"/>
      <c r="HL71" s="286"/>
      <c r="HM71" s="286"/>
      <c r="HN71" s="286"/>
      <c r="HO71" s="286"/>
      <c r="HP71" s="286"/>
      <c r="HQ71" s="286"/>
      <c r="HR71" s="286"/>
      <c r="HS71" s="306"/>
      <c r="HT71" s="306"/>
      <c r="HU71" s="306"/>
      <c r="HV71" s="306"/>
      <c r="HW71" s="286"/>
      <c r="HX71" s="286"/>
      <c r="HY71" s="286"/>
      <c r="HZ71" s="286"/>
      <c r="IA71" s="286"/>
      <c r="IB71" s="286"/>
      <c r="IC71" s="286"/>
      <c r="ID71" s="286"/>
      <c r="IE71" s="286"/>
      <c r="IF71" s="286"/>
      <c r="IG71" s="286"/>
      <c r="IH71" s="286"/>
      <c r="II71" s="286"/>
      <c r="IJ71" s="286"/>
      <c r="IK71" s="286"/>
      <c r="IL71" s="286"/>
      <c r="IM71" s="286"/>
      <c r="IN71" s="286"/>
      <c r="IO71" s="286"/>
      <c r="IP71" s="286"/>
      <c r="IQ71" s="286"/>
      <c r="IR71" s="286"/>
      <c r="IS71" s="286"/>
      <c r="IT71" s="286"/>
      <c r="IU71" s="286"/>
      <c r="IV71" s="286"/>
    </row>
    <row r="72" spans="1:256" s="338" customFormat="1" ht="13.5" hidden="1" customHeight="1">
      <c r="A72" s="912"/>
      <c r="B72" s="341"/>
      <c r="C72" s="380" t="s">
        <v>229</v>
      </c>
      <c r="D72" s="381" t="s">
        <v>162</v>
      </c>
      <c r="E72" s="299">
        <f t="shared" si="83"/>
        <v>0</v>
      </c>
      <c r="F72" s="299">
        <f t="shared" si="83"/>
        <v>0</v>
      </c>
      <c r="G72" s="299">
        <f t="shared" si="83"/>
        <v>0</v>
      </c>
      <c r="H72" s="299">
        <f t="shared" si="83"/>
        <v>0</v>
      </c>
      <c r="L72" s="301">
        <f t="shared" si="25"/>
        <v>0</v>
      </c>
      <c r="P72" s="301">
        <f t="shared" si="26"/>
        <v>0</v>
      </c>
      <c r="T72" s="301">
        <f t="shared" si="27"/>
        <v>0</v>
      </c>
      <c r="X72" s="301">
        <f t="shared" si="28"/>
        <v>0</v>
      </c>
      <c r="AB72" s="301">
        <f t="shared" si="29"/>
        <v>0</v>
      </c>
      <c r="AF72" s="300">
        <f t="shared" si="30"/>
        <v>0</v>
      </c>
      <c r="AJ72" s="300">
        <f t="shared" si="31"/>
        <v>0</v>
      </c>
      <c r="AN72" s="301">
        <f t="shared" si="32"/>
        <v>0</v>
      </c>
      <c r="AR72" s="300">
        <f t="shared" si="33"/>
        <v>0</v>
      </c>
      <c r="AV72" s="301">
        <f t="shared" si="34"/>
        <v>0</v>
      </c>
      <c r="AZ72" s="301">
        <f t="shared" si="35"/>
        <v>0</v>
      </c>
      <c r="BD72" s="301">
        <f t="shared" si="36"/>
        <v>0</v>
      </c>
      <c r="BH72" s="301">
        <f t="shared" si="37"/>
        <v>0</v>
      </c>
      <c r="BL72" s="301">
        <f t="shared" si="38"/>
        <v>0</v>
      </c>
      <c r="BP72" s="301">
        <f t="shared" si="52"/>
        <v>0</v>
      </c>
      <c r="BT72" s="301">
        <f t="shared" si="39"/>
        <v>0</v>
      </c>
      <c r="BX72" s="301">
        <f t="shared" si="40"/>
        <v>0</v>
      </c>
      <c r="CB72" s="301">
        <f t="shared" si="41"/>
        <v>0</v>
      </c>
      <c r="CF72" s="300">
        <f t="shared" si="49"/>
        <v>0</v>
      </c>
      <c r="CJ72" s="301">
        <f t="shared" si="0"/>
        <v>0</v>
      </c>
      <c r="CN72" s="301">
        <f t="shared" ref="CN72:CN138" si="84">CM72-CL72</f>
        <v>0</v>
      </c>
      <c r="CR72" s="301">
        <f t="shared" ref="CR72:CR138" si="85">CQ72-CP72</f>
        <v>0</v>
      </c>
      <c r="CV72" s="301">
        <f t="shared" ref="CV72:CV138" si="86">CU72-CT72</f>
        <v>0</v>
      </c>
      <c r="CZ72" s="301">
        <f t="shared" ref="CZ72:CZ138" si="87">CY72-CX72</f>
        <v>0</v>
      </c>
      <c r="DD72" s="300">
        <f t="shared" si="5"/>
        <v>0</v>
      </c>
      <c r="DH72" s="301">
        <f t="shared" ref="DH72:DH100" si="88">DG72-DF72</f>
        <v>0</v>
      </c>
      <c r="DL72" s="301">
        <f t="shared" si="50"/>
        <v>0</v>
      </c>
      <c r="DP72" s="301">
        <f t="shared" si="82"/>
        <v>0</v>
      </c>
      <c r="DT72" s="300">
        <f t="shared" ref="DT72:DT138" si="89">DS72-DR72</f>
        <v>0</v>
      </c>
      <c r="DX72" s="301">
        <f t="shared" si="9"/>
        <v>0</v>
      </c>
      <c r="EB72" s="301">
        <f t="shared" ref="EB72:EB138" si="90">EA72-DZ72</f>
        <v>0</v>
      </c>
      <c r="EF72" s="301">
        <f t="shared" ref="EF72:EF138" si="91">EE72-ED72</f>
        <v>0</v>
      </c>
      <c r="EJ72" s="301">
        <f t="shared" ref="EJ72:EJ135" si="92">EI72-EH72</f>
        <v>0</v>
      </c>
      <c r="EN72" s="301">
        <f t="shared" ref="EN72:EN138" si="93">EM72-EL72</f>
        <v>0</v>
      </c>
      <c r="ER72" s="300">
        <f t="shared" ref="ER72:ER138" si="94">EQ72-EP72</f>
        <v>0</v>
      </c>
      <c r="EV72" s="300">
        <f t="shared" ref="EV72:EV138" si="95">EU72-ET72</f>
        <v>0</v>
      </c>
      <c r="EZ72" s="301">
        <f t="shared" ref="EZ72:EZ138" si="96">EY72-EX72</f>
        <v>0</v>
      </c>
      <c r="FD72" s="301">
        <f t="shared" ref="FD72:FD138" si="97">FC72-FB72</f>
        <v>0</v>
      </c>
      <c r="FH72" s="300">
        <f t="shared" ref="FH72:FH135" si="98">FG72-FF72</f>
        <v>0</v>
      </c>
      <c r="FL72" s="301">
        <f t="shared" si="19"/>
        <v>0</v>
      </c>
      <c r="FP72" s="301">
        <f>FO72-FN72</f>
        <v>0</v>
      </c>
      <c r="FT72" s="301">
        <f t="shared" ref="FT72:FT138" si="99">FS72-FR72</f>
        <v>0</v>
      </c>
      <c r="FX72" s="301">
        <f t="shared" ref="FX72:FX104" si="100">FW72-FV72</f>
        <v>0</v>
      </c>
      <c r="GB72" s="301">
        <f t="shared" ref="GB72:GB138" si="101">GA72-FZ72</f>
        <v>0</v>
      </c>
      <c r="GF72" s="301">
        <f>GE72-GD72</f>
        <v>0</v>
      </c>
      <c r="GJ72" s="301">
        <f>GI72-GH72</f>
        <v>0</v>
      </c>
      <c r="GN72" s="301">
        <f t="shared" si="43"/>
        <v>0</v>
      </c>
      <c r="GR72" s="301">
        <f t="shared" si="44"/>
        <v>0</v>
      </c>
      <c r="GV72" s="301">
        <f t="shared" si="45"/>
        <v>0</v>
      </c>
      <c r="GZ72" s="301">
        <f t="shared" si="46"/>
        <v>0</v>
      </c>
      <c r="HA72" s="328"/>
      <c r="HB72" s="339"/>
      <c r="HC72" s="286"/>
      <c r="HD72" s="286"/>
      <c r="HE72" s="286"/>
      <c r="HF72" s="286"/>
      <c r="HG72" s="286"/>
      <c r="HH72" s="286"/>
      <c r="HI72" s="286"/>
      <c r="HJ72" s="286"/>
      <c r="HK72" s="286"/>
      <c r="HL72" s="286"/>
      <c r="HM72" s="286"/>
      <c r="HN72" s="286"/>
      <c r="HO72" s="286"/>
      <c r="HP72" s="286"/>
      <c r="HQ72" s="286"/>
      <c r="HR72" s="286"/>
      <c r="HS72" s="306"/>
      <c r="HT72" s="306"/>
      <c r="HU72" s="306"/>
      <c r="HV72" s="306"/>
      <c r="HW72" s="286"/>
      <c r="HX72" s="286"/>
      <c r="HY72" s="286"/>
      <c r="HZ72" s="286"/>
      <c r="IA72" s="286"/>
      <c r="IB72" s="286"/>
      <c r="IC72" s="286"/>
      <c r="ID72" s="286"/>
      <c r="IE72" s="286"/>
      <c r="IF72" s="286"/>
      <c r="IG72" s="286"/>
      <c r="IH72" s="286"/>
      <c r="II72" s="286"/>
      <c r="IJ72" s="286"/>
      <c r="IK72" s="286"/>
      <c r="IL72" s="286"/>
      <c r="IM72" s="286"/>
      <c r="IN72" s="286"/>
      <c r="IO72" s="286"/>
      <c r="IP72" s="286"/>
      <c r="IQ72" s="286"/>
      <c r="IR72" s="286"/>
      <c r="IS72" s="286"/>
      <c r="IT72" s="286"/>
      <c r="IU72" s="286"/>
      <c r="IV72" s="286"/>
    </row>
    <row r="73" spans="1:256" ht="13.5" hidden="1" customHeight="1">
      <c r="A73" s="912"/>
      <c r="B73" s="341"/>
      <c r="C73" s="382" t="s">
        <v>235</v>
      </c>
      <c r="D73" s="381" t="s">
        <v>162</v>
      </c>
      <c r="E73" s="301">
        <f>SUM(E74:E75)</f>
        <v>6826.0665199999994</v>
      </c>
      <c r="F73" s="301">
        <f>SUM(F74:F75)</f>
        <v>82575.693935199961</v>
      </c>
      <c r="G73" s="301">
        <f>SUM(G74:G75)</f>
        <v>82575.693935199961</v>
      </c>
      <c r="H73" s="301">
        <f>SUM(H74:H75)</f>
        <v>0</v>
      </c>
      <c r="I73" s="301">
        <f>I74+I75</f>
        <v>49.729479999999995</v>
      </c>
      <c r="J73" s="301">
        <f>J74+J75</f>
        <v>840.95021399999996</v>
      </c>
      <c r="K73" s="301">
        <f>K74+K75</f>
        <v>840.95021399999996</v>
      </c>
      <c r="L73" s="301">
        <f t="shared" si="25"/>
        <v>0</v>
      </c>
      <c r="M73" s="301">
        <f>SUM(M74:M75)</f>
        <v>5.7259999999999998E-2</v>
      </c>
      <c r="N73" s="301">
        <f>SUM(N74:N75)</f>
        <v>1.1955887999999999</v>
      </c>
      <c r="O73" s="301">
        <f>SUM(O74:O75)</f>
        <v>1.1955887999999999</v>
      </c>
      <c r="P73" s="301">
        <f t="shared" si="26"/>
        <v>0</v>
      </c>
      <c r="Q73" s="301">
        <f>Q74+Q75</f>
        <v>1290.5862499999998</v>
      </c>
      <c r="R73" s="301">
        <f>R74+R75</f>
        <v>17916.358762499996</v>
      </c>
      <c r="S73" s="301">
        <f>S74+S75</f>
        <v>17916.358762499996</v>
      </c>
      <c r="T73" s="301">
        <f t="shared" si="27"/>
        <v>0</v>
      </c>
      <c r="U73" s="301">
        <f>SUM(U74:U75)</f>
        <v>107.33012999999998</v>
      </c>
      <c r="V73" s="301">
        <f>SUM(V74:V75)</f>
        <v>1944.2686734999997</v>
      </c>
      <c r="W73" s="301">
        <f>SUM(W74:W75)</f>
        <v>1944.2686734999997</v>
      </c>
      <c r="X73" s="301">
        <f t="shared" si="28"/>
        <v>0</v>
      </c>
      <c r="Y73" s="301">
        <f>SUM(Y74:Y75)</f>
        <v>415.35863000000001</v>
      </c>
      <c r="Z73" s="301">
        <f>SUM(Z74:Z75)</f>
        <v>2453.140414</v>
      </c>
      <c r="AA73" s="301">
        <f>SUM(AA74:AA75)</f>
        <v>2453.140414</v>
      </c>
      <c r="AB73" s="301">
        <f t="shared" si="29"/>
        <v>0</v>
      </c>
      <c r="AC73" s="338"/>
      <c r="AD73" s="338"/>
      <c r="AE73" s="338"/>
      <c r="AF73" s="300">
        <f t="shared" si="30"/>
        <v>0</v>
      </c>
      <c r="AG73" s="338"/>
      <c r="AH73" s="338"/>
      <c r="AI73" s="338"/>
      <c r="AJ73" s="300">
        <f t="shared" si="31"/>
        <v>0</v>
      </c>
      <c r="AK73" s="301">
        <f>AK74+AK75</f>
        <v>422.71972</v>
      </c>
      <c r="AL73" s="301">
        <f>AL74+AL75</f>
        <v>6749.9625225</v>
      </c>
      <c r="AM73" s="301">
        <f>AM74+AM75</f>
        <v>6749.9625225</v>
      </c>
      <c r="AN73" s="301">
        <f t="shared" si="32"/>
        <v>0</v>
      </c>
      <c r="AO73" s="301">
        <f>AO74+AO75</f>
        <v>1929.8764699999999</v>
      </c>
      <c r="AP73" s="301">
        <f>AP74+AP75</f>
        <v>20897.291714599996</v>
      </c>
      <c r="AQ73" s="301">
        <f>AQ74+AQ75</f>
        <v>20897.291714599996</v>
      </c>
      <c r="AR73" s="300">
        <f t="shared" si="33"/>
        <v>0</v>
      </c>
      <c r="AS73" s="301">
        <f>AS74+AS75</f>
        <v>231.05031000000002</v>
      </c>
      <c r="AT73" s="301">
        <f>AT74+AT75</f>
        <v>464.65224480000006</v>
      </c>
      <c r="AU73" s="301">
        <f>AU74+AU75</f>
        <v>464.65224480000006</v>
      </c>
      <c r="AV73" s="301">
        <f t="shared" si="34"/>
        <v>0</v>
      </c>
      <c r="AW73" s="338"/>
      <c r="AX73" s="338"/>
      <c r="AY73" s="338"/>
      <c r="AZ73" s="301">
        <f t="shared" si="35"/>
        <v>0</v>
      </c>
      <c r="BA73" s="301">
        <f>BA74+BA75</f>
        <v>15.410689999999999</v>
      </c>
      <c r="BB73" s="301">
        <f>BB74+BB75</f>
        <v>1.6939404999999998</v>
      </c>
      <c r="BC73" s="301">
        <f>BC74+BC75</f>
        <v>1.6939404999999998</v>
      </c>
      <c r="BD73" s="301">
        <f t="shared" si="36"/>
        <v>0</v>
      </c>
      <c r="BE73" s="301">
        <f>SUM(BE74:BE75)</f>
        <v>12.374739999999999</v>
      </c>
      <c r="BF73" s="301">
        <f>SUM(BF74:BF75)</f>
        <v>64.933880500000001</v>
      </c>
      <c r="BG73" s="301">
        <f>SUM(BG74:BG75)</f>
        <v>64.933880500000001</v>
      </c>
      <c r="BH73" s="301">
        <f t="shared" si="37"/>
        <v>0</v>
      </c>
      <c r="BI73" s="338"/>
      <c r="BJ73" s="338"/>
      <c r="BK73" s="338"/>
      <c r="BL73" s="301">
        <f t="shared" si="38"/>
        <v>0</v>
      </c>
      <c r="BM73" s="301">
        <f>SUM(BM74:BM75)</f>
        <v>8.2802699999999998</v>
      </c>
      <c r="BN73" s="301">
        <f>SUM(BN74:BN75)</f>
        <v>153.64944249999996</v>
      </c>
      <c r="BO73" s="301">
        <f>SUM(BO74:BO75)</f>
        <v>153.64944249999996</v>
      </c>
      <c r="BP73" s="301">
        <f t="shared" si="52"/>
        <v>0</v>
      </c>
      <c r="BQ73" s="301">
        <f>SUM(BQ74:BQ75)</f>
        <v>42.437450000000005</v>
      </c>
      <c r="BR73" s="301">
        <f>SUM(BR74:BR75)</f>
        <v>863.03180159999999</v>
      </c>
      <c r="BS73" s="301">
        <f>SUM(BS74:BS75)</f>
        <v>863.03180159999999</v>
      </c>
      <c r="BT73" s="301">
        <f t="shared" si="39"/>
        <v>0</v>
      </c>
      <c r="BU73" s="301">
        <f>SUM(BU74:BU75)</f>
        <v>334.57096999999999</v>
      </c>
      <c r="BV73" s="301">
        <f>SUM(BV74:BV75)</f>
        <v>7067.3192551999982</v>
      </c>
      <c r="BW73" s="301">
        <f>SUM(BW74:BW75)</f>
        <v>7067.3192551999982</v>
      </c>
      <c r="BX73" s="301">
        <f t="shared" si="40"/>
        <v>0</v>
      </c>
      <c r="BY73" s="301">
        <f>SUM(BY74:BY75)</f>
        <v>256.93281000000002</v>
      </c>
      <c r="BZ73" s="301">
        <f>SUM(BZ74:BZ75)</f>
        <v>4714.3402704</v>
      </c>
      <c r="CA73" s="301">
        <f>SUM(CA74:CA75)</f>
        <v>4714.3402704</v>
      </c>
      <c r="CB73" s="301">
        <f t="shared" si="41"/>
        <v>0</v>
      </c>
      <c r="CC73" s="338"/>
      <c r="CD73" s="338"/>
      <c r="CE73" s="338"/>
      <c r="CF73" s="300">
        <f t="shared" si="49"/>
        <v>0</v>
      </c>
      <c r="CG73" s="301">
        <f>CG74+CG75</f>
        <v>1100.1027199999999</v>
      </c>
      <c r="CH73" s="301">
        <f>CH74+CH75</f>
        <v>9728.3567624999996</v>
      </c>
      <c r="CI73" s="301">
        <f>CI74+CI75</f>
        <v>9728.3567624999996</v>
      </c>
      <c r="CJ73" s="301">
        <f t="shared" si="0"/>
        <v>0</v>
      </c>
      <c r="CK73" s="301">
        <f>SUM(CK74:CK75)</f>
        <v>52.980319999999999</v>
      </c>
      <c r="CL73" s="301">
        <f>SUM(CL74:CL75)</f>
        <v>137.8835856</v>
      </c>
      <c r="CM73" s="301">
        <f>SUM(CM74:CM75)</f>
        <v>137.8835856</v>
      </c>
      <c r="CN73" s="301">
        <f t="shared" si="84"/>
        <v>0</v>
      </c>
      <c r="CO73" s="338"/>
      <c r="CP73" s="338"/>
      <c r="CQ73" s="338"/>
      <c r="CR73" s="301">
        <f t="shared" si="85"/>
        <v>0</v>
      </c>
      <c r="CS73" s="338"/>
      <c r="CT73" s="338"/>
      <c r="CU73" s="338"/>
      <c r="CV73" s="301">
        <f t="shared" si="86"/>
        <v>0</v>
      </c>
      <c r="CW73" s="338"/>
      <c r="CX73" s="338"/>
      <c r="CY73" s="338"/>
      <c r="CZ73" s="301">
        <f t="shared" si="87"/>
        <v>0</v>
      </c>
      <c r="DA73" s="301">
        <f>SUM(DA74:DA75)</f>
        <v>18.94933</v>
      </c>
      <c r="DB73" s="301">
        <f>SUM(DB74:DB75)</f>
        <v>282.30936689999999</v>
      </c>
      <c r="DC73" s="301">
        <f>SUM(DC74:DC75)</f>
        <v>282.30936689999999</v>
      </c>
      <c r="DD73" s="300">
        <f t="shared" si="5"/>
        <v>0</v>
      </c>
      <c r="DE73" s="301">
        <f>SUM(DE74:DE75)</f>
        <v>31.089820000000003</v>
      </c>
      <c r="DF73" s="301">
        <f>SUM(DF74:DF75)</f>
        <v>575.0416727999999</v>
      </c>
      <c r="DG73" s="301">
        <f>SUM(DG74:DG75)</f>
        <v>575.0416727999999</v>
      </c>
      <c r="DH73" s="301">
        <f t="shared" si="88"/>
        <v>0</v>
      </c>
      <c r="DI73" s="301"/>
      <c r="DJ73" s="301"/>
      <c r="DK73" s="301"/>
      <c r="DL73" s="301">
        <f t="shared" si="50"/>
        <v>0</v>
      </c>
      <c r="DM73" s="301">
        <f>SUM(DM74:DM75)</f>
        <v>256.58359999999999</v>
      </c>
      <c r="DN73" s="301">
        <f>SUM(DN74:DN75)</f>
        <v>4907.356452</v>
      </c>
      <c r="DO73" s="301">
        <f>SUM(DO74:DO75)</f>
        <v>4907.356452</v>
      </c>
      <c r="DP73" s="301">
        <f t="shared" si="82"/>
        <v>0</v>
      </c>
      <c r="DQ73" s="338"/>
      <c r="DR73" s="338"/>
      <c r="DS73" s="338"/>
      <c r="DT73" s="300">
        <f t="shared" si="89"/>
        <v>0</v>
      </c>
      <c r="DU73" s="301">
        <f>SUM(DU74:DU75)</f>
        <v>54.455590000000001</v>
      </c>
      <c r="DV73" s="301">
        <f>SUM(DV74:DV75)</f>
        <v>1006.4711232</v>
      </c>
      <c r="DW73" s="301">
        <f>SUM(DW74:DW75)</f>
        <v>1006.4711232</v>
      </c>
      <c r="DX73" s="301">
        <f t="shared" si="9"/>
        <v>0</v>
      </c>
      <c r="DY73" s="301">
        <f>SUM(DY74:DY75)</f>
        <v>13.18249</v>
      </c>
      <c r="DZ73" s="301">
        <f>SUM(DZ74:DZ75)</f>
        <v>78.78026650000001</v>
      </c>
      <c r="EA73" s="301">
        <f>SUM(EA74:EA75)</f>
        <v>78.78026650000001</v>
      </c>
      <c r="EB73" s="301">
        <f t="shared" si="90"/>
        <v>0</v>
      </c>
      <c r="EC73" s="338"/>
      <c r="ED73" s="338"/>
      <c r="EE73" s="338"/>
      <c r="EF73" s="301">
        <f t="shared" si="91"/>
        <v>0</v>
      </c>
      <c r="EG73" s="301">
        <f>EG74+EG75</f>
        <v>63.438860000000005</v>
      </c>
      <c r="EH73" s="301">
        <f>EH74+EH75</f>
        <v>1063.2921468</v>
      </c>
      <c r="EI73" s="301">
        <f>EI74+EI75</f>
        <v>1063.2921468</v>
      </c>
      <c r="EJ73" s="301">
        <f t="shared" si="92"/>
        <v>0</v>
      </c>
      <c r="EK73" s="301"/>
      <c r="EL73" s="301"/>
      <c r="EM73" s="301"/>
      <c r="EN73" s="301">
        <f t="shared" si="93"/>
        <v>0</v>
      </c>
      <c r="EO73" s="301">
        <f>SUM(EO74:EO75)</f>
        <v>11.7942</v>
      </c>
      <c r="EP73" s="301">
        <f>SUM(EP74:EP75)</f>
        <v>229.43215439999997</v>
      </c>
      <c r="EQ73" s="301">
        <f>SUM(EQ74:EQ75)</f>
        <v>229.43215439999997</v>
      </c>
      <c r="ER73" s="300">
        <f t="shared" si="94"/>
        <v>0</v>
      </c>
      <c r="ES73" s="301"/>
      <c r="ET73" s="301"/>
      <c r="EU73" s="301"/>
      <c r="EV73" s="300">
        <f t="shared" si="95"/>
        <v>0</v>
      </c>
      <c r="EW73" s="301"/>
      <c r="EX73" s="301"/>
      <c r="EY73" s="301"/>
      <c r="EZ73" s="301">
        <f t="shared" si="96"/>
        <v>0</v>
      </c>
      <c r="FA73" s="301">
        <f>SUM(FA74:FA75)</f>
        <v>34.07432</v>
      </c>
      <c r="FB73" s="301">
        <f>SUM(FB74:FB75)</f>
        <v>74.538941600000001</v>
      </c>
      <c r="FC73" s="301">
        <f>SUM(FC74:FC75)</f>
        <v>74.538941600000001</v>
      </c>
      <c r="FD73" s="301">
        <f t="shared" si="97"/>
        <v>0</v>
      </c>
      <c r="FE73" s="301"/>
      <c r="FF73" s="301"/>
      <c r="FG73" s="301"/>
      <c r="FH73" s="300">
        <f t="shared" si="98"/>
        <v>0</v>
      </c>
      <c r="FI73" s="301"/>
      <c r="FJ73" s="301"/>
      <c r="FK73" s="301"/>
      <c r="FL73" s="301">
        <f t="shared" si="19"/>
        <v>0</v>
      </c>
      <c r="FM73" s="301">
        <f>FM74+FM75</f>
        <v>0</v>
      </c>
      <c r="FN73" s="301">
        <f>FN74+FN75</f>
        <v>0</v>
      </c>
      <c r="FO73" s="301">
        <f>FO74+FO75</f>
        <v>0</v>
      </c>
      <c r="FP73" s="301">
        <f>SUM(FP74:FP75)</f>
        <v>0</v>
      </c>
      <c r="FQ73" s="301">
        <f>FQ74+FQ75</f>
        <v>6.8102399999999985</v>
      </c>
      <c r="FR73" s="301">
        <f>FR74+FR75</f>
        <v>127.25858249999999</v>
      </c>
      <c r="FS73" s="301">
        <f>FS74+FS75</f>
        <v>127.25858249999999</v>
      </c>
      <c r="FT73" s="301">
        <f t="shared" si="99"/>
        <v>0</v>
      </c>
      <c r="FU73" s="301">
        <f>SUM(FU74:FU75)</f>
        <v>35.547309999999996</v>
      </c>
      <c r="FV73" s="301">
        <f>SUM(FV74:FV75)</f>
        <v>0</v>
      </c>
      <c r="FW73" s="301">
        <f>SUM(FW74:FW75)</f>
        <v>0</v>
      </c>
      <c r="FX73" s="301">
        <f t="shared" si="100"/>
        <v>0</v>
      </c>
      <c r="FY73" s="301"/>
      <c r="FZ73" s="301"/>
      <c r="GA73" s="301"/>
      <c r="GB73" s="301">
        <f t="shared" si="101"/>
        <v>0</v>
      </c>
      <c r="GC73" s="301">
        <f>SUM(GC74:GC75)</f>
        <v>9.4540199999999999</v>
      </c>
      <c r="GD73" s="301">
        <f>SUM(GD74:GD75)</f>
        <v>197.39993760000002</v>
      </c>
      <c r="GE73" s="301">
        <f>SUM(GE74:GE75)</f>
        <v>197.39993760000002</v>
      </c>
      <c r="GF73" s="301">
        <f>SUM(GF74:GF75)</f>
        <v>0</v>
      </c>
      <c r="GG73" s="301"/>
      <c r="GH73" s="301"/>
      <c r="GI73" s="301"/>
      <c r="GJ73" s="301">
        <f>SUM(GJ74:GJ75)</f>
        <v>0</v>
      </c>
      <c r="GK73" s="301"/>
      <c r="GL73" s="301"/>
      <c r="GM73" s="301"/>
      <c r="GN73" s="301">
        <f t="shared" si="43"/>
        <v>0</v>
      </c>
      <c r="GO73" s="301">
        <f>SUM(GO74:GO75)</f>
        <v>7.7374199999999993</v>
      </c>
      <c r="GP73" s="301">
        <f>SUM(GP74:GP75)</f>
        <v>34.784217400000003</v>
      </c>
      <c r="GQ73" s="301">
        <f>SUM(GQ74:GQ75)</f>
        <v>34.784217400000003</v>
      </c>
      <c r="GR73" s="301">
        <f t="shared" si="44"/>
        <v>0</v>
      </c>
      <c r="GS73" s="301">
        <f>SUM(GS74:GS75)</f>
        <v>13.1511</v>
      </c>
      <c r="GT73" s="301">
        <f>SUM(GT74:GT75)</f>
        <v>0</v>
      </c>
      <c r="GU73" s="301">
        <f>SUM(GU74:GU75)</f>
        <v>0</v>
      </c>
      <c r="GV73" s="301">
        <f t="shared" si="45"/>
        <v>0</v>
      </c>
      <c r="GW73" s="301"/>
      <c r="GX73" s="301"/>
      <c r="GY73" s="301"/>
      <c r="GZ73" s="301">
        <f t="shared" si="46"/>
        <v>0</v>
      </c>
      <c r="HA73" s="328"/>
      <c r="HB73" s="339"/>
      <c r="HS73" s="306"/>
      <c r="HT73" s="306"/>
      <c r="HU73" s="306"/>
      <c r="HV73" s="306"/>
    </row>
    <row r="74" spans="1:256" s="338" customFormat="1" ht="13.5" hidden="1" customHeight="1">
      <c r="A74" s="912"/>
      <c r="B74" s="341"/>
      <c r="C74" s="380" t="s">
        <v>228</v>
      </c>
      <c r="D74" s="381" t="s">
        <v>162</v>
      </c>
      <c r="E74" s="299">
        <f t="shared" ref="E74:H75" si="102">I74+M74+Q74+U74+Y74+AC74+AG74+AK74+AO74+AS74+AW74+BA74+BE74+BI74+BM74+BQ74+BU74+BY74+CC74+CG74+CK74+CO74+CS74+CW74+DA74+DE74+DI74+DM74+DQ74+DU74+DY74+EC74+EG74+EK74+EO74+ES74+EW74+FA74+FE74+FI74+FM74+FQ74+FU74+FY74+GC74+GK74+GG74+GO74+GS74+GW74</f>
        <v>5014.9901299999992</v>
      </c>
      <c r="F74" s="299">
        <f t="shared" si="102"/>
        <v>82575.693935199961</v>
      </c>
      <c r="G74" s="299">
        <f t="shared" si="102"/>
        <v>82575.693935199961</v>
      </c>
      <c r="H74" s="299">
        <f t="shared" si="102"/>
        <v>0</v>
      </c>
      <c r="I74" s="338">
        <f>'[1]ГК РЭС'!K54/1000</f>
        <v>44.377319999999997</v>
      </c>
      <c r="J74" s="338">
        <f>'[1]ГК РЭС'!L54/1000</f>
        <v>840.95021399999996</v>
      </c>
      <c r="K74" s="338">
        <f>'[1]ГК РЭС'!M54/1000</f>
        <v>840.95021399999996</v>
      </c>
      <c r="L74" s="301">
        <f t="shared" si="25"/>
        <v>0</v>
      </c>
      <c r="M74" s="338">
        <f>('[1]УМУП УК ЖКХ г.Ульяновска'!K75+'[1]УМУП УК ЖКХ г.Ульяновска'!K79)/1000</f>
        <v>5.7259999999999998E-2</v>
      </c>
      <c r="N74" s="338">
        <f>('[1]УМУП УК ЖКХ г.Ульяновска'!L75+'[1]УМУП УК ЖКХ г.Ульяновска'!L79)/1000</f>
        <v>1.1955887999999999</v>
      </c>
      <c r="O74" s="338">
        <f>('[1]УМУП УК ЖКХ г.Ульяновска'!M75+'[1]УМУП УК ЖКХ г.Ульяновска'!M79)/1000</f>
        <v>1.1955887999999999</v>
      </c>
      <c r="P74" s="301">
        <f t="shared" si="26"/>
        <v>0</v>
      </c>
      <c r="Q74" s="338">
        <f>('[1]ОАО ДК Засвияжье 1'!K104+'[1]ОАО ДК Засвияжье 1'!K109)/1000</f>
        <v>1102.9499699999999</v>
      </c>
      <c r="R74" s="338">
        <f>('[1]ОАО ДК Засвияжье 1'!L104+'[1]ОАО ДК Засвияжье 1'!L109)/1000</f>
        <v>17916.358762499996</v>
      </c>
      <c r="S74" s="338">
        <f>('[1]ОАО ДК Засвияжье 1'!M104+'[1]ОАО ДК Засвияжье 1'!M109)/1000</f>
        <v>17916.358762499996</v>
      </c>
      <c r="T74" s="301">
        <f t="shared" si="27"/>
        <v>0</v>
      </c>
      <c r="U74" s="338">
        <f>'[1]ОАО ДК Заволж р-на'!K272/1000</f>
        <v>102.59992999999999</v>
      </c>
      <c r="V74" s="338">
        <f>'[1]ОАО ДК Заволж р-на'!L272/1000</f>
        <v>1944.2686734999997</v>
      </c>
      <c r="W74" s="338">
        <f>'[1]ОАО ДК Заволж р-на'!M272/1000</f>
        <v>1944.2686734999997</v>
      </c>
      <c r="X74" s="301">
        <f t="shared" si="28"/>
        <v>0</v>
      </c>
      <c r="Y74" s="338">
        <f>'[1]ООО ЖСС'!K89/1000</f>
        <v>129.45332000000002</v>
      </c>
      <c r="Z74" s="338">
        <f>'[1]ООО ЖСС'!L89/1000</f>
        <v>2453.140414</v>
      </c>
      <c r="AA74" s="338">
        <f>'[1]ООО ЖСС'!M89/1000</f>
        <v>2453.140414</v>
      </c>
      <c r="AB74" s="301">
        <f t="shared" si="29"/>
        <v>0</v>
      </c>
      <c r="AF74" s="300">
        <f t="shared" si="30"/>
        <v>0</v>
      </c>
      <c r="AJ74" s="300">
        <f t="shared" si="31"/>
        <v>0</v>
      </c>
      <c r="AK74" s="338">
        <f>'[1]ООО РЭС'!K103/1000</f>
        <v>356.19855000000001</v>
      </c>
      <c r="AL74" s="338">
        <f>'[1]ООО РЭС'!L103/1000</f>
        <v>6749.9625225</v>
      </c>
      <c r="AM74" s="338">
        <f>'[1]ООО РЭС'!M103/1000</f>
        <v>6749.9625225</v>
      </c>
      <c r="AN74" s="301">
        <f t="shared" si="32"/>
        <v>0</v>
      </c>
      <c r="AO74" s="338">
        <f>('[1]ЗАО ГК Аметист'!K157+'[1]ЗАО ГК Аметист'!K162+'[1]ЗАО ГК Аметист'!K167+'[1]ЗАО ГК Аметист'!K172+'[1]ЗАО ГК Аметист'!K177+'[1]ЗАО ГК Аметист'!K214+'[1]ЗАО ГК Аметист'!K219+'[1]ЗАО ГК Аметист'!K238+'[1]ЗАО ГК Аметист'!K243)/1000</f>
        <v>1703.2966699999999</v>
      </c>
      <c r="AP74" s="338">
        <f>('[1]ЗАО ГК Аметист'!L157+'[1]ЗАО ГК Аметист'!L162+'[1]ЗАО ГК Аметист'!L167+'[1]ЗАО ГК Аметист'!L172+'[1]ЗАО ГК Аметист'!L177+'[1]ЗАО ГК Аметист'!L214+'[1]ЗАО ГК Аметист'!L219+'[1]ЗАО ГК Аметист'!L238+'[1]ЗАО ГК Аметист'!L243)/1000</f>
        <v>20897.291714599996</v>
      </c>
      <c r="AQ74" s="338">
        <f>('[1]ЗАО ГК Аметист'!M157+'[1]ЗАО ГК Аметист'!M162+'[1]ЗАО ГК Аметист'!M167+'[1]ЗАО ГК Аметист'!M172+'[1]ЗАО ГК Аметист'!M177+'[1]ЗАО ГК Аметист'!M214+'[1]ЗАО ГК Аметист'!M219+'[1]ЗАО ГК Аметист'!M238+'[1]ЗАО ГК Аметист'!M243)/1000</f>
        <v>20897.291714599996</v>
      </c>
      <c r="AR74" s="300">
        <f t="shared" si="33"/>
        <v>0</v>
      </c>
      <c r="AS74" s="338">
        <f>'[1]Фундамент СК ООО'!K53/1000</f>
        <v>22.253460000000004</v>
      </c>
      <c r="AT74" s="338">
        <f>'[1]Фундамент СК ООО'!L53/1000</f>
        <v>464.65224480000006</v>
      </c>
      <c r="AU74" s="338">
        <f>'[1]Фундамент СК ООО'!M53/1000</f>
        <v>464.65224480000006</v>
      </c>
      <c r="AV74" s="301">
        <f t="shared" si="34"/>
        <v>0</v>
      </c>
      <c r="AZ74" s="301">
        <f t="shared" si="35"/>
        <v>0</v>
      </c>
      <c r="BA74" s="338">
        <f>'[1]ДоМ ТСЖ'!K41/1000</f>
        <v>8.9389999999999997E-2</v>
      </c>
      <c r="BB74" s="338">
        <f>'[1]ДоМ ТСЖ'!L41/1000</f>
        <v>1.6939404999999998</v>
      </c>
      <c r="BC74" s="338">
        <f>'[1]ДоМ ТСЖ'!M41/1000</f>
        <v>1.6939404999999998</v>
      </c>
      <c r="BD74" s="301">
        <f t="shared" si="36"/>
        <v>0</v>
      </c>
      <c r="BE74" s="338">
        <f>'[1]ООО ТехноГрад'!K41/1000</f>
        <v>3.42659</v>
      </c>
      <c r="BF74" s="338">
        <f>'[1]ООО ТехноГрад'!L41/1000</f>
        <v>64.933880500000001</v>
      </c>
      <c r="BG74" s="338">
        <f>'[1]ООО ТехноГрад'!M41/1000</f>
        <v>64.933880500000001</v>
      </c>
      <c r="BH74" s="301">
        <f t="shared" si="37"/>
        <v>0</v>
      </c>
      <c r="BL74" s="301">
        <f t="shared" si="38"/>
        <v>0</v>
      </c>
      <c r="BM74" s="338">
        <f>'[1]Евро-Строй-Сервис'!K60/1000</f>
        <v>8.1081500000000002</v>
      </c>
      <c r="BN74" s="338">
        <f>'[1]Евро-Строй-Сервис'!L60/1000</f>
        <v>153.64944249999996</v>
      </c>
      <c r="BO74" s="338">
        <f>'[1]Евро-Строй-Сервис'!M60/1000</f>
        <v>153.64944249999996</v>
      </c>
      <c r="BP74" s="301">
        <f t="shared" si="52"/>
        <v>0</v>
      </c>
      <c r="BQ74" s="338">
        <f>('[1]ОАО ДК Засвияжье 2'!K92+'[1]ОАО ДК Засвияжье 2'!K97)/1000</f>
        <v>41.407050000000005</v>
      </c>
      <c r="BR74" s="338">
        <f>('[1]ОАО ДК Засвияжье 2'!L92+'[1]ОАО ДК Засвияжье 2'!L97)/1000</f>
        <v>863.03180159999999</v>
      </c>
      <c r="BS74" s="338">
        <f>('[1]ОАО ДК Засвияжье 2'!M92+'[1]ОАО ДК Засвияжье 2'!M97)/1000</f>
        <v>863.03180159999999</v>
      </c>
      <c r="BT74" s="301">
        <f t="shared" si="39"/>
        <v>0</v>
      </c>
      <c r="BU74" s="338">
        <f>('[1]ОАО ДК Лен р-на'!K189+'[1]ОАО ДК Лен р-на'!K190+'[1]ОАО ДК Лен р-на'!K191+'[1]ОАО ДК Лен р-на'!K192+'[1]ОАО ДК Лен р-на'!K193+'[1]ОАО ДК Лен р-на'!K194+'[1]ОАО ДК Лен р-на'!K195+'[1]ОАО ДК Лен р-на'!K196+'[1]ОАО ДК Лен р-на'!K197+'[1]ОАО ДК Лен р-на'!K198+'[1]ОАО ДК Лен р-на'!K199+'[1]ОАО ДК Лен р-на'!K200+'[1]ОАО ДК Лен р-на'!K204+'[1]ООО Технология'!K136+'[1]ООО Технология'!K139+'[1]ООО Технология'!K141+'[1]ООО Технология'!K143)/1000</f>
        <v>334.57096999999999</v>
      </c>
      <c r="BV74" s="338">
        <f>('[1]ОАО ДК Лен р-на'!L189+'[1]ОАО ДК Лен р-на'!L190+'[1]ОАО ДК Лен р-на'!L191+'[1]ОАО ДК Лен р-на'!L192+'[1]ОАО ДК Лен р-на'!L193+'[1]ОАО ДК Лен р-на'!L194+'[1]ОАО ДК Лен р-на'!L195+'[1]ОАО ДК Лен р-на'!L196+'[1]ОАО ДК Лен р-на'!L197+'[1]ОАО ДК Лен р-на'!L198+'[1]ОАО ДК Лен р-на'!L199+'[1]ОАО ДК Лен р-на'!L200+'[1]ОАО ДК Лен р-на'!L204+'[1]ООО Технология'!L136+'[1]ООО Технология'!L139+'[1]ООО Технология'!L141+'[1]ООО Технология'!L143)/1000</f>
        <v>7067.3192551999982</v>
      </c>
      <c r="BW74" s="338">
        <f>('[1]ОАО ДК Лен р-на'!M189+'[1]ОАО ДК Лен р-на'!M190+'[1]ОАО ДК Лен р-на'!M191+'[1]ОАО ДК Лен р-на'!M192+'[1]ОАО ДК Лен р-на'!M193+'[1]ОАО ДК Лен р-на'!M194+'[1]ОАО ДК Лен р-на'!M195+'[1]ОАО ДК Лен р-на'!M196+'[1]ОАО ДК Лен р-на'!M197+'[1]ОАО ДК Лен р-на'!M198+'[1]ОАО ДК Лен р-на'!M199+'[1]ОАО ДК Лен р-на'!M200+'[1]ОАО ДК Лен р-на'!M204+'[1]ООО Технология'!M136+'[1]ООО Технология'!M139+'[1]ООО Технология'!M141+'[1]ООО Технология'!M143)/1000</f>
        <v>7067.3192551999982</v>
      </c>
      <c r="BX74" s="301">
        <f t="shared" si="40"/>
        <v>0</v>
      </c>
      <c r="BY74" s="338">
        <f>('[1]ОАО ДК ЖД р-на'!K442)/1000</f>
        <v>225.78258000000002</v>
      </c>
      <c r="BZ74" s="338">
        <f>('[1]ОАО ДК ЖД р-на'!L442)/1000</f>
        <v>4714.3402704</v>
      </c>
      <c r="CA74" s="338">
        <f>('[1]ОАО ДК ЖД р-на'!M442)/1000</f>
        <v>4714.3402704</v>
      </c>
      <c r="CB74" s="301">
        <f t="shared" si="41"/>
        <v>0</v>
      </c>
      <c r="CF74" s="300">
        <f t="shared" si="49"/>
        <v>0</v>
      </c>
      <c r="CG74" s="338">
        <f>('[1]УК ЖСС'!K116)/1000</f>
        <v>513.36974999999995</v>
      </c>
      <c r="CH74" s="338">
        <f>('[1]УК ЖСС'!L116)/1000</f>
        <v>9728.3567624999996</v>
      </c>
      <c r="CI74" s="338">
        <f>('[1]УК ЖСС'!M116)/1000</f>
        <v>9728.3567624999996</v>
      </c>
      <c r="CJ74" s="301">
        <f t="shared" si="0"/>
        <v>0</v>
      </c>
      <c r="CK74" s="338">
        <f>'[1]ТСЖ Народ контроль R'!K42/1000</f>
        <v>6.6036200000000003</v>
      </c>
      <c r="CL74" s="338">
        <f>'[1]ТСЖ Народ контроль R'!L42/1000</f>
        <v>137.8835856</v>
      </c>
      <c r="CM74" s="338">
        <f>'[1]ТСЖ Народ контроль R'!M42/1000</f>
        <v>137.8835856</v>
      </c>
      <c r="CN74" s="301">
        <f t="shared" si="84"/>
        <v>0</v>
      </c>
      <c r="CR74" s="301">
        <f t="shared" si="85"/>
        <v>0</v>
      </c>
      <c r="CV74" s="301">
        <f t="shared" si="86"/>
        <v>0</v>
      </c>
      <c r="CZ74" s="301">
        <f t="shared" si="87"/>
        <v>0</v>
      </c>
      <c r="DA74" s="338">
        <f>[1]Стасова!K58/1000</f>
        <v>17.788869999999999</v>
      </c>
      <c r="DB74" s="338">
        <f>[1]Стасова!L58/1000</f>
        <v>282.30936689999999</v>
      </c>
      <c r="DC74" s="338">
        <f>[1]Стасова!M58/1000</f>
        <v>282.30936689999999</v>
      </c>
      <c r="DD74" s="300">
        <f t="shared" si="5"/>
        <v>0</v>
      </c>
      <c r="DE74" s="338">
        <f>'[1]Мегаполис ТСЖ'!K42/1000</f>
        <v>27.540310000000002</v>
      </c>
      <c r="DF74" s="338">
        <f>'[1]Мегаполис ТСЖ'!L42/1000</f>
        <v>575.0416727999999</v>
      </c>
      <c r="DG74" s="338">
        <f>'[1]Мегаполис ТСЖ'!M42/1000</f>
        <v>575.0416727999999</v>
      </c>
      <c r="DH74" s="301">
        <f t="shared" si="88"/>
        <v>0</v>
      </c>
      <c r="DL74" s="301">
        <f t="shared" si="50"/>
        <v>0</v>
      </c>
      <c r="DM74" s="338">
        <f>('[1]Альфаком-У'!K73+'[1]Альфаком-У'!K78)/1000</f>
        <v>235.02664999999999</v>
      </c>
      <c r="DN74" s="338">
        <f>('[1]Альфаком-У'!L73+'[1]Альфаком-У'!L78)/1000</f>
        <v>4907.356452</v>
      </c>
      <c r="DO74" s="338">
        <f>('[1]Альфаком-У'!M73+'[1]Альфаком-У'!M78)/1000</f>
        <v>4907.356452</v>
      </c>
      <c r="DP74" s="301">
        <f t="shared" si="82"/>
        <v>0</v>
      </c>
      <c r="DT74" s="300">
        <f t="shared" si="89"/>
        <v>0</v>
      </c>
      <c r="DU74" s="338">
        <f>('[1]Альфаком-У-ТСЖ З-2'!K58+'[1]Альфаком-У-ТСЖ З-2'!K63)/1000</f>
        <v>48.202640000000002</v>
      </c>
      <c r="DV74" s="338">
        <f>('[1]Альфаком-У-ТСЖ З-2'!L58+'[1]Альфаком-У-ТСЖ З-2'!L63)/1000</f>
        <v>1006.4711232</v>
      </c>
      <c r="DW74" s="338">
        <f>('[1]Альфаком-У-ТСЖ З-2'!M58+'[1]Альфаком-У-ТСЖ З-2'!M63)/1000</f>
        <v>1006.4711232</v>
      </c>
      <c r="DX74" s="301">
        <f t="shared" si="9"/>
        <v>0</v>
      </c>
      <c r="DY74" s="338">
        <f>'[1]ЖСК Электромаш'!K42/1000</f>
        <v>4.1572700000000005</v>
      </c>
      <c r="DZ74" s="338">
        <f>'[1]ЖСК Электромаш'!L42/1000</f>
        <v>78.78026650000001</v>
      </c>
      <c r="EA74" s="338">
        <f>'[1]ЖСК Электромаш'!M42/1000</f>
        <v>78.78026650000001</v>
      </c>
      <c r="EB74" s="301">
        <f t="shared" si="90"/>
        <v>0</v>
      </c>
      <c r="EF74" s="301">
        <f t="shared" si="91"/>
        <v>0</v>
      </c>
      <c r="EG74" s="338">
        <f>('[1]ООО ЦЭТ'!K214+'[1]ООО ЦЭТ'!K219)/1000</f>
        <v>55.141500000000001</v>
      </c>
      <c r="EH74" s="338">
        <f>('[1]ООО ЦЭТ'!L214+'[1]ООО ЦЭТ'!L219)/1000</f>
        <v>1063.2921468</v>
      </c>
      <c r="EI74" s="338">
        <f>('[1]ООО ЦЭТ'!M214+'[1]ООО ЦЭТ'!M219)/1000</f>
        <v>1063.2921468</v>
      </c>
      <c r="EJ74" s="301">
        <f t="shared" si="92"/>
        <v>0</v>
      </c>
      <c r="EN74" s="301">
        <f t="shared" si="93"/>
        <v>0</v>
      </c>
      <c r="EO74" s="338">
        <f>'[1]ООО ЖЭК'!K70/1000</f>
        <v>10.98813</v>
      </c>
      <c r="EP74" s="338">
        <f>'[1]ООО ЖЭК'!L70/1000</f>
        <v>229.43215439999997</v>
      </c>
      <c r="EQ74" s="338">
        <f>'[1]ООО ЖЭК'!M70/1000</f>
        <v>229.43215439999997</v>
      </c>
      <c r="ER74" s="300">
        <f t="shared" si="94"/>
        <v>0</v>
      </c>
      <c r="EV74" s="300">
        <f t="shared" si="95"/>
        <v>0</v>
      </c>
      <c r="EZ74" s="301">
        <f t="shared" si="96"/>
        <v>0</v>
      </c>
      <c r="FA74" s="338">
        <f>('[1]ООО Истоки+'!K81+'[1]ООО Истоки+'!K82)/1000</f>
        <v>3.5714700000000001</v>
      </c>
      <c r="FB74" s="338">
        <f>('[1]ООО Истоки+'!L81+'[1]ООО Истоки+'!L82)/1000</f>
        <v>74.538941600000001</v>
      </c>
      <c r="FC74" s="338">
        <f>('[1]ООО Истоки+'!M81+'[1]ООО Истоки+'!M82)/1000</f>
        <v>74.538941600000001</v>
      </c>
      <c r="FD74" s="301">
        <f t="shared" si="97"/>
        <v>0</v>
      </c>
      <c r="FH74" s="300">
        <f t="shared" si="98"/>
        <v>0</v>
      </c>
      <c r="FL74" s="301">
        <f t="shared" si="19"/>
        <v>0</v>
      </c>
      <c r="FM74" s="338">
        <v>0</v>
      </c>
      <c r="FN74" s="338">
        <v>0</v>
      </c>
      <c r="FO74" s="338">
        <v>0</v>
      </c>
      <c r="FP74" s="301">
        <f>FO74-FN74</f>
        <v>0</v>
      </c>
      <c r="FQ74" s="338">
        <f>('[1]ООО ЖКХ Лен-го района'!K155+'[1]ООО ЖКХ Лен-го района'!K159)/1000</f>
        <v>6.6997099999999987</v>
      </c>
      <c r="FR74" s="338">
        <f>('[1]ООО ЖКХ Лен-го района'!L155+'[1]ООО ЖКХ Лен-го района'!L159)/1000</f>
        <v>127.25858249999999</v>
      </c>
      <c r="FS74" s="338">
        <f>('[1]ООО ЖКХ Лен-го района'!M155+'[1]ООО ЖКХ Лен-го района'!M159)/1000</f>
        <v>127.25858249999999</v>
      </c>
      <c r="FT74" s="301">
        <f t="shared" si="99"/>
        <v>0</v>
      </c>
      <c r="FU74" s="338">
        <v>0</v>
      </c>
      <c r="FV74" s="338">
        <v>0</v>
      </c>
      <c r="FW74" s="338">
        <v>0</v>
      </c>
      <c r="FX74" s="301">
        <f t="shared" si="100"/>
        <v>0</v>
      </c>
      <c r="GB74" s="301">
        <f t="shared" si="101"/>
        <v>0</v>
      </c>
      <c r="GC74" s="338">
        <f>'[1]ООО УК ЦЭТ'!K212/1000</f>
        <v>9.4540199999999999</v>
      </c>
      <c r="GD74" s="338">
        <f>'[1]ООО УК ЦЭТ'!L212/1000</f>
        <v>197.39993760000002</v>
      </c>
      <c r="GE74" s="338">
        <f>'[1]ООО УК ЦЭТ'!M212/1000</f>
        <v>197.39993760000002</v>
      </c>
      <c r="GF74" s="301">
        <f>GE74-GD74</f>
        <v>0</v>
      </c>
      <c r="GJ74" s="301">
        <f>GI74-GH74</f>
        <v>0</v>
      </c>
      <c r="GN74" s="301">
        <f t="shared" ref="GN74:GN140" si="103">GM74-GL74</f>
        <v>0</v>
      </c>
      <c r="GO74" s="338">
        <f>('[1]ООО УО Партнер'!K56+'[1]ООО УО Партнер'!K58)/1000</f>
        <v>1.8749800000000001</v>
      </c>
      <c r="GP74" s="338">
        <f>('[1]ООО УО Партнер'!L56+'[1]ООО УО Партнер'!L58)/1000</f>
        <v>34.784217400000003</v>
      </c>
      <c r="GQ74" s="338">
        <f>('[1]ООО УО Партнер'!M56+'[1]ООО УО Партнер'!M58)/1000</f>
        <v>34.784217400000003</v>
      </c>
      <c r="GR74" s="301">
        <f t="shared" ref="GR74:GR104" si="104">GQ74-GP74</f>
        <v>0</v>
      </c>
      <c r="GS74" s="338">
        <f>'[1]ООО ТК Святогор'!K42/1000</f>
        <v>0</v>
      </c>
      <c r="GT74" s="338">
        <f>'[1]ООО ТК Святогор'!L42/1000</f>
        <v>0</v>
      </c>
      <c r="GU74" s="338">
        <f>'[1]ООО ТК Святогор'!M42/1000</f>
        <v>0</v>
      </c>
      <c r="GV74" s="301">
        <f t="shared" ref="GV74:GV139" si="105">GU74-GT74</f>
        <v>0</v>
      </c>
      <c r="GZ74" s="301">
        <f t="shared" ref="GZ74:GZ100" si="106">GY74-GX74</f>
        <v>0</v>
      </c>
      <c r="HA74" s="328"/>
      <c r="HB74" s="339"/>
      <c r="HC74" s="286"/>
      <c r="HD74" s="286"/>
      <c r="HE74" s="286"/>
      <c r="HF74" s="286"/>
      <c r="HG74" s="286"/>
      <c r="HH74" s="286"/>
      <c r="HI74" s="286"/>
      <c r="HJ74" s="286"/>
      <c r="HK74" s="286"/>
      <c r="HL74" s="286"/>
      <c r="HM74" s="286"/>
      <c r="HN74" s="286"/>
      <c r="HO74" s="286"/>
      <c r="HP74" s="286"/>
      <c r="HQ74" s="286"/>
      <c r="HR74" s="286"/>
      <c r="HS74" s="306"/>
      <c r="HT74" s="306"/>
      <c r="HU74" s="306"/>
      <c r="HV74" s="306"/>
      <c r="HW74" s="286"/>
      <c r="HX74" s="286"/>
      <c r="HY74" s="286"/>
      <c r="HZ74" s="286"/>
      <c r="IA74" s="286"/>
      <c r="IB74" s="286"/>
      <c r="IC74" s="286"/>
      <c r="ID74" s="286"/>
      <c r="IE74" s="286"/>
      <c r="IF74" s="286"/>
      <c r="IG74" s="286"/>
      <c r="IH74" s="286"/>
      <c r="II74" s="286"/>
      <c r="IJ74" s="286"/>
      <c r="IK74" s="286"/>
      <c r="IL74" s="286"/>
      <c r="IM74" s="286"/>
      <c r="IN74" s="286"/>
      <c r="IO74" s="286"/>
      <c r="IP74" s="286"/>
      <c r="IQ74" s="286"/>
      <c r="IR74" s="286"/>
      <c r="IS74" s="286"/>
      <c r="IT74" s="286"/>
      <c r="IU74" s="286"/>
      <c r="IV74" s="286"/>
    </row>
    <row r="75" spans="1:256" s="338" customFormat="1" ht="13.5" hidden="1" customHeight="1">
      <c r="A75" s="912"/>
      <c r="B75" s="341"/>
      <c r="C75" s="380" t="s">
        <v>229</v>
      </c>
      <c r="D75" s="381" t="s">
        <v>162</v>
      </c>
      <c r="E75" s="299">
        <f t="shared" si="102"/>
        <v>1811.0763900000004</v>
      </c>
      <c r="F75" s="299">
        <f t="shared" si="102"/>
        <v>0</v>
      </c>
      <c r="G75" s="299">
        <f t="shared" si="102"/>
        <v>0</v>
      </c>
      <c r="H75" s="299">
        <f t="shared" si="102"/>
        <v>0</v>
      </c>
      <c r="I75" s="338">
        <f>'[1]ГК РЭС'!K57/1000</f>
        <v>5.3521599999999996</v>
      </c>
      <c r="J75" s="338">
        <f>'[1]ГК РЭС'!L57/1000*0</f>
        <v>0</v>
      </c>
      <c r="K75" s="338">
        <f>'[1]ГК РЭС'!M57/1000*0</f>
        <v>0</v>
      </c>
      <c r="L75" s="301">
        <f t="shared" si="25"/>
        <v>0</v>
      </c>
      <c r="M75" s="338">
        <f>'[1]УМУП УК ЖКХ г.Ульяновска'!K84/1000</f>
        <v>0</v>
      </c>
      <c r="N75" s="338">
        <f>'[1]УМУП УК ЖКХ г.Ульяновска'!L84/1000</f>
        <v>0</v>
      </c>
      <c r="O75" s="338">
        <f>'[1]УМУП УК ЖКХ г.Ульяновска'!M84/1000</f>
        <v>0</v>
      </c>
      <c r="P75" s="301">
        <f t="shared" si="26"/>
        <v>0</v>
      </c>
      <c r="Q75" s="338">
        <f>('[1]ОАО ДК Засвияжье 1'!K116+'[1]ОАО ДК Засвияжье 1'!K121+'[1]ОАО ДК Засвияжье 1'!K111)/1000</f>
        <v>187.63628000000003</v>
      </c>
      <c r="R75" s="338">
        <f>('[1]ОАО ДК Засвияжье 1'!L116+'[1]ОАО ДК Засвияжье 1'!L121+'[1]ОАО ДК Засвияжье 1'!L111)/1000*0</f>
        <v>0</v>
      </c>
      <c r="S75" s="338">
        <f>('[1]ОАО ДК Засвияжье 1'!M116+'[1]ОАО ДК Засвияжье 1'!M121+'[1]ОАО ДК Засвияжье 1'!M111)/1000*0</f>
        <v>0</v>
      </c>
      <c r="T75" s="301">
        <f t="shared" si="27"/>
        <v>0</v>
      </c>
      <c r="U75" s="338">
        <f>'[1]ОАО ДК Заволж р-на'!K276/1000</f>
        <v>4.7302</v>
      </c>
      <c r="V75" s="338">
        <f>'[1]ОАО ДК Заволж р-на'!L276/1000*0</f>
        <v>0</v>
      </c>
      <c r="W75" s="338">
        <f>'[1]ОАО ДК Заволж р-на'!M276/1000*0</f>
        <v>0</v>
      </c>
      <c r="X75" s="301">
        <f t="shared" si="28"/>
        <v>0</v>
      </c>
      <c r="Y75" s="338">
        <f>'[1]ООО ЖСС'!K92/1000</f>
        <v>285.90530999999999</v>
      </c>
      <c r="Z75" s="338">
        <f>'[1]ООО ЖСС'!L92/1000*0</f>
        <v>0</v>
      </c>
      <c r="AA75" s="338">
        <f>'[1]ООО ЖСС'!M92/1000*0</f>
        <v>0</v>
      </c>
      <c r="AB75" s="301">
        <f t="shared" si="29"/>
        <v>0</v>
      </c>
      <c r="AF75" s="300">
        <f t="shared" si="30"/>
        <v>0</v>
      </c>
      <c r="AJ75" s="300">
        <f t="shared" si="31"/>
        <v>0</v>
      </c>
      <c r="AK75" s="338">
        <f>'[1]ООО РЭС'!K106/1000</f>
        <v>66.521169999999998</v>
      </c>
      <c r="AL75" s="338">
        <f>'[1]ООО РЭС'!L106/1000*0</f>
        <v>0</v>
      </c>
      <c r="AM75" s="338">
        <f>'[1]ООО РЭС'!M106/1000*0</f>
        <v>0</v>
      </c>
      <c r="AN75" s="301">
        <f t="shared" si="32"/>
        <v>0</v>
      </c>
      <c r="AO75" s="338">
        <f>('[1]ЗАО ГК Аметист'!K183+'[1]ЗАО ГК Аметист'!K188+'[1]ЗАО ГК Аметист'!K193+'[1]ЗАО ГК Аметист'!K198+'[1]ЗАО ГК Аметист'!K203+'[1]ЗАО ГК Аметист'!K225+'[1]ЗАО ГК Аметист'!K230+'[1]ЗАО ГК Аметист'!K249+'[1]ЗАО ГК Аметист'!K254)/1000</f>
        <v>226.57980000000001</v>
      </c>
      <c r="AP75" s="338">
        <f>('[1]ЗАО ГК Аметист'!L183+'[1]ЗАО ГК Аметист'!L188+'[1]ЗАО ГК Аметист'!L193+'[1]ЗАО ГК Аметист'!L198+'[1]ЗАО ГК Аметист'!L203+'[1]ЗАО ГК Аметист'!L225+'[1]ЗАО ГК Аметист'!L230+'[1]ЗАО ГК Аметист'!L249+'[1]ЗАО ГК Аметист'!L254)/1000*0</f>
        <v>0</v>
      </c>
      <c r="AQ75" s="338">
        <f>('[1]ЗАО ГК Аметист'!M183+'[1]ЗАО ГК Аметист'!M188+'[1]ЗАО ГК Аметист'!M193+'[1]ЗАО ГК Аметист'!M198+'[1]ЗАО ГК Аметист'!M203+'[1]ЗАО ГК Аметист'!M225+'[1]ЗАО ГК Аметист'!M230+'[1]ЗАО ГК Аметист'!M249+'[1]ЗАО ГК Аметист'!M254)/1000*0</f>
        <v>0</v>
      </c>
      <c r="AR75" s="300">
        <f t="shared" si="33"/>
        <v>0</v>
      </c>
      <c r="AS75" s="338">
        <f>('[1]Фундамент СК ООО'!K59+'[1]Фундамент СК ООО'!K64)/1000</f>
        <v>208.79685000000001</v>
      </c>
      <c r="AT75" s="338">
        <f>('[1]Фундамент СК ООО'!L59+'[1]Фундамент СК ООО'!L64)/1000*0</f>
        <v>0</v>
      </c>
      <c r="AU75" s="338">
        <f>('[1]Фундамент СК ООО'!M59+'[1]Фундамент СК ООО'!M64)/1000*0</f>
        <v>0</v>
      </c>
      <c r="AV75" s="301">
        <f t="shared" si="34"/>
        <v>0</v>
      </c>
      <c r="AZ75" s="301">
        <f t="shared" si="35"/>
        <v>0</v>
      </c>
      <c r="BA75" s="338">
        <f>'[1]ДоМ ТСЖ'!K44/1000</f>
        <v>15.321299999999999</v>
      </c>
      <c r="BB75" s="338">
        <f>'[1]ДоМ ТСЖ'!L44/1000*0</f>
        <v>0</v>
      </c>
      <c r="BC75" s="338">
        <f>'[1]ДоМ ТСЖ'!M44/1000*0</f>
        <v>0</v>
      </c>
      <c r="BD75" s="301">
        <f t="shared" si="36"/>
        <v>0</v>
      </c>
      <c r="BE75" s="338">
        <f>'[1]ООО ТехноГрад'!K44/1000</f>
        <v>8.94815</v>
      </c>
      <c r="BF75" s="338">
        <f>'[1]ООО ТехноГрад'!L44/1000*0</f>
        <v>0</v>
      </c>
      <c r="BG75" s="338">
        <f>'[1]ООО ТехноГрад'!M44/1000*0</f>
        <v>0</v>
      </c>
      <c r="BH75" s="301">
        <f t="shared" si="37"/>
        <v>0</v>
      </c>
      <c r="BL75" s="301">
        <f t="shared" si="38"/>
        <v>0</v>
      </c>
      <c r="BM75" s="338">
        <f>'[1]Евро-Строй-Сервис'!K63/1000</f>
        <v>0.17212</v>
      </c>
      <c r="BN75" s="338">
        <f>'[1]Евро-Строй-Сервис'!L63/1000*0</f>
        <v>0</v>
      </c>
      <c r="BO75" s="338">
        <f>'[1]Евро-Строй-Сервис'!M63/1000*0</f>
        <v>0</v>
      </c>
      <c r="BP75" s="301">
        <f t="shared" si="52"/>
        <v>0</v>
      </c>
      <c r="BQ75" s="338">
        <f>('[1]ОАО ДК Засвияжье 2'!K103+'[1]ОАО ДК Засвияжье 2'!K108+'[1]ОАО ДК Засвияжье 2'!K113)/1000</f>
        <v>1.0304</v>
      </c>
      <c r="BR75" s="338">
        <f>('[1]ОАО ДК Засвияжье 2'!L103+'[1]ОАО ДК Засвияжье 2'!L108+'[1]ОАО ДК Засвияжье 2'!L113)/1000*0</f>
        <v>0</v>
      </c>
      <c r="BS75" s="338">
        <f>('[1]ОАО ДК Засвияжье 2'!M103+'[1]ОАО ДК Засвияжье 2'!M108+'[1]ОАО ДК Засвияжье 2'!M113)/1000*0</f>
        <v>0</v>
      </c>
      <c r="BT75" s="301">
        <f t="shared" si="39"/>
        <v>0</v>
      </c>
      <c r="BU75" s="338">
        <f>'[1]ОАО ДК Лен р-на'!K209/1000</f>
        <v>0</v>
      </c>
      <c r="BV75" s="338">
        <f>'[1]ОАО ДК Лен р-на'!L209/1000*0</f>
        <v>0</v>
      </c>
      <c r="BW75" s="338">
        <f>'[1]ОАО ДК Лен р-на'!M209/1000*0</f>
        <v>0</v>
      </c>
      <c r="BX75" s="301">
        <f t="shared" si="40"/>
        <v>0</v>
      </c>
      <c r="BY75" s="338">
        <f>'[1]ОАО ДК ЖД р-на'!K450/1000</f>
        <v>31.150230000000001</v>
      </c>
      <c r="BZ75" s="338">
        <f>'[1]ОАО ДК ЖД р-на'!L450/1000*0</f>
        <v>0</v>
      </c>
      <c r="CA75" s="338">
        <f>'[1]ОАО ДК ЖД р-на'!M450/1000*0</f>
        <v>0</v>
      </c>
      <c r="CB75" s="301">
        <f t="shared" si="41"/>
        <v>0</v>
      </c>
      <c r="CF75" s="300">
        <f t="shared" si="49"/>
        <v>0</v>
      </c>
      <c r="CG75" s="338">
        <f>'[1]УК ЖСС'!K119/1000</f>
        <v>586.73297000000002</v>
      </c>
      <c r="CH75" s="338">
        <f>'[1]УК ЖСС'!L119/1000*0</f>
        <v>0</v>
      </c>
      <c r="CI75" s="338">
        <f>'[1]УК ЖСС'!M119/1000*0</f>
        <v>0</v>
      </c>
      <c r="CJ75" s="301">
        <f t="shared" si="0"/>
        <v>0</v>
      </c>
      <c r="CK75" s="338">
        <f>'[1]ТСЖ Народ контроль R'!K45/1000</f>
        <v>46.3767</v>
      </c>
      <c r="CL75" s="338">
        <f>'[1]ТСЖ Народ контроль R'!L45/1000*0</f>
        <v>0</v>
      </c>
      <c r="CM75" s="338">
        <f>'[1]ТСЖ Народ контроль R'!M45/1000*0</f>
        <v>0</v>
      </c>
      <c r="CN75" s="301">
        <f t="shared" si="84"/>
        <v>0</v>
      </c>
      <c r="CR75" s="301">
        <f t="shared" si="85"/>
        <v>0</v>
      </c>
      <c r="CV75" s="301">
        <f t="shared" si="86"/>
        <v>0</v>
      </c>
      <c r="CZ75" s="301">
        <f t="shared" si="87"/>
        <v>0</v>
      </c>
      <c r="DA75" s="338">
        <f>[1]Стасова!K64/1000</f>
        <v>1.16046</v>
      </c>
      <c r="DB75" s="338">
        <f>[1]Стасова!L64/1000*0</f>
        <v>0</v>
      </c>
      <c r="DC75" s="338">
        <f>[1]Стасова!M64/1000*0</f>
        <v>0</v>
      </c>
      <c r="DD75" s="300">
        <f t="shared" si="5"/>
        <v>0</v>
      </c>
      <c r="DE75" s="338">
        <f>'[1]Мегаполис ТСЖ'!K45/1000</f>
        <v>3.5495100000000002</v>
      </c>
      <c r="DF75" s="338">
        <f>'[1]Мегаполис ТСЖ'!L45/1000*0</f>
        <v>0</v>
      </c>
      <c r="DG75" s="338">
        <f>'[1]Мегаполис ТСЖ'!M45/1000*0</f>
        <v>0</v>
      </c>
      <c r="DH75" s="301">
        <f t="shared" si="88"/>
        <v>0</v>
      </c>
      <c r="DL75" s="301">
        <f t="shared" si="50"/>
        <v>0</v>
      </c>
      <c r="DM75" s="338">
        <f>('[1]Альфаком-У'!K84+'[1]Альфаком-У'!K89)/1000</f>
        <v>21.556949999999997</v>
      </c>
      <c r="DN75" s="338">
        <f>('[1]Альфаком-У'!L84+'[1]Альфаком-У'!L89)/1000*0</f>
        <v>0</v>
      </c>
      <c r="DO75" s="338">
        <f>('[1]Альфаком-У'!M84+'[1]Альфаком-У'!M89)/1000*0</f>
        <v>0</v>
      </c>
      <c r="DP75" s="301">
        <f t="shared" si="82"/>
        <v>0</v>
      </c>
      <c r="DT75" s="300">
        <f t="shared" si="89"/>
        <v>0</v>
      </c>
      <c r="DU75" s="338">
        <f>('[1]Альфаком-У-ТСЖ З-2'!K69+'[1]Альфаком-У-ТСЖ З-2'!K74)/1000</f>
        <v>6.2529500000000002</v>
      </c>
      <c r="DV75" s="338">
        <f>('[1]Альфаком-У-ТСЖ З-2'!L69+'[1]Альфаком-У-ТСЖ З-2'!L74)/1000*0</f>
        <v>0</v>
      </c>
      <c r="DW75" s="338">
        <f>('[1]Альфаком-У-ТСЖ З-2'!M69+'[1]Альфаком-У-ТСЖ З-2'!M74)/1000*0</f>
        <v>0</v>
      </c>
      <c r="DX75" s="301">
        <f t="shared" si="9"/>
        <v>0</v>
      </c>
      <c r="DY75" s="338">
        <f>'[1]ЖСК Электромаш'!K45/1000</f>
        <v>9.0252199999999991</v>
      </c>
      <c r="DZ75" s="338">
        <f>'[1]ЖСК Электромаш'!L45/1000*0</f>
        <v>0</v>
      </c>
      <c r="EA75" s="338">
        <f>'[1]ЖСК Электромаш'!M45/1000*0</f>
        <v>0</v>
      </c>
      <c r="EB75" s="301">
        <f t="shared" si="90"/>
        <v>0</v>
      </c>
      <c r="EF75" s="301">
        <f t="shared" si="91"/>
        <v>0</v>
      </c>
      <c r="EG75" s="338">
        <f>('[1]ООО ЦЭТ'!K225+'[1]ООО ЦЭТ'!K230)/1000</f>
        <v>8.2973600000000012</v>
      </c>
      <c r="EH75" s="338">
        <f>('[1]ООО ЦЭТ'!L225+'[1]ООО ЦЭТ'!L230)/1000*0</f>
        <v>0</v>
      </c>
      <c r="EI75" s="338">
        <f>('[1]ООО ЦЭТ'!M225+'[1]ООО ЦЭТ'!M230)/1000*0</f>
        <v>0</v>
      </c>
      <c r="EJ75" s="301">
        <f t="shared" si="92"/>
        <v>0</v>
      </c>
      <c r="EN75" s="301">
        <f t="shared" si="93"/>
        <v>0</v>
      </c>
      <c r="EO75" s="338">
        <f>'[1]ООО ЖЭК'!K75/1000</f>
        <v>0.80607000000000006</v>
      </c>
      <c r="EP75" s="338">
        <f>'[1]ООО ЖЭК'!L75/1000*0</f>
        <v>0</v>
      </c>
      <c r="EQ75" s="338">
        <f>'[1]ООО ЖЭК'!M75/1000*0</f>
        <v>0</v>
      </c>
      <c r="ER75" s="300">
        <f t="shared" si="94"/>
        <v>0</v>
      </c>
      <c r="EV75" s="300">
        <f t="shared" si="95"/>
        <v>0</v>
      </c>
      <c r="EZ75" s="301">
        <f t="shared" si="96"/>
        <v>0</v>
      </c>
      <c r="FA75" s="338">
        <f>('[1]ООО Истоки+'!K88+'[1]ООО Истоки+'!K89)/1000</f>
        <v>30.502849999999999</v>
      </c>
      <c r="FB75" s="338">
        <f>('[1]ООО Истоки+'!L88+'[1]ООО Истоки+'!L89)/1000*0</f>
        <v>0</v>
      </c>
      <c r="FC75" s="338">
        <f>('[1]ООО Истоки+'!M88+'[1]ООО Истоки+'!M89)/1000*0</f>
        <v>0</v>
      </c>
      <c r="FD75" s="301">
        <f t="shared" si="97"/>
        <v>0</v>
      </c>
      <c r="FH75" s="300">
        <f t="shared" si="98"/>
        <v>0</v>
      </c>
      <c r="FL75" s="301">
        <f t="shared" si="19"/>
        <v>0</v>
      </c>
      <c r="FM75" s="338">
        <f>('[1]ООО Технология'!K146+'[1]ООО Технология'!K171)/1000</f>
        <v>0</v>
      </c>
      <c r="FN75" s="338">
        <f>('[1]ООО Технология'!L146+'[1]ООО Технология'!L171)/1000</f>
        <v>0</v>
      </c>
      <c r="FO75" s="338">
        <f>('[1]ООО Технология'!M146+'[1]ООО Технология'!M171)/1000</f>
        <v>0</v>
      </c>
      <c r="FP75" s="301">
        <f>FO75-FN75</f>
        <v>0</v>
      </c>
      <c r="FQ75" s="338">
        <f>('[1]ООО ЖКХ Лен-го района'!K163)/1000</f>
        <v>0.11053</v>
      </c>
      <c r="FR75" s="338">
        <f>('[1]ООО ЖКХ Лен-го района'!L163)/1000*0</f>
        <v>0</v>
      </c>
      <c r="FS75" s="338">
        <f>('[1]ООО ЖКХ Лен-го района'!M163)/1000*0</f>
        <v>0</v>
      </c>
      <c r="FT75" s="301">
        <f t="shared" si="99"/>
        <v>0</v>
      </c>
      <c r="FU75" s="338">
        <f>'[1]ООО УК КПД-1'!K53/1000</f>
        <v>35.547309999999996</v>
      </c>
      <c r="FV75" s="338">
        <f>'[1]ООО УК КПД-1'!L53/1000*0</f>
        <v>0</v>
      </c>
      <c r="FW75" s="338">
        <f>'[1]ООО УК КПД-1'!M53/1000*0</f>
        <v>0</v>
      </c>
      <c r="FX75" s="301">
        <f t="shared" si="100"/>
        <v>0</v>
      </c>
      <c r="GB75" s="301">
        <f t="shared" si="101"/>
        <v>0</v>
      </c>
      <c r="GC75" s="338">
        <f>'[1]ООО УК ЦЭТ'!K218/1000</f>
        <v>0</v>
      </c>
      <c r="GD75" s="338">
        <f>'[1]ООО УК ЦЭТ'!L218/1000</f>
        <v>0</v>
      </c>
      <c r="GE75" s="338">
        <f>'[1]ООО УК ЦЭТ'!M218/1000</f>
        <v>0</v>
      </c>
      <c r="GF75" s="301">
        <f>GE75-GD75</f>
        <v>0</v>
      </c>
      <c r="GJ75" s="301">
        <f>GI75-GH75</f>
        <v>0</v>
      </c>
      <c r="GN75" s="301">
        <f t="shared" si="103"/>
        <v>0</v>
      </c>
      <c r="GO75" s="338">
        <f>('[1]ООО УО Партнер'!K63+'[1]ООО УО Партнер'!K61)/1000</f>
        <v>5.8624399999999994</v>
      </c>
      <c r="GP75" s="338">
        <f>('[1]ООО УО Партнер'!L63+'[1]ООО УО Партнер'!L61)/1000*0</f>
        <v>0</v>
      </c>
      <c r="GQ75" s="338">
        <f>('[1]ООО УО Партнер'!M63+'[1]ООО УО Партнер'!M61)/1000*0</f>
        <v>0</v>
      </c>
      <c r="GR75" s="301">
        <f t="shared" si="104"/>
        <v>0</v>
      </c>
      <c r="GS75" s="338">
        <f>'[1]ООО ТК Святогор'!K45/1000</f>
        <v>13.1511</v>
      </c>
      <c r="GT75" s="338">
        <f>'[1]ООО ТК Святогор'!L45/1000*0</f>
        <v>0</v>
      </c>
      <c r="GU75" s="338">
        <f>'[1]ООО ТК Святогор'!M45/1000*0</f>
        <v>0</v>
      </c>
      <c r="GV75" s="301">
        <f t="shared" si="105"/>
        <v>0</v>
      </c>
      <c r="GZ75" s="301">
        <f t="shared" si="106"/>
        <v>0</v>
      </c>
      <c r="HA75" s="328"/>
      <c r="HB75" s="339"/>
      <c r="HC75" s="286"/>
      <c r="HD75" s="286"/>
      <c r="HE75" s="286"/>
      <c r="HF75" s="286"/>
      <c r="HG75" s="286"/>
      <c r="HH75" s="286"/>
      <c r="HI75" s="286"/>
      <c r="HJ75" s="286"/>
      <c r="HK75" s="286"/>
      <c r="HL75" s="286"/>
      <c r="HM75" s="286"/>
      <c r="HN75" s="286"/>
      <c r="HO75" s="286"/>
      <c r="HP75" s="286"/>
      <c r="HQ75" s="286"/>
      <c r="HR75" s="286"/>
      <c r="HS75" s="306"/>
      <c r="HT75" s="306"/>
      <c r="HU75" s="306"/>
      <c r="HV75" s="306"/>
      <c r="HW75" s="286"/>
      <c r="HX75" s="286"/>
      <c r="HY75" s="286"/>
      <c r="HZ75" s="286"/>
      <c r="IA75" s="286"/>
      <c r="IB75" s="286"/>
      <c r="IC75" s="286"/>
      <c r="ID75" s="286"/>
      <c r="IE75" s="286"/>
      <c r="IF75" s="286"/>
      <c r="IG75" s="286"/>
      <c r="IH75" s="286"/>
      <c r="II75" s="286"/>
      <c r="IJ75" s="286"/>
      <c r="IK75" s="286"/>
      <c r="IL75" s="286"/>
      <c r="IM75" s="286"/>
      <c r="IN75" s="286"/>
      <c r="IO75" s="286"/>
      <c r="IP75" s="286"/>
      <c r="IQ75" s="286"/>
      <c r="IR75" s="286"/>
      <c r="IS75" s="286"/>
      <c r="IT75" s="286"/>
      <c r="IU75" s="286"/>
      <c r="IV75" s="286"/>
    </row>
    <row r="76" spans="1:256" s="338" customFormat="1" ht="13.5" hidden="1" customHeight="1">
      <c r="A76" s="912"/>
      <c r="B76" s="341"/>
      <c r="C76" s="382" t="s">
        <v>236</v>
      </c>
      <c r="D76" s="381" t="s">
        <v>162</v>
      </c>
      <c r="E76" s="301">
        <f>SUM(E77:E78)</f>
        <v>12.656460000000001</v>
      </c>
      <c r="F76" s="301">
        <f>SUM(F77:F78)</f>
        <v>319.636368</v>
      </c>
      <c r="G76" s="301">
        <f>SUM(G77:G78)</f>
        <v>319.636368</v>
      </c>
      <c r="H76" s="301">
        <f>SUM(H77:H78)</f>
        <v>0</v>
      </c>
      <c r="L76" s="301">
        <f t="shared" si="25"/>
        <v>0</v>
      </c>
      <c r="M76" s="301">
        <f>SUM(M77:M78)</f>
        <v>0</v>
      </c>
      <c r="N76" s="301">
        <f>SUM(N77:N78)</f>
        <v>0</v>
      </c>
      <c r="O76" s="301">
        <f>SUM(O77:O78)</f>
        <v>0</v>
      </c>
      <c r="P76" s="301">
        <f t="shared" si="26"/>
        <v>0</v>
      </c>
      <c r="T76" s="301">
        <f t="shared" si="27"/>
        <v>0</v>
      </c>
      <c r="X76" s="301">
        <f t="shared" si="28"/>
        <v>0</v>
      </c>
      <c r="AB76" s="301">
        <f t="shared" si="29"/>
        <v>0</v>
      </c>
      <c r="AF76" s="300">
        <f t="shared" si="30"/>
        <v>0</v>
      </c>
      <c r="AJ76" s="300">
        <f t="shared" si="31"/>
        <v>0</v>
      </c>
      <c r="AN76" s="301">
        <f t="shared" si="32"/>
        <v>0</v>
      </c>
      <c r="AR76" s="300">
        <f t="shared" si="33"/>
        <v>0</v>
      </c>
      <c r="AS76" s="301"/>
      <c r="AT76" s="301"/>
      <c r="AU76" s="301"/>
      <c r="AV76" s="301">
        <f t="shared" si="34"/>
        <v>0</v>
      </c>
      <c r="AZ76" s="301">
        <f t="shared" si="35"/>
        <v>0</v>
      </c>
      <c r="BD76" s="301">
        <f t="shared" si="36"/>
        <v>0</v>
      </c>
      <c r="BH76" s="301">
        <f t="shared" si="37"/>
        <v>0</v>
      </c>
      <c r="BL76" s="301">
        <f t="shared" si="38"/>
        <v>0</v>
      </c>
      <c r="BP76" s="301">
        <f t="shared" si="52"/>
        <v>0</v>
      </c>
      <c r="BT76" s="301">
        <f t="shared" si="39"/>
        <v>0</v>
      </c>
      <c r="BX76" s="301">
        <f t="shared" si="40"/>
        <v>0</v>
      </c>
      <c r="BY76" s="301">
        <f>BY77+BY78</f>
        <v>12.656460000000001</v>
      </c>
      <c r="BZ76" s="301">
        <f>BZ77+BZ78</f>
        <v>319.636368</v>
      </c>
      <c r="CA76" s="301">
        <f>CA77+CA78</f>
        <v>319.636368</v>
      </c>
      <c r="CB76" s="301">
        <f t="shared" si="41"/>
        <v>0</v>
      </c>
      <c r="CF76" s="300">
        <f t="shared" ref="CF76:CF142" si="107">CE76-CD76</f>
        <v>0</v>
      </c>
      <c r="CJ76" s="301">
        <f t="shared" si="0"/>
        <v>0</v>
      </c>
      <c r="CN76" s="301">
        <f t="shared" si="84"/>
        <v>0</v>
      </c>
      <c r="CR76" s="301">
        <f t="shared" si="85"/>
        <v>0</v>
      </c>
      <c r="CV76" s="301">
        <f t="shared" si="86"/>
        <v>0</v>
      </c>
      <c r="CZ76" s="301">
        <f t="shared" si="87"/>
        <v>0</v>
      </c>
      <c r="DD76" s="300">
        <f t="shared" si="5"/>
        <v>0</v>
      </c>
      <c r="DH76" s="301">
        <f t="shared" si="88"/>
        <v>0</v>
      </c>
      <c r="DL76" s="301">
        <f t="shared" si="50"/>
        <v>0</v>
      </c>
      <c r="DP76" s="301">
        <f t="shared" si="82"/>
        <v>0</v>
      </c>
      <c r="DT76" s="300">
        <f t="shared" si="89"/>
        <v>0</v>
      </c>
      <c r="DX76" s="301">
        <f t="shared" si="9"/>
        <v>0</v>
      </c>
      <c r="EB76" s="301">
        <f t="shared" si="90"/>
        <v>0</v>
      </c>
      <c r="EF76" s="301">
        <f t="shared" si="91"/>
        <v>0</v>
      </c>
      <c r="EJ76" s="301">
        <f t="shared" si="92"/>
        <v>0</v>
      </c>
      <c r="EN76" s="301">
        <f t="shared" si="93"/>
        <v>0</v>
      </c>
      <c r="ER76" s="300">
        <f t="shared" si="94"/>
        <v>0</v>
      </c>
      <c r="EV76" s="300">
        <f t="shared" si="95"/>
        <v>0</v>
      </c>
      <c r="EZ76" s="301">
        <f t="shared" si="96"/>
        <v>0</v>
      </c>
      <c r="FD76" s="301">
        <f t="shared" si="97"/>
        <v>0</v>
      </c>
      <c r="FH76" s="300">
        <f t="shared" si="98"/>
        <v>0</v>
      </c>
      <c r="FL76" s="301">
        <f t="shared" si="19"/>
        <v>0</v>
      </c>
      <c r="FP76" s="301">
        <f t="shared" ref="FP76:FP139" si="108">FO76-FN76</f>
        <v>0</v>
      </c>
      <c r="FT76" s="301">
        <f t="shared" si="99"/>
        <v>0</v>
      </c>
      <c r="FX76" s="301">
        <f t="shared" si="100"/>
        <v>0</v>
      </c>
      <c r="GB76" s="301">
        <f t="shared" si="101"/>
        <v>0</v>
      </c>
      <c r="GF76" s="301">
        <f t="shared" ref="GF76:GF104" si="109">GE76-GD76</f>
        <v>0</v>
      </c>
      <c r="GJ76" s="301">
        <f t="shared" ref="GJ76:GJ118" si="110">GI76-GH76</f>
        <v>0</v>
      </c>
      <c r="GN76" s="301">
        <f t="shared" si="103"/>
        <v>0</v>
      </c>
      <c r="GR76" s="301">
        <f t="shared" si="104"/>
        <v>0</v>
      </c>
      <c r="GV76" s="301">
        <f t="shared" si="105"/>
        <v>0</v>
      </c>
      <c r="GZ76" s="301">
        <f t="shared" si="106"/>
        <v>0</v>
      </c>
      <c r="HA76" s="328"/>
      <c r="HB76" s="339"/>
      <c r="HC76" s="286"/>
      <c r="HD76" s="286"/>
      <c r="HE76" s="286"/>
      <c r="HF76" s="286"/>
      <c r="HG76" s="286"/>
      <c r="HH76" s="286"/>
      <c r="HI76" s="286"/>
      <c r="HJ76" s="286"/>
      <c r="HK76" s="286"/>
      <c r="HL76" s="286"/>
      <c r="HM76" s="286"/>
      <c r="HN76" s="286"/>
      <c r="HO76" s="286"/>
      <c r="HP76" s="286"/>
      <c r="HQ76" s="286"/>
      <c r="HR76" s="286"/>
      <c r="HS76" s="306"/>
      <c r="HT76" s="306"/>
      <c r="HU76" s="306"/>
      <c r="HV76" s="306"/>
      <c r="HW76" s="286"/>
      <c r="HX76" s="286"/>
      <c r="HY76" s="286"/>
      <c r="HZ76" s="286"/>
      <c r="IA76" s="286"/>
      <c r="IB76" s="286"/>
      <c r="IC76" s="286"/>
      <c r="ID76" s="286"/>
      <c r="IE76" s="286"/>
      <c r="IF76" s="286"/>
      <c r="IG76" s="286"/>
      <c r="IH76" s="286"/>
      <c r="II76" s="286"/>
      <c r="IJ76" s="286"/>
      <c r="IK76" s="286"/>
      <c r="IL76" s="286"/>
      <c r="IM76" s="286"/>
      <c r="IN76" s="286"/>
      <c r="IO76" s="286"/>
      <c r="IP76" s="286"/>
      <c r="IQ76" s="286"/>
      <c r="IR76" s="286"/>
      <c r="IS76" s="286"/>
      <c r="IT76" s="286"/>
      <c r="IU76" s="286"/>
      <c r="IV76" s="286"/>
    </row>
    <row r="77" spans="1:256" s="338" customFormat="1" ht="13.5" hidden="1" customHeight="1">
      <c r="A77" s="912"/>
      <c r="B77" s="341"/>
      <c r="C77" s="380" t="s">
        <v>228</v>
      </c>
      <c r="D77" s="381" t="s">
        <v>162</v>
      </c>
      <c r="E77" s="299">
        <f t="shared" ref="E77:H78" si="111">I77+M77+Q77+U77+Y77+AC77+AG77+AK77+AO77+AS77+AW77+BA77+BE77+BI77+BM77+BQ77+BU77+BY77+CC77+CG77+CK77+CO77+CS77+CW77+DA77+DE77+DI77+DM77+DQ77+DU77+DY77+EC77+EG77+EK77+EO77+ES77+EW77+FA77+FE77+FI77+FM77+FQ77+FU77+FY77+GC77+GK77+GG77+GO77+GS77+GW77</f>
        <v>11.631600000000001</v>
      </c>
      <c r="F77" s="299">
        <f t="shared" si="111"/>
        <v>319.636368</v>
      </c>
      <c r="G77" s="299">
        <f t="shared" si="111"/>
        <v>319.636368</v>
      </c>
      <c r="H77" s="299">
        <f t="shared" si="111"/>
        <v>0</v>
      </c>
      <c r="L77" s="301">
        <f t="shared" si="25"/>
        <v>0</v>
      </c>
      <c r="P77" s="301">
        <f t="shared" si="26"/>
        <v>0</v>
      </c>
      <c r="T77" s="301">
        <f t="shared" si="27"/>
        <v>0</v>
      </c>
      <c r="X77" s="301">
        <f t="shared" si="28"/>
        <v>0</v>
      </c>
      <c r="AB77" s="301">
        <f t="shared" si="29"/>
        <v>0</v>
      </c>
      <c r="AF77" s="300">
        <f t="shared" si="30"/>
        <v>0</v>
      </c>
      <c r="AJ77" s="300">
        <f t="shared" si="31"/>
        <v>0</v>
      </c>
      <c r="AN77" s="301">
        <f t="shared" si="32"/>
        <v>0</v>
      </c>
      <c r="AR77" s="300">
        <f t="shared" si="33"/>
        <v>0</v>
      </c>
      <c r="AV77" s="301">
        <f t="shared" si="34"/>
        <v>0</v>
      </c>
      <c r="AZ77" s="301">
        <f t="shared" si="35"/>
        <v>0</v>
      </c>
      <c r="BD77" s="301">
        <f t="shared" si="36"/>
        <v>0</v>
      </c>
      <c r="BH77" s="301">
        <f t="shared" si="37"/>
        <v>0</v>
      </c>
      <c r="BL77" s="301">
        <f t="shared" si="38"/>
        <v>0</v>
      </c>
      <c r="BP77" s="301">
        <f t="shared" si="52"/>
        <v>0</v>
      </c>
      <c r="BT77" s="301">
        <f t="shared" si="39"/>
        <v>0</v>
      </c>
      <c r="BX77" s="301">
        <f t="shared" si="40"/>
        <v>0</v>
      </c>
      <c r="BY77" s="338">
        <f>'[1]ОАО ДК ЖД р-на'!K463/1000</f>
        <v>11.631600000000001</v>
      </c>
      <c r="BZ77" s="338">
        <f>'[1]ОАО ДК ЖД р-на'!L463/1000</f>
        <v>319.636368</v>
      </c>
      <c r="CA77" s="338">
        <f>'[1]ОАО ДК ЖД р-на'!M463/1000</f>
        <v>319.636368</v>
      </c>
      <c r="CB77" s="301">
        <f t="shared" si="41"/>
        <v>0</v>
      </c>
      <c r="CF77" s="300">
        <f t="shared" si="107"/>
        <v>0</v>
      </c>
      <c r="CJ77" s="301">
        <f t="shared" si="0"/>
        <v>0</v>
      </c>
      <c r="CN77" s="301">
        <f t="shared" si="84"/>
        <v>0</v>
      </c>
      <c r="CR77" s="301">
        <f t="shared" si="85"/>
        <v>0</v>
      </c>
      <c r="CV77" s="301">
        <f t="shared" si="86"/>
        <v>0</v>
      </c>
      <c r="CZ77" s="301">
        <f t="shared" si="87"/>
        <v>0</v>
      </c>
      <c r="DD77" s="300">
        <f t="shared" si="5"/>
        <v>0</v>
      </c>
      <c r="DH77" s="301">
        <f t="shared" si="88"/>
        <v>0</v>
      </c>
      <c r="DL77" s="301">
        <f t="shared" si="50"/>
        <v>0</v>
      </c>
      <c r="DP77" s="301">
        <f t="shared" si="82"/>
        <v>0</v>
      </c>
      <c r="DT77" s="300">
        <f t="shared" si="89"/>
        <v>0</v>
      </c>
      <c r="DX77" s="301">
        <f t="shared" si="9"/>
        <v>0</v>
      </c>
      <c r="EB77" s="301">
        <f t="shared" si="90"/>
        <v>0</v>
      </c>
      <c r="EF77" s="301">
        <f t="shared" si="91"/>
        <v>0</v>
      </c>
      <c r="EJ77" s="301">
        <f t="shared" si="92"/>
        <v>0</v>
      </c>
      <c r="EN77" s="301">
        <f t="shared" si="93"/>
        <v>0</v>
      </c>
      <c r="ER77" s="300">
        <f t="shared" si="94"/>
        <v>0</v>
      </c>
      <c r="EV77" s="300">
        <f t="shared" si="95"/>
        <v>0</v>
      </c>
      <c r="EZ77" s="301">
        <f t="shared" si="96"/>
        <v>0</v>
      </c>
      <c r="FD77" s="301">
        <f t="shared" si="97"/>
        <v>0</v>
      </c>
      <c r="FH77" s="300">
        <f t="shared" si="98"/>
        <v>0</v>
      </c>
      <c r="FL77" s="301">
        <f t="shared" si="19"/>
        <v>0</v>
      </c>
      <c r="FP77" s="301">
        <f t="shared" si="108"/>
        <v>0</v>
      </c>
      <c r="FT77" s="301">
        <f t="shared" si="99"/>
        <v>0</v>
      </c>
      <c r="FX77" s="301">
        <f t="shared" si="100"/>
        <v>0</v>
      </c>
      <c r="GB77" s="301">
        <f t="shared" si="101"/>
        <v>0</v>
      </c>
      <c r="GF77" s="301">
        <f t="shared" si="109"/>
        <v>0</v>
      </c>
      <c r="GJ77" s="301">
        <f t="shared" si="110"/>
        <v>0</v>
      </c>
      <c r="GN77" s="301">
        <f t="shared" si="103"/>
        <v>0</v>
      </c>
      <c r="GR77" s="301">
        <f t="shared" si="104"/>
        <v>0</v>
      </c>
      <c r="GV77" s="301">
        <f t="shared" si="105"/>
        <v>0</v>
      </c>
      <c r="GZ77" s="301">
        <f t="shared" si="106"/>
        <v>0</v>
      </c>
      <c r="HA77" s="328"/>
      <c r="HB77" s="339"/>
      <c r="HC77" s="286"/>
      <c r="HD77" s="286"/>
      <c r="HE77" s="286"/>
      <c r="HF77" s="286"/>
      <c r="HG77" s="286"/>
      <c r="HH77" s="286"/>
      <c r="HI77" s="286"/>
      <c r="HJ77" s="286"/>
      <c r="HK77" s="286"/>
      <c r="HL77" s="286"/>
      <c r="HM77" s="286"/>
      <c r="HN77" s="286"/>
      <c r="HO77" s="286"/>
      <c r="HP77" s="286"/>
      <c r="HQ77" s="286"/>
      <c r="HR77" s="286"/>
      <c r="HS77" s="306"/>
      <c r="HT77" s="306"/>
      <c r="HU77" s="306"/>
      <c r="HV77" s="306"/>
      <c r="HW77" s="286"/>
      <c r="HX77" s="286"/>
      <c r="HY77" s="286"/>
      <c r="HZ77" s="286"/>
      <c r="IA77" s="286"/>
      <c r="IB77" s="286"/>
      <c r="IC77" s="286"/>
      <c r="ID77" s="286"/>
      <c r="IE77" s="286"/>
      <c r="IF77" s="286"/>
      <c r="IG77" s="286"/>
      <c r="IH77" s="286"/>
      <c r="II77" s="286"/>
      <c r="IJ77" s="286"/>
      <c r="IK77" s="286"/>
      <c r="IL77" s="286"/>
      <c r="IM77" s="286"/>
      <c r="IN77" s="286"/>
      <c r="IO77" s="286"/>
      <c r="IP77" s="286"/>
      <c r="IQ77" s="286"/>
      <c r="IR77" s="286"/>
      <c r="IS77" s="286"/>
      <c r="IT77" s="286"/>
      <c r="IU77" s="286"/>
      <c r="IV77" s="286"/>
    </row>
    <row r="78" spans="1:256" s="338" customFormat="1" ht="13.5" hidden="1" customHeight="1">
      <c r="A78" s="912"/>
      <c r="B78" s="341"/>
      <c r="C78" s="380" t="s">
        <v>229</v>
      </c>
      <c r="D78" s="381" t="s">
        <v>162</v>
      </c>
      <c r="E78" s="299">
        <f t="shared" si="111"/>
        <v>1.0248599999999999</v>
      </c>
      <c r="F78" s="299">
        <f t="shared" si="111"/>
        <v>0</v>
      </c>
      <c r="G78" s="299">
        <f t="shared" si="111"/>
        <v>0</v>
      </c>
      <c r="H78" s="299">
        <f t="shared" si="111"/>
        <v>0</v>
      </c>
      <c r="L78" s="301">
        <f t="shared" si="25"/>
        <v>0</v>
      </c>
      <c r="P78" s="301">
        <f t="shared" si="26"/>
        <v>0</v>
      </c>
      <c r="T78" s="301">
        <f t="shared" si="27"/>
        <v>0</v>
      </c>
      <c r="X78" s="301">
        <f t="shared" si="28"/>
        <v>0</v>
      </c>
      <c r="AB78" s="301">
        <f t="shared" si="29"/>
        <v>0</v>
      </c>
      <c r="AF78" s="300">
        <f t="shared" si="30"/>
        <v>0</v>
      </c>
      <c r="AJ78" s="300">
        <f t="shared" si="31"/>
        <v>0</v>
      </c>
      <c r="AN78" s="301">
        <f t="shared" si="32"/>
        <v>0</v>
      </c>
      <c r="AR78" s="300">
        <f t="shared" si="33"/>
        <v>0</v>
      </c>
      <c r="AV78" s="301">
        <f t="shared" si="34"/>
        <v>0</v>
      </c>
      <c r="AZ78" s="301">
        <f t="shared" si="35"/>
        <v>0</v>
      </c>
      <c r="BD78" s="301">
        <f t="shared" si="36"/>
        <v>0</v>
      </c>
      <c r="BH78" s="301">
        <f t="shared" si="37"/>
        <v>0</v>
      </c>
      <c r="BL78" s="301">
        <f t="shared" si="38"/>
        <v>0</v>
      </c>
      <c r="BP78" s="301">
        <f t="shared" si="52"/>
        <v>0</v>
      </c>
      <c r="BT78" s="301">
        <f t="shared" si="39"/>
        <v>0</v>
      </c>
      <c r="BX78" s="301">
        <f t="shared" si="40"/>
        <v>0</v>
      </c>
      <c r="BY78" s="338">
        <f>'[1]ОАО ДК ЖД р-на'!K466/1000</f>
        <v>1.0248599999999999</v>
      </c>
      <c r="BZ78" s="310">
        <f>'[1]ОАО ДК ЖД р-на'!L466/1000*0</f>
        <v>0</v>
      </c>
      <c r="CA78" s="310">
        <f>'[1]ОАО ДК ЖД р-на'!M466/1000*0</f>
        <v>0</v>
      </c>
      <c r="CB78" s="301">
        <f t="shared" si="41"/>
        <v>0</v>
      </c>
      <c r="CF78" s="300">
        <f t="shared" si="107"/>
        <v>0</v>
      </c>
      <c r="CJ78" s="301">
        <f t="shared" si="0"/>
        <v>0</v>
      </c>
      <c r="CN78" s="301">
        <f t="shared" si="84"/>
        <v>0</v>
      </c>
      <c r="CR78" s="301">
        <f t="shared" si="85"/>
        <v>0</v>
      </c>
      <c r="CV78" s="301">
        <f t="shared" si="86"/>
        <v>0</v>
      </c>
      <c r="CZ78" s="301">
        <f t="shared" si="87"/>
        <v>0</v>
      </c>
      <c r="DD78" s="300">
        <f t="shared" si="5"/>
        <v>0</v>
      </c>
      <c r="DH78" s="301">
        <f t="shared" si="88"/>
        <v>0</v>
      </c>
      <c r="DL78" s="301">
        <f t="shared" si="50"/>
        <v>0</v>
      </c>
      <c r="DP78" s="301">
        <f t="shared" si="82"/>
        <v>0</v>
      </c>
      <c r="DT78" s="300">
        <f t="shared" si="89"/>
        <v>0</v>
      </c>
      <c r="DX78" s="301">
        <f t="shared" si="9"/>
        <v>0</v>
      </c>
      <c r="EB78" s="301">
        <f t="shared" si="90"/>
        <v>0</v>
      </c>
      <c r="EF78" s="301">
        <f t="shared" si="91"/>
        <v>0</v>
      </c>
      <c r="EJ78" s="301">
        <f t="shared" si="92"/>
        <v>0</v>
      </c>
      <c r="EN78" s="301">
        <f t="shared" si="93"/>
        <v>0</v>
      </c>
      <c r="ER78" s="300">
        <f t="shared" si="94"/>
        <v>0</v>
      </c>
      <c r="EV78" s="300">
        <f t="shared" si="95"/>
        <v>0</v>
      </c>
      <c r="EZ78" s="301">
        <f t="shared" si="96"/>
        <v>0</v>
      </c>
      <c r="FD78" s="301">
        <f t="shared" si="97"/>
        <v>0</v>
      </c>
      <c r="FH78" s="300">
        <f t="shared" si="98"/>
        <v>0</v>
      </c>
      <c r="FL78" s="301">
        <f t="shared" si="19"/>
        <v>0</v>
      </c>
      <c r="FP78" s="301">
        <f t="shared" si="108"/>
        <v>0</v>
      </c>
      <c r="FT78" s="301">
        <f t="shared" si="99"/>
        <v>0</v>
      </c>
      <c r="FX78" s="301">
        <f t="shared" si="100"/>
        <v>0</v>
      </c>
      <c r="GB78" s="301">
        <f t="shared" si="101"/>
        <v>0</v>
      </c>
      <c r="GF78" s="301">
        <f t="shared" si="109"/>
        <v>0</v>
      </c>
      <c r="GJ78" s="301">
        <f t="shared" si="110"/>
        <v>0</v>
      </c>
      <c r="GN78" s="301">
        <f t="shared" si="103"/>
        <v>0</v>
      </c>
      <c r="GR78" s="301">
        <f t="shared" si="104"/>
        <v>0</v>
      </c>
      <c r="GV78" s="301">
        <f t="shared" si="105"/>
        <v>0</v>
      </c>
      <c r="GZ78" s="301">
        <f t="shared" si="106"/>
        <v>0</v>
      </c>
      <c r="HA78" s="328"/>
      <c r="HB78" s="339"/>
      <c r="HC78" s="286"/>
      <c r="HD78" s="286"/>
      <c r="HE78" s="286"/>
      <c r="HF78" s="286"/>
      <c r="HG78" s="286"/>
      <c r="HH78" s="286"/>
      <c r="HI78" s="286"/>
      <c r="HJ78" s="286"/>
      <c r="HK78" s="286"/>
      <c r="HL78" s="286"/>
      <c r="HM78" s="286"/>
      <c r="HN78" s="286"/>
      <c r="HO78" s="286"/>
      <c r="HP78" s="286"/>
      <c r="HQ78" s="286"/>
      <c r="HR78" s="286"/>
      <c r="HS78" s="306"/>
      <c r="HT78" s="306"/>
      <c r="HU78" s="306"/>
      <c r="HV78" s="306"/>
      <c r="HW78" s="286"/>
      <c r="HX78" s="286"/>
      <c r="HY78" s="286"/>
      <c r="HZ78" s="286"/>
      <c r="IA78" s="286"/>
      <c r="IB78" s="286"/>
      <c r="IC78" s="286"/>
      <c r="ID78" s="286"/>
      <c r="IE78" s="286"/>
      <c r="IF78" s="286"/>
      <c r="IG78" s="286"/>
      <c r="IH78" s="286"/>
      <c r="II78" s="286"/>
      <c r="IJ78" s="286"/>
      <c r="IK78" s="286"/>
      <c r="IL78" s="286"/>
      <c r="IM78" s="286"/>
      <c r="IN78" s="286"/>
      <c r="IO78" s="286"/>
      <c r="IP78" s="286"/>
      <c r="IQ78" s="286"/>
      <c r="IR78" s="286"/>
      <c r="IS78" s="286"/>
      <c r="IT78" s="286"/>
      <c r="IU78" s="286"/>
      <c r="IV78" s="286"/>
    </row>
    <row r="79" spans="1:256" s="338" customFormat="1" ht="13.5" hidden="1" customHeight="1">
      <c r="A79" s="912"/>
      <c r="B79" s="341"/>
      <c r="C79" s="382" t="s">
        <v>237</v>
      </c>
      <c r="D79" s="381" t="s">
        <v>162</v>
      </c>
      <c r="E79" s="301">
        <f>SUM(E80:E81)</f>
        <v>1.75156</v>
      </c>
      <c r="F79" s="301">
        <f>SUM(F80:F81)</f>
        <v>28.673037200000003</v>
      </c>
      <c r="G79" s="301">
        <f>SUM(G80:G81)</f>
        <v>28.673037200000003</v>
      </c>
      <c r="H79" s="301">
        <f>SUM(H80:H81)</f>
        <v>0</v>
      </c>
      <c r="L79" s="301">
        <f t="shared" si="25"/>
        <v>0</v>
      </c>
      <c r="P79" s="301">
        <f t="shared" si="26"/>
        <v>0</v>
      </c>
      <c r="T79" s="301">
        <f t="shared" si="27"/>
        <v>0</v>
      </c>
      <c r="X79" s="301">
        <f t="shared" si="28"/>
        <v>0</v>
      </c>
      <c r="AB79" s="301">
        <f t="shared" si="29"/>
        <v>0</v>
      </c>
      <c r="AF79" s="300">
        <f t="shared" si="30"/>
        <v>0</v>
      </c>
      <c r="AJ79" s="300">
        <f t="shared" si="31"/>
        <v>0</v>
      </c>
      <c r="AN79" s="301">
        <f t="shared" si="32"/>
        <v>0</v>
      </c>
      <c r="AR79" s="300">
        <f t="shared" si="33"/>
        <v>0</v>
      </c>
      <c r="AV79" s="301">
        <f t="shared" si="34"/>
        <v>0</v>
      </c>
      <c r="AZ79" s="301">
        <f t="shared" si="35"/>
        <v>0</v>
      </c>
      <c r="BD79" s="301">
        <f t="shared" si="36"/>
        <v>0</v>
      </c>
      <c r="BH79" s="301">
        <f t="shared" si="37"/>
        <v>0</v>
      </c>
      <c r="BL79" s="301">
        <f t="shared" si="38"/>
        <v>0</v>
      </c>
      <c r="BP79" s="301">
        <f t="shared" si="52"/>
        <v>0</v>
      </c>
      <c r="BT79" s="301">
        <f t="shared" si="39"/>
        <v>0</v>
      </c>
      <c r="BX79" s="301">
        <f t="shared" si="40"/>
        <v>0</v>
      </c>
      <c r="CB79" s="301">
        <f t="shared" si="41"/>
        <v>0</v>
      </c>
      <c r="CF79" s="300">
        <f t="shared" si="107"/>
        <v>0</v>
      </c>
      <c r="CJ79" s="301">
        <f t="shared" si="0"/>
        <v>0</v>
      </c>
      <c r="CN79" s="301">
        <f t="shared" si="84"/>
        <v>0</v>
      </c>
      <c r="CR79" s="301">
        <f t="shared" si="85"/>
        <v>0</v>
      </c>
      <c r="CV79" s="301">
        <f t="shared" si="86"/>
        <v>0</v>
      </c>
      <c r="CW79" s="301">
        <f>CW80+CW81</f>
        <v>1.75156</v>
      </c>
      <c r="CX79" s="301">
        <f>CX80+CX81</f>
        <v>28.673037200000003</v>
      </c>
      <c r="CY79" s="301">
        <f>CY80+CY81</f>
        <v>28.673037200000003</v>
      </c>
      <c r="CZ79" s="301">
        <f t="shared" si="87"/>
        <v>0</v>
      </c>
      <c r="DD79" s="300">
        <f t="shared" si="5"/>
        <v>0</v>
      </c>
      <c r="DH79" s="301">
        <f t="shared" si="88"/>
        <v>0</v>
      </c>
      <c r="DL79" s="301">
        <f t="shared" si="50"/>
        <v>0</v>
      </c>
      <c r="DP79" s="301">
        <f t="shared" si="82"/>
        <v>0</v>
      </c>
      <c r="DT79" s="300">
        <f t="shared" si="89"/>
        <v>0</v>
      </c>
      <c r="DX79" s="301">
        <f t="shared" ref="DX79:DX145" si="112">DW79-DV79</f>
        <v>0</v>
      </c>
      <c r="EB79" s="301">
        <f t="shared" si="90"/>
        <v>0</v>
      </c>
      <c r="EF79" s="301">
        <f t="shared" si="91"/>
        <v>0</v>
      </c>
      <c r="EJ79" s="301">
        <f t="shared" si="92"/>
        <v>0</v>
      </c>
      <c r="EN79" s="301">
        <f t="shared" si="93"/>
        <v>0</v>
      </c>
      <c r="ER79" s="300">
        <f t="shared" si="94"/>
        <v>0</v>
      </c>
      <c r="EV79" s="300">
        <f t="shared" si="95"/>
        <v>0</v>
      </c>
      <c r="EZ79" s="301">
        <f t="shared" si="96"/>
        <v>0</v>
      </c>
      <c r="FD79" s="301">
        <f t="shared" si="97"/>
        <v>0</v>
      </c>
      <c r="FH79" s="300">
        <f t="shared" si="98"/>
        <v>0</v>
      </c>
      <c r="FL79" s="301">
        <f t="shared" ref="FL79:FL145" si="113">FK79-FJ79</f>
        <v>0</v>
      </c>
      <c r="FP79" s="301">
        <f t="shared" si="108"/>
        <v>0</v>
      </c>
      <c r="FT79" s="301">
        <f t="shared" si="99"/>
        <v>0</v>
      </c>
      <c r="FX79" s="301">
        <f t="shared" si="100"/>
        <v>0</v>
      </c>
      <c r="GB79" s="301">
        <f t="shared" si="101"/>
        <v>0</v>
      </c>
      <c r="GF79" s="301">
        <f t="shared" si="109"/>
        <v>0</v>
      </c>
      <c r="GJ79" s="301">
        <f t="shared" si="110"/>
        <v>0</v>
      </c>
      <c r="GN79" s="301">
        <f t="shared" si="103"/>
        <v>0</v>
      </c>
      <c r="GR79" s="301">
        <f t="shared" si="104"/>
        <v>0</v>
      </c>
      <c r="GV79" s="301">
        <f t="shared" si="105"/>
        <v>0</v>
      </c>
      <c r="GZ79" s="301">
        <f t="shared" si="106"/>
        <v>0</v>
      </c>
      <c r="HA79" s="328"/>
      <c r="HB79" s="339"/>
      <c r="HC79" s="286"/>
      <c r="HD79" s="286"/>
      <c r="HE79" s="286"/>
      <c r="HF79" s="286"/>
      <c r="HG79" s="286"/>
      <c r="HH79" s="286"/>
      <c r="HI79" s="286"/>
      <c r="HJ79" s="286"/>
      <c r="HK79" s="286"/>
      <c r="HL79" s="286"/>
      <c r="HM79" s="286"/>
      <c r="HN79" s="286"/>
      <c r="HO79" s="286"/>
      <c r="HP79" s="286"/>
      <c r="HQ79" s="286"/>
      <c r="HR79" s="286"/>
      <c r="HS79" s="306"/>
      <c r="HT79" s="306"/>
      <c r="HU79" s="306"/>
      <c r="HV79" s="306"/>
      <c r="HW79" s="286"/>
      <c r="HX79" s="286"/>
      <c r="HY79" s="286"/>
      <c r="HZ79" s="286"/>
      <c r="IA79" s="286"/>
      <c r="IB79" s="286"/>
      <c r="IC79" s="286"/>
      <c r="ID79" s="286"/>
      <c r="IE79" s="286"/>
      <c r="IF79" s="286"/>
      <c r="IG79" s="286"/>
      <c r="IH79" s="286"/>
      <c r="II79" s="286"/>
      <c r="IJ79" s="286"/>
      <c r="IK79" s="286"/>
      <c r="IL79" s="286"/>
      <c r="IM79" s="286"/>
      <c r="IN79" s="286"/>
      <c r="IO79" s="286"/>
      <c r="IP79" s="286"/>
      <c r="IQ79" s="286"/>
      <c r="IR79" s="286"/>
      <c r="IS79" s="286"/>
      <c r="IT79" s="286"/>
      <c r="IU79" s="286"/>
      <c r="IV79" s="286"/>
    </row>
    <row r="80" spans="1:256" s="338" customFormat="1" ht="13.5" hidden="1" customHeight="1">
      <c r="A80" s="912"/>
      <c r="B80" s="341"/>
      <c r="C80" s="380" t="s">
        <v>228</v>
      </c>
      <c r="D80" s="381" t="s">
        <v>162</v>
      </c>
      <c r="E80" s="299">
        <f t="shared" ref="E80:H81" si="114">I80+M80+Q80+U80+Y80+AC80+AG80+AK80+AO80+AS80+AW80+BA80+BE80+BI80+BM80+BQ80+BU80+BY80+CC80+CG80+CK80+CO80+CS80+CW80+DA80+DE80+DI80+DM80+DQ80+DU80+DY80+EC80+EG80+EK80+EO80+ES80+EW80+FA80+FE80+FI80+FM80+FQ80+FU80+FY80+GC80+GK80+GG80+GO80+GS80+GW80</f>
        <v>1.75156</v>
      </c>
      <c r="F80" s="299">
        <f t="shared" si="114"/>
        <v>28.673037200000003</v>
      </c>
      <c r="G80" s="299">
        <f t="shared" si="114"/>
        <v>28.673037200000003</v>
      </c>
      <c r="H80" s="299">
        <f t="shared" si="114"/>
        <v>0</v>
      </c>
      <c r="L80" s="301">
        <f t="shared" si="25"/>
        <v>0</v>
      </c>
      <c r="P80" s="301">
        <f t="shared" si="26"/>
        <v>0</v>
      </c>
      <c r="T80" s="301">
        <f t="shared" si="27"/>
        <v>0</v>
      </c>
      <c r="X80" s="301">
        <f t="shared" si="28"/>
        <v>0</v>
      </c>
      <c r="AB80" s="301">
        <f t="shared" si="29"/>
        <v>0</v>
      </c>
      <c r="AF80" s="300">
        <f t="shared" si="30"/>
        <v>0</v>
      </c>
      <c r="AJ80" s="300">
        <f t="shared" si="31"/>
        <v>0</v>
      </c>
      <c r="AN80" s="301">
        <f t="shared" si="32"/>
        <v>0</v>
      </c>
      <c r="AR80" s="300">
        <f t="shared" si="33"/>
        <v>0</v>
      </c>
      <c r="AV80" s="301">
        <f t="shared" si="34"/>
        <v>0</v>
      </c>
      <c r="AZ80" s="301">
        <f t="shared" si="35"/>
        <v>0</v>
      </c>
      <c r="BD80" s="301">
        <f t="shared" si="36"/>
        <v>0</v>
      </c>
      <c r="BH80" s="301">
        <f t="shared" si="37"/>
        <v>0</v>
      </c>
      <c r="BL80" s="301">
        <f t="shared" si="38"/>
        <v>0</v>
      </c>
      <c r="BP80" s="301">
        <f t="shared" si="52"/>
        <v>0</v>
      </c>
      <c r="BT80" s="301">
        <f t="shared" si="39"/>
        <v>0</v>
      </c>
      <c r="BX80" s="301">
        <f t="shared" si="40"/>
        <v>0</v>
      </c>
      <c r="CB80" s="301">
        <f t="shared" si="41"/>
        <v>0</v>
      </c>
      <c r="CF80" s="300">
        <f t="shared" si="107"/>
        <v>0</v>
      </c>
      <c r="CJ80" s="301">
        <f t="shared" si="0"/>
        <v>0</v>
      </c>
      <c r="CN80" s="301">
        <f t="shared" si="84"/>
        <v>0</v>
      </c>
      <c r="CR80" s="301">
        <f t="shared" si="85"/>
        <v>0</v>
      </c>
      <c r="CV80" s="301">
        <f t="shared" si="86"/>
        <v>0</v>
      </c>
      <c r="CW80" s="338">
        <f>'[1]Пр-т Гая'!K170/1000</f>
        <v>1.75156</v>
      </c>
      <c r="CX80" s="338">
        <f>'[1]Пр-т Гая'!L170/1000</f>
        <v>28.673037200000003</v>
      </c>
      <c r="CY80" s="338">
        <f>'[1]Пр-т Гая'!M170/1000</f>
        <v>28.673037200000003</v>
      </c>
      <c r="CZ80" s="301">
        <f t="shared" si="87"/>
        <v>0</v>
      </c>
      <c r="DD80" s="300">
        <f t="shared" si="5"/>
        <v>0</v>
      </c>
      <c r="DH80" s="301">
        <f t="shared" si="88"/>
        <v>0</v>
      </c>
      <c r="DL80" s="301">
        <f t="shared" si="50"/>
        <v>0</v>
      </c>
      <c r="DP80" s="301">
        <f t="shared" si="82"/>
        <v>0</v>
      </c>
      <c r="DT80" s="300">
        <f t="shared" si="89"/>
        <v>0</v>
      </c>
      <c r="DX80" s="301">
        <f t="shared" si="112"/>
        <v>0</v>
      </c>
      <c r="EB80" s="301">
        <f t="shared" si="90"/>
        <v>0</v>
      </c>
      <c r="EF80" s="301">
        <f t="shared" si="91"/>
        <v>0</v>
      </c>
      <c r="EJ80" s="301">
        <f t="shared" si="92"/>
        <v>0</v>
      </c>
      <c r="EN80" s="301">
        <f t="shared" si="93"/>
        <v>0</v>
      </c>
      <c r="ER80" s="300">
        <f t="shared" si="94"/>
        <v>0</v>
      </c>
      <c r="EV80" s="300">
        <f t="shared" si="95"/>
        <v>0</v>
      </c>
      <c r="EZ80" s="301">
        <f t="shared" si="96"/>
        <v>0</v>
      </c>
      <c r="FD80" s="301">
        <f t="shared" si="97"/>
        <v>0</v>
      </c>
      <c r="FH80" s="300">
        <f t="shared" si="98"/>
        <v>0</v>
      </c>
      <c r="FL80" s="301">
        <f t="shared" si="113"/>
        <v>0</v>
      </c>
      <c r="FP80" s="301">
        <f t="shared" si="108"/>
        <v>0</v>
      </c>
      <c r="FT80" s="301">
        <f t="shared" si="99"/>
        <v>0</v>
      </c>
      <c r="FX80" s="301">
        <f t="shared" si="100"/>
        <v>0</v>
      </c>
      <c r="GB80" s="301">
        <f t="shared" si="101"/>
        <v>0</v>
      </c>
      <c r="GF80" s="301">
        <f t="shared" si="109"/>
        <v>0</v>
      </c>
      <c r="GJ80" s="301">
        <f t="shared" si="110"/>
        <v>0</v>
      </c>
      <c r="GN80" s="301">
        <f t="shared" si="103"/>
        <v>0</v>
      </c>
      <c r="GR80" s="301">
        <f t="shared" si="104"/>
        <v>0</v>
      </c>
      <c r="GV80" s="301">
        <f t="shared" si="105"/>
        <v>0</v>
      </c>
      <c r="GZ80" s="301">
        <f t="shared" si="106"/>
        <v>0</v>
      </c>
      <c r="HA80" s="328"/>
      <c r="HB80" s="339"/>
      <c r="HC80" s="286"/>
      <c r="HD80" s="286"/>
      <c r="HE80" s="286"/>
      <c r="HF80" s="286"/>
      <c r="HG80" s="286"/>
      <c r="HH80" s="286"/>
      <c r="HI80" s="286"/>
      <c r="HJ80" s="286"/>
      <c r="HK80" s="286"/>
      <c r="HL80" s="286"/>
      <c r="HM80" s="286"/>
      <c r="HN80" s="286"/>
      <c r="HO80" s="286"/>
      <c r="HP80" s="286"/>
      <c r="HQ80" s="286"/>
      <c r="HR80" s="286"/>
      <c r="HS80" s="306"/>
      <c r="HT80" s="306"/>
      <c r="HU80" s="306"/>
      <c r="HV80" s="306"/>
      <c r="HW80" s="286"/>
      <c r="HX80" s="286"/>
      <c r="HY80" s="286"/>
      <c r="HZ80" s="286"/>
      <c r="IA80" s="286"/>
      <c r="IB80" s="286"/>
      <c r="IC80" s="286"/>
      <c r="ID80" s="286"/>
      <c r="IE80" s="286"/>
      <c r="IF80" s="286"/>
      <c r="IG80" s="286"/>
      <c r="IH80" s="286"/>
      <c r="II80" s="286"/>
      <c r="IJ80" s="286"/>
      <c r="IK80" s="286"/>
      <c r="IL80" s="286"/>
      <c r="IM80" s="286"/>
      <c r="IN80" s="286"/>
      <c r="IO80" s="286"/>
      <c r="IP80" s="286"/>
      <c r="IQ80" s="286"/>
      <c r="IR80" s="286"/>
      <c r="IS80" s="286"/>
      <c r="IT80" s="286"/>
      <c r="IU80" s="286"/>
      <c r="IV80" s="286"/>
    </row>
    <row r="81" spans="1:256" s="338" customFormat="1" ht="13.5" hidden="1" customHeight="1">
      <c r="A81" s="912"/>
      <c r="B81" s="341"/>
      <c r="C81" s="380" t="s">
        <v>229</v>
      </c>
      <c r="D81" s="381" t="s">
        <v>162</v>
      </c>
      <c r="E81" s="299">
        <f t="shared" si="114"/>
        <v>0</v>
      </c>
      <c r="F81" s="299">
        <f t="shared" si="114"/>
        <v>0</v>
      </c>
      <c r="G81" s="299">
        <f t="shared" si="114"/>
        <v>0</v>
      </c>
      <c r="H81" s="299">
        <f t="shared" si="114"/>
        <v>0</v>
      </c>
      <c r="L81" s="301">
        <f t="shared" si="25"/>
        <v>0</v>
      </c>
      <c r="P81" s="301">
        <f t="shared" si="26"/>
        <v>0</v>
      </c>
      <c r="T81" s="301">
        <f t="shared" si="27"/>
        <v>0</v>
      </c>
      <c r="X81" s="301">
        <f t="shared" si="28"/>
        <v>0</v>
      </c>
      <c r="AB81" s="301">
        <f t="shared" si="29"/>
        <v>0</v>
      </c>
      <c r="AF81" s="300">
        <f t="shared" si="30"/>
        <v>0</v>
      </c>
      <c r="AJ81" s="300">
        <f t="shared" si="31"/>
        <v>0</v>
      </c>
      <c r="AN81" s="301">
        <f t="shared" si="32"/>
        <v>0</v>
      </c>
      <c r="AR81" s="300">
        <f t="shared" si="33"/>
        <v>0</v>
      </c>
      <c r="AV81" s="301">
        <f t="shared" si="34"/>
        <v>0</v>
      </c>
      <c r="AZ81" s="301">
        <f t="shared" si="35"/>
        <v>0</v>
      </c>
      <c r="BD81" s="301">
        <f t="shared" si="36"/>
        <v>0</v>
      </c>
      <c r="BH81" s="301">
        <f t="shared" si="37"/>
        <v>0</v>
      </c>
      <c r="BL81" s="301">
        <f t="shared" si="38"/>
        <v>0</v>
      </c>
      <c r="BP81" s="301">
        <f t="shared" si="52"/>
        <v>0</v>
      </c>
      <c r="BT81" s="301">
        <f t="shared" si="39"/>
        <v>0</v>
      </c>
      <c r="BX81" s="301">
        <f t="shared" si="40"/>
        <v>0</v>
      </c>
      <c r="CB81" s="301">
        <f t="shared" si="41"/>
        <v>0</v>
      </c>
      <c r="CF81" s="300">
        <f t="shared" si="107"/>
        <v>0</v>
      </c>
      <c r="CJ81" s="301">
        <f t="shared" si="0"/>
        <v>0</v>
      </c>
      <c r="CN81" s="301">
        <f t="shared" si="84"/>
        <v>0</v>
      </c>
      <c r="CR81" s="301">
        <f t="shared" si="85"/>
        <v>0</v>
      </c>
      <c r="CV81" s="301">
        <f t="shared" si="86"/>
        <v>0</v>
      </c>
      <c r="CW81" s="338">
        <f>'[1]Пр-т Гая'!K173/1000</f>
        <v>0</v>
      </c>
      <c r="CX81" s="338">
        <f>'[1]Пр-т Гая'!L173/1000</f>
        <v>0</v>
      </c>
      <c r="CY81" s="338">
        <f>'[1]Пр-т Гая'!M173/1000</f>
        <v>0</v>
      </c>
      <c r="CZ81" s="301">
        <f t="shared" si="87"/>
        <v>0</v>
      </c>
      <c r="DD81" s="300">
        <f t="shared" ref="DD81:DD145" si="115">DC81-DB81</f>
        <v>0</v>
      </c>
      <c r="DH81" s="301">
        <f t="shared" si="88"/>
        <v>0</v>
      </c>
      <c r="DL81" s="301">
        <f t="shared" si="50"/>
        <v>0</v>
      </c>
      <c r="DP81" s="301">
        <f t="shared" si="82"/>
        <v>0</v>
      </c>
      <c r="DT81" s="300">
        <f t="shared" si="89"/>
        <v>0</v>
      </c>
      <c r="DX81" s="301">
        <f t="shared" si="112"/>
        <v>0</v>
      </c>
      <c r="EB81" s="301">
        <f t="shared" si="90"/>
        <v>0</v>
      </c>
      <c r="EF81" s="301">
        <f t="shared" si="91"/>
        <v>0</v>
      </c>
      <c r="EJ81" s="301">
        <f t="shared" si="92"/>
        <v>0</v>
      </c>
      <c r="EN81" s="301">
        <f t="shared" si="93"/>
        <v>0</v>
      </c>
      <c r="ER81" s="300">
        <f t="shared" si="94"/>
        <v>0</v>
      </c>
      <c r="EV81" s="300">
        <f t="shared" si="95"/>
        <v>0</v>
      </c>
      <c r="EZ81" s="301">
        <f t="shared" si="96"/>
        <v>0</v>
      </c>
      <c r="FD81" s="301">
        <f t="shared" si="97"/>
        <v>0</v>
      </c>
      <c r="FH81" s="300">
        <f t="shared" si="98"/>
        <v>0</v>
      </c>
      <c r="FL81" s="301">
        <f t="shared" si="113"/>
        <v>0</v>
      </c>
      <c r="FP81" s="301">
        <f t="shared" si="108"/>
        <v>0</v>
      </c>
      <c r="FT81" s="301">
        <f t="shared" si="99"/>
        <v>0</v>
      </c>
      <c r="FX81" s="301">
        <f t="shared" si="100"/>
        <v>0</v>
      </c>
      <c r="GB81" s="301">
        <f t="shared" si="101"/>
        <v>0</v>
      </c>
      <c r="GF81" s="301">
        <f t="shared" si="109"/>
        <v>0</v>
      </c>
      <c r="GJ81" s="301">
        <f t="shared" si="110"/>
        <v>0</v>
      </c>
      <c r="GN81" s="301">
        <f t="shared" si="103"/>
        <v>0</v>
      </c>
      <c r="GR81" s="301">
        <f t="shared" si="104"/>
        <v>0</v>
      </c>
      <c r="GV81" s="301">
        <f t="shared" si="105"/>
        <v>0</v>
      </c>
      <c r="GZ81" s="301">
        <f t="shared" si="106"/>
        <v>0</v>
      </c>
      <c r="HA81" s="328"/>
      <c r="HB81" s="339"/>
      <c r="HC81" s="286"/>
      <c r="HD81" s="286"/>
      <c r="HE81" s="286"/>
      <c r="HF81" s="286"/>
      <c r="HG81" s="286"/>
      <c r="HH81" s="286"/>
      <c r="HI81" s="286"/>
      <c r="HJ81" s="286"/>
      <c r="HK81" s="286"/>
      <c r="HL81" s="286"/>
      <c r="HM81" s="286"/>
      <c r="HN81" s="286"/>
      <c r="HO81" s="286"/>
      <c r="HP81" s="286"/>
      <c r="HQ81" s="286"/>
      <c r="HR81" s="286"/>
      <c r="HS81" s="306"/>
      <c r="HT81" s="306"/>
      <c r="HU81" s="306"/>
      <c r="HV81" s="306"/>
      <c r="HW81" s="286"/>
      <c r="HX81" s="286"/>
      <c r="HY81" s="286"/>
      <c r="HZ81" s="286"/>
      <c r="IA81" s="286"/>
      <c r="IB81" s="286"/>
      <c r="IC81" s="286"/>
      <c r="ID81" s="286"/>
      <c r="IE81" s="286"/>
      <c r="IF81" s="286"/>
      <c r="IG81" s="286"/>
      <c r="IH81" s="286"/>
      <c r="II81" s="286"/>
      <c r="IJ81" s="286"/>
      <c r="IK81" s="286"/>
      <c r="IL81" s="286"/>
      <c r="IM81" s="286"/>
      <c r="IN81" s="286"/>
      <c r="IO81" s="286"/>
      <c r="IP81" s="286"/>
      <c r="IQ81" s="286"/>
      <c r="IR81" s="286"/>
      <c r="IS81" s="286"/>
      <c r="IT81" s="286"/>
      <c r="IU81" s="286"/>
      <c r="IV81" s="286"/>
    </row>
    <row r="82" spans="1:256" s="338" customFormat="1" ht="13.5" hidden="1" customHeight="1">
      <c r="A82" s="912"/>
      <c r="B82" s="341"/>
      <c r="C82" s="382" t="s">
        <v>238</v>
      </c>
      <c r="D82" s="381" t="s">
        <v>162</v>
      </c>
      <c r="E82" s="301">
        <f>SUM(E83:E84)</f>
        <v>0.44059999999999999</v>
      </c>
      <c r="F82" s="301">
        <f>SUM(F83:F84)</f>
        <v>6.4721539999999997</v>
      </c>
      <c r="G82" s="301">
        <f>SUM(G83:G84)</f>
        <v>6.4721539999999997</v>
      </c>
      <c r="H82" s="301">
        <f>SUM(H83:H84)</f>
        <v>0</v>
      </c>
      <c r="L82" s="301">
        <f t="shared" si="25"/>
        <v>0</v>
      </c>
      <c r="M82" s="301">
        <f>SUM(M83:M84)</f>
        <v>0</v>
      </c>
      <c r="N82" s="301">
        <f>SUM(N83:N84)</f>
        <v>0</v>
      </c>
      <c r="O82" s="301">
        <f>SUM(O83:O84)</f>
        <v>0</v>
      </c>
      <c r="P82" s="301">
        <f t="shared" si="26"/>
        <v>0</v>
      </c>
      <c r="T82" s="301">
        <f t="shared" si="27"/>
        <v>0</v>
      </c>
      <c r="U82" s="301"/>
      <c r="V82" s="301"/>
      <c r="W82" s="301"/>
      <c r="X82" s="301">
        <f t="shared" si="28"/>
        <v>0</v>
      </c>
      <c r="AB82" s="301">
        <f t="shared" si="29"/>
        <v>0</v>
      </c>
      <c r="AF82" s="300">
        <f t="shared" si="30"/>
        <v>0</v>
      </c>
      <c r="AJ82" s="300">
        <f t="shared" si="31"/>
        <v>0</v>
      </c>
      <c r="AN82" s="301">
        <f t="shared" si="32"/>
        <v>0</v>
      </c>
      <c r="AR82" s="300">
        <f t="shared" si="33"/>
        <v>0</v>
      </c>
      <c r="AV82" s="301">
        <f t="shared" si="34"/>
        <v>0</v>
      </c>
      <c r="AZ82" s="301">
        <f t="shared" si="35"/>
        <v>0</v>
      </c>
      <c r="BD82" s="301">
        <f t="shared" si="36"/>
        <v>0</v>
      </c>
      <c r="BH82" s="301">
        <f t="shared" si="37"/>
        <v>0</v>
      </c>
      <c r="BI82" s="301"/>
      <c r="BJ82" s="301"/>
      <c r="BK82" s="301"/>
      <c r="BL82" s="301">
        <f t="shared" si="38"/>
        <v>0</v>
      </c>
      <c r="BP82" s="301">
        <f t="shared" si="52"/>
        <v>0</v>
      </c>
      <c r="BT82" s="301">
        <f t="shared" si="39"/>
        <v>0</v>
      </c>
      <c r="BX82" s="301">
        <f t="shared" si="40"/>
        <v>0</v>
      </c>
      <c r="CB82" s="301">
        <f t="shared" si="41"/>
        <v>0</v>
      </c>
      <c r="CF82" s="300">
        <f t="shared" si="107"/>
        <v>0</v>
      </c>
      <c r="CJ82" s="301">
        <f t="shared" si="0"/>
        <v>0</v>
      </c>
      <c r="CN82" s="301">
        <f t="shared" si="84"/>
        <v>0</v>
      </c>
      <c r="CR82" s="301">
        <f t="shared" si="85"/>
        <v>0</v>
      </c>
      <c r="CV82" s="301">
        <f t="shared" si="86"/>
        <v>0</v>
      </c>
      <c r="CZ82" s="301">
        <f t="shared" si="87"/>
        <v>0</v>
      </c>
      <c r="DD82" s="300">
        <f t="shared" si="115"/>
        <v>0</v>
      </c>
      <c r="DH82" s="301">
        <f t="shared" si="88"/>
        <v>0</v>
      </c>
      <c r="DL82" s="301">
        <f t="shared" si="50"/>
        <v>0</v>
      </c>
      <c r="DP82" s="301">
        <f t="shared" si="82"/>
        <v>0</v>
      </c>
      <c r="DT82" s="300">
        <f t="shared" si="89"/>
        <v>0</v>
      </c>
      <c r="DX82" s="301">
        <f t="shared" si="112"/>
        <v>0</v>
      </c>
      <c r="EB82" s="301">
        <f t="shared" si="90"/>
        <v>0</v>
      </c>
      <c r="EF82" s="301">
        <f t="shared" si="91"/>
        <v>0</v>
      </c>
      <c r="EJ82" s="301">
        <f t="shared" si="92"/>
        <v>0</v>
      </c>
      <c r="EN82" s="301">
        <f t="shared" si="93"/>
        <v>0</v>
      </c>
      <c r="ER82" s="300">
        <f t="shared" si="94"/>
        <v>0</v>
      </c>
      <c r="EV82" s="300">
        <f t="shared" si="95"/>
        <v>0</v>
      </c>
      <c r="EZ82" s="301">
        <f t="shared" si="96"/>
        <v>0</v>
      </c>
      <c r="FD82" s="301">
        <f t="shared" si="97"/>
        <v>0</v>
      </c>
      <c r="FH82" s="300">
        <f t="shared" si="98"/>
        <v>0</v>
      </c>
      <c r="FL82" s="301">
        <f t="shared" si="113"/>
        <v>0</v>
      </c>
      <c r="FP82" s="301">
        <f t="shared" si="108"/>
        <v>0</v>
      </c>
      <c r="FQ82" s="301">
        <f>FQ83+FQ84</f>
        <v>0.44059999999999999</v>
      </c>
      <c r="FR82" s="301">
        <f>FR83+FR84</f>
        <v>6.4721539999999997</v>
      </c>
      <c r="FS82" s="301">
        <f>FS83+FS84</f>
        <v>6.4721539999999997</v>
      </c>
      <c r="FT82" s="301">
        <f t="shared" si="99"/>
        <v>0</v>
      </c>
      <c r="FX82" s="301">
        <f t="shared" si="100"/>
        <v>0</v>
      </c>
      <c r="GB82" s="301">
        <f t="shared" si="101"/>
        <v>0</v>
      </c>
      <c r="GF82" s="301">
        <f t="shared" si="109"/>
        <v>0</v>
      </c>
      <c r="GJ82" s="301">
        <f t="shared" si="110"/>
        <v>0</v>
      </c>
      <c r="GN82" s="301">
        <f t="shared" si="103"/>
        <v>0</v>
      </c>
      <c r="GR82" s="301">
        <f t="shared" si="104"/>
        <v>0</v>
      </c>
      <c r="GV82" s="301">
        <f t="shared" si="105"/>
        <v>0</v>
      </c>
      <c r="GZ82" s="301">
        <f t="shared" si="106"/>
        <v>0</v>
      </c>
      <c r="HA82" s="328"/>
      <c r="HB82" s="339"/>
      <c r="HC82" s="286"/>
      <c r="HD82" s="286"/>
      <c r="HE82" s="286"/>
      <c r="HF82" s="286"/>
      <c r="HG82" s="286"/>
      <c r="HH82" s="286"/>
      <c r="HI82" s="286"/>
      <c r="HJ82" s="286"/>
      <c r="HK82" s="286"/>
      <c r="HL82" s="286"/>
      <c r="HM82" s="286"/>
      <c r="HN82" s="286"/>
      <c r="HO82" s="286"/>
      <c r="HP82" s="286"/>
      <c r="HQ82" s="286"/>
      <c r="HR82" s="286"/>
      <c r="HS82" s="306"/>
      <c r="HT82" s="306"/>
      <c r="HU82" s="306"/>
      <c r="HV82" s="306"/>
      <c r="HW82" s="286"/>
      <c r="HX82" s="286"/>
      <c r="HY82" s="286"/>
      <c r="HZ82" s="286"/>
      <c r="IA82" s="286"/>
      <c r="IB82" s="286"/>
      <c r="IC82" s="286"/>
      <c r="ID82" s="286"/>
      <c r="IE82" s="286"/>
      <c r="IF82" s="286"/>
      <c r="IG82" s="286"/>
      <c r="IH82" s="286"/>
      <c r="II82" s="286"/>
      <c r="IJ82" s="286"/>
      <c r="IK82" s="286"/>
      <c r="IL82" s="286"/>
      <c r="IM82" s="286"/>
      <c r="IN82" s="286"/>
      <c r="IO82" s="286"/>
      <c r="IP82" s="286"/>
      <c r="IQ82" s="286"/>
      <c r="IR82" s="286"/>
      <c r="IS82" s="286"/>
      <c r="IT82" s="286"/>
      <c r="IU82" s="286"/>
      <c r="IV82" s="286"/>
    </row>
    <row r="83" spans="1:256" s="338" customFormat="1" ht="13.5" hidden="1" customHeight="1">
      <c r="A83" s="912"/>
      <c r="B83" s="341"/>
      <c r="C83" s="380" t="s">
        <v>228</v>
      </c>
      <c r="D83" s="381" t="s">
        <v>162</v>
      </c>
      <c r="E83" s="299">
        <f t="shared" ref="E83:H84" si="116">I83+M83+Q83+U83+Y83+AC83+AG83+AK83+AO83+AS83+AW83+BA83+BE83+BI83+BM83+BQ83+BU83+BY83+CC83+CG83+CK83+CO83+CS83+CW83+DA83+DE83+DI83+DM83+DQ83+DU83+DY83+EC83+EG83+EK83+EO83+ES83+EW83+FA83+FE83+FI83+FM83+FQ83+FU83+FY83+GC83+GK83+GG83+GO83+GS83+GW83</f>
        <v>0.3634</v>
      </c>
      <c r="F83" s="299">
        <f t="shared" si="116"/>
        <v>6.4721539999999997</v>
      </c>
      <c r="G83" s="299">
        <f t="shared" si="116"/>
        <v>6.4721539999999997</v>
      </c>
      <c r="H83" s="299">
        <f t="shared" si="116"/>
        <v>0</v>
      </c>
      <c r="L83" s="301">
        <f t="shared" si="25"/>
        <v>0</v>
      </c>
      <c r="M83" s="338">
        <f>'[1]УМУП УК ЖКХ г.Ульяновска'!K149/1000</f>
        <v>0</v>
      </c>
      <c r="N83" s="338">
        <f>'[1]УМУП УК ЖКХ г.Ульяновска'!L149/1000</f>
        <v>0</v>
      </c>
      <c r="O83" s="338">
        <f>'[1]УМУП УК ЖКХ г.Ульяновска'!M149/1000</f>
        <v>0</v>
      </c>
      <c r="P83" s="301">
        <f t="shared" si="26"/>
        <v>0</v>
      </c>
      <c r="T83" s="301">
        <f t="shared" si="27"/>
        <v>0</v>
      </c>
      <c r="X83" s="301">
        <f t="shared" si="28"/>
        <v>0</v>
      </c>
      <c r="AB83" s="301">
        <f t="shared" si="29"/>
        <v>0</v>
      </c>
      <c r="AF83" s="300">
        <f t="shared" si="30"/>
        <v>0</v>
      </c>
      <c r="AJ83" s="300">
        <f t="shared" si="31"/>
        <v>0</v>
      </c>
      <c r="AN83" s="301">
        <f t="shared" si="32"/>
        <v>0</v>
      </c>
      <c r="AR83" s="300">
        <f t="shared" si="33"/>
        <v>0</v>
      </c>
      <c r="AV83" s="301">
        <f t="shared" si="34"/>
        <v>0</v>
      </c>
      <c r="AZ83" s="301">
        <f t="shared" si="35"/>
        <v>0</v>
      </c>
      <c r="BD83" s="301">
        <f t="shared" si="36"/>
        <v>0</v>
      </c>
      <c r="BH83" s="301">
        <f t="shared" si="37"/>
        <v>0</v>
      </c>
      <c r="BL83" s="301">
        <f t="shared" si="38"/>
        <v>0</v>
      </c>
      <c r="BP83" s="301">
        <f t="shared" si="52"/>
        <v>0</v>
      </c>
      <c r="BT83" s="301">
        <f t="shared" si="39"/>
        <v>0</v>
      </c>
      <c r="BX83" s="301">
        <f t="shared" si="40"/>
        <v>0</v>
      </c>
      <c r="CB83" s="301">
        <f t="shared" si="41"/>
        <v>0</v>
      </c>
      <c r="CF83" s="300">
        <f t="shared" si="107"/>
        <v>0</v>
      </c>
      <c r="CJ83" s="301">
        <f t="shared" si="0"/>
        <v>0</v>
      </c>
      <c r="CN83" s="301">
        <f t="shared" si="84"/>
        <v>0</v>
      </c>
      <c r="CR83" s="301">
        <f t="shared" si="85"/>
        <v>0</v>
      </c>
      <c r="CV83" s="301">
        <f t="shared" si="86"/>
        <v>0</v>
      </c>
      <c r="CZ83" s="301">
        <f t="shared" si="87"/>
        <v>0</v>
      </c>
      <c r="DD83" s="300">
        <f t="shared" si="115"/>
        <v>0</v>
      </c>
      <c r="DH83" s="301">
        <f t="shared" si="88"/>
        <v>0</v>
      </c>
      <c r="DL83" s="301">
        <f t="shared" si="50"/>
        <v>0</v>
      </c>
      <c r="DP83" s="301">
        <f t="shared" si="82"/>
        <v>0</v>
      </c>
      <c r="DT83" s="300">
        <f t="shared" si="89"/>
        <v>0</v>
      </c>
      <c r="DX83" s="301">
        <f t="shared" si="112"/>
        <v>0</v>
      </c>
      <c r="EB83" s="301">
        <f t="shared" si="90"/>
        <v>0</v>
      </c>
      <c r="EF83" s="301">
        <f t="shared" si="91"/>
        <v>0</v>
      </c>
      <c r="EJ83" s="301">
        <f t="shared" si="92"/>
        <v>0</v>
      </c>
      <c r="EN83" s="301">
        <f t="shared" si="93"/>
        <v>0</v>
      </c>
      <c r="ER83" s="300">
        <f t="shared" si="94"/>
        <v>0</v>
      </c>
      <c r="EV83" s="300">
        <f t="shared" si="95"/>
        <v>0</v>
      </c>
      <c r="EZ83" s="301">
        <f t="shared" si="96"/>
        <v>0</v>
      </c>
      <c r="FD83" s="301">
        <f t="shared" si="97"/>
        <v>0</v>
      </c>
      <c r="FH83" s="300">
        <f t="shared" si="98"/>
        <v>0</v>
      </c>
      <c r="FL83" s="301">
        <f t="shared" si="113"/>
        <v>0</v>
      </c>
      <c r="FP83" s="301">
        <f t="shared" si="108"/>
        <v>0</v>
      </c>
      <c r="FQ83" s="338">
        <f>'[1]ООО ЖКХ Лен-го района'!K186/1000</f>
        <v>0.3634</v>
      </c>
      <c r="FR83" s="338">
        <f>'[1]ООО ЖКХ Лен-го района'!L186/1000</f>
        <v>6.4721539999999997</v>
      </c>
      <c r="FS83" s="338">
        <f>'[1]ООО ЖКХ Лен-го района'!M186/1000</f>
        <v>6.4721539999999997</v>
      </c>
      <c r="FT83" s="301">
        <f t="shared" si="99"/>
        <v>0</v>
      </c>
      <c r="FX83" s="301">
        <f t="shared" si="100"/>
        <v>0</v>
      </c>
      <c r="GB83" s="301">
        <f t="shared" si="101"/>
        <v>0</v>
      </c>
      <c r="GF83" s="301">
        <f t="shared" si="109"/>
        <v>0</v>
      </c>
      <c r="GJ83" s="301">
        <f t="shared" si="110"/>
        <v>0</v>
      </c>
      <c r="GN83" s="301">
        <f t="shared" si="103"/>
        <v>0</v>
      </c>
      <c r="GR83" s="301">
        <f t="shared" si="104"/>
        <v>0</v>
      </c>
      <c r="GV83" s="301">
        <f t="shared" si="105"/>
        <v>0</v>
      </c>
      <c r="GZ83" s="301">
        <f t="shared" si="106"/>
        <v>0</v>
      </c>
      <c r="HA83" s="328"/>
      <c r="HB83" s="339"/>
      <c r="HC83" s="286"/>
      <c r="HD83" s="286"/>
      <c r="HE83" s="286"/>
      <c r="HF83" s="286"/>
      <c r="HG83" s="286"/>
      <c r="HH83" s="286"/>
      <c r="HI83" s="286"/>
      <c r="HJ83" s="286"/>
      <c r="HK83" s="286"/>
      <c r="HL83" s="286"/>
      <c r="HM83" s="286"/>
      <c r="HN83" s="286"/>
      <c r="HO83" s="286"/>
      <c r="HP83" s="286"/>
      <c r="HQ83" s="286"/>
      <c r="HR83" s="286"/>
      <c r="HS83" s="306"/>
      <c r="HT83" s="306"/>
      <c r="HU83" s="306"/>
      <c r="HV83" s="306"/>
      <c r="HW83" s="286"/>
      <c r="HX83" s="286"/>
      <c r="HY83" s="286"/>
      <c r="HZ83" s="286"/>
      <c r="IA83" s="286"/>
      <c r="IB83" s="286"/>
      <c r="IC83" s="286"/>
      <c r="ID83" s="286"/>
      <c r="IE83" s="286"/>
      <c r="IF83" s="286"/>
      <c r="IG83" s="286"/>
      <c r="IH83" s="286"/>
      <c r="II83" s="286"/>
      <c r="IJ83" s="286"/>
      <c r="IK83" s="286"/>
      <c r="IL83" s="286"/>
      <c r="IM83" s="286"/>
      <c r="IN83" s="286"/>
      <c r="IO83" s="286"/>
      <c r="IP83" s="286"/>
      <c r="IQ83" s="286"/>
      <c r="IR83" s="286"/>
      <c r="IS83" s="286"/>
      <c r="IT83" s="286"/>
      <c r="IU83" s="286"/>
      <c r="IV83" s="286"/>
    </row>
    <row r="84" spans="1:256" s="338" customFormat="1" ht="13.5" hidden="1" customHeight="1">
      <c r="A84" s="912"/>
      <c r="B84" s="341"/>
      <c r="C84" s="380" t="s">
        <v>229</v>
      </c>
      <c r="D84" s="381" t="s">
        <v>162</v>
      </c>
      <c r="E84" s="299">
        <f t="shared" si="116"/>
        <v>7.7200000000000005E-2</v>
      </c>
      <c r="F84" s="299">
        <f t="shared" si="116"/>
        <v>0</v>
      </c>
      <c r="G84" s="299">
        <f t="shared" si="116"/>
        <v>0</v>
      </c>
      <c r="H84" s="299">
        <f t="shared" si="116"/>
        <v>0</v>
      </c>
      <c r="L84" s="301">
        <f t="shared" si="25"/>
        <v>0</v>
      </c>
      <c r="M84" s="338">
        <f>'[1]УМУП УК ЖКХ г.Ульяновска'!K152/1000</f>
        <v>0</v>
      </c>
      <c r="N84" s="338">
        <f>'[1]УМУП УК ЖКХ г.Ульяновска'!L152/1000</f>
        <v>0</v>
      </c>
      <c r="O84" s="338">
        <f>'[1]УМУП УК ЖКХ г.Ульяновска'!M152/1000</f>
        <v>0</v>
      </c>
      <c r="P84" s="301">
        <f t="shared" si="26"/>
        <v>0</v>
      </c>
      <c r="T84" s="301">
        <f t="shared" si="27"/>
        <v>0</v>
      </c>
      <c r="X84" s="301">
        <f t="shared" si="28"/>
        <v>0</v>
      </c>
      <c r="AB84" s="301">
        <f t="shared" si="29"/>
        <v>0</v>
      </c>
      <c r="AF84" s="300">
        <f t="shared" si="30"/>
        <v>0</v>
      </c>
      <c r="AJ84" s="300">
        <f t="shared" si="31"/>
        <v>0</v>
      </c>
      <c r="AN84" s="301">
        <f t="shared" si="32"/>
        <v>0</v>
      </c>
      <c r="AR84" s="300">
        <f t="shared" si="33"/>
        <v>0</v>
      </c>
      <c r="AV84" s="301">
        <f t="shared" si="34"/>
        <v>0</v>
      </c>
      <c r="AZ84" s="301">
        <f t="shared" si="35"/>
        <v>0</v>
      </c>
      <c r="BD84" s="301">
        <f t="shared" si="36"/>
        <v>0</v>
      </c>
      <c r="BH84" s="301">
        <f t="shared" si="37"/>
        <v>0</v>
      </c>
      <c r="BL84" s="301">
        <f t="shared" si="38"/>
        <v>0</v>
      </c>
      <c r="BP84" s="301">
        <f t="shared" si="52"/>
        <v>0</v>
      </c>
      <c r="BT84" s="301">
        <f t="shared" si="39"/>
        <v>0</v>
      </c>
      <c r="BX84" s="301">
        <f t="shared" si="40"/>
        <v>0</v>
      </c>
      <c r="CB84" s="301">
        <f t="shared" si="41"/>
        <v>0</v>
      </c>
      <c r="CF84" s="300">
        <f t="shared" si="107"/>
        <v>0</v>
      </c>
      <c r="CJ84" s="301">
        <f t="shared" si="0"/>
        <v>0</v>
      </c>
      <c r="CN84" s="301">
        <f t="shared" si="84"/>
        <v>0</v>
      </c>
      <c r="CR84" s="301">
        <f t="shared" si="85"/>
        <v>0</v>
      </c>
      <c r="CV84" s="301">
        <f t="shared" si="86"/>
        <v>0</v>
      </c>
      <c r="CZ84" s="301">
        <f t="shared" si="87"/>
        <v>0</v>
      </c>
      <c r="DD84" s="300">
        <f t="shared" si="115"/>
        <v>0</v>
      </c>
      <c r="DH84" s="301">
        <f t="shared" si="88"/>
        <v>0</v>
      </c>
      <c r="DL84" s="301">
        <f t="shared" si="50"/>
        <v>0</v>
      </c>
      <c r="DP84" s="301">
        <f t="shared" si="82"/>
        <v>0</v>
      </c>
      <c r="DT84" s="300">
        <f t="shared" si="89"/>
        <v>0</v>
      </c>
      <c r="DX84" s="301">
        <f t="shared" si="112"/>
        <v>0</v>
      </c>
      <c r="EB84" s="301">
        <f t="shared" si="90"/>
        <v>0</v>
      </c>
      <c r="EF84" s="301">
        <f t="shared" si="91"/>
        <v>0</v>
      </c>
      <c r="EJ84" s="301">
        <f t="shared" si="92"/>
        <v>0</v>
      </c>
      <c r="EN84" s="301">
        <f t="shared" si="93"/>
        <v>0</v>
      </c>
      <c r="ER84" s="300">
        <f t="shared" si="94"/>
        <v>0</v>
      </c>
      <c r="EV84" s="300">
        <f t="shared" si="95"/>
        <v>0</v>
      </c>
      <c r="EZ84" s="301">
        <f t="shared" si="96"/>
        <v>0</v>
      </c>
      <c r="FD84" s="301">
        <f t="shared" si="97"/>
        <v>0</v>
      </c>
      <c r="FH84" s="300">
        <f t="shared" si="98"/>
        <v>0</v>
      </c>
      <c r="FL84" s="301">
        <f t="shared" si="113"/>
        <v>0</v>
      </c>
      <c r="FP84" s="301">
        <f t="shared" si="108"/>
        <v>0</v>
      </c>
      <c r="FQ84" s="338">
        <f>'[1]ООО ЖКХ Лен-го района'!K189/1000</f>
        <v>7.7200000000000005E-2</v>
      </c>
      <c r="FR84" s="338">
        <f>'[1]ООО ЖКХ Лен-го района'!L189/1000*0</f>
        <v>0</v>
      </c>
      <c r="FS84" s="338">
        <f>'[1]ООО ЖКХ Лен-го района'!M189/1000*0</f>
        <v>0</v>
      </c>
      <c r="FT84" s="301">
        <f t="shared" si="99"/>
        <v>0</v>
      </c>
      <c r="FX84" s="301">
        <f t="shared" si="100"/>
        <v>0</v>
      </c>
      <c r="GB84" s="301">
        <f t="shared" si="101"/>
        <v>0</v>
      </c>
      <c r="GF84" s="301">
        <f t="shared" si="109"/>
        <v>0</v>
      </c>
      <c r="GJ84" s="301">
        <f t="shared" si="110"/>
        <v>0</v>
      </c>
      <c r="GN84" s="301">
        <f t="shared" si="103"/>
        <v>0</v>
      </c>
      <c r="GR84" s="301">
        <f t="shared" si="104"/>
        <v>0</v>
      </c>
      <c r="GV84" s="301">
        <f t="shared" si="105"/>
        <v>0</v>
      </c>
      <c r="GZ84" s="301">
        <f t="shared" si="106"/>
        <v>0</v>
      </c>
      <c r="HA84" s="328"/>
      <c r="HB84" s="339"/>
      <c r="HC84" s="286"/>
      <c r="HD84" s="286"/>
      <c r="HE84" s="286"/>
      <c r="HF84" s="286"/>
      <c r="HG84" s="286"/>
      <c r="HH84" s="286"/>
      <c r="HI84" s="286"/>
      <c r="HJ84" s="286"/>
      <c r="HK84" s="286"/>
      <c r="HL84" s="286"/>
      <c r="HM84" s="286"/>
      <c r="HN84" s="286"/>
      <c r="HO84" s="286"/>
      <c r="HP84" s="286"/>
      <c r="HQ84" s="286"/>
      <c r="HR84" s="286"/>
      <c r="HS84" s="306"/>
      <c r="HT84" s="306"/>
      <c r="HU84" s="306"/>
      <c r="HV84" s="306"/>
      <c r="HW84" s="286"/>
      <c r="HX84" s="286"/>
      <c r="HY84" s="286"/>
      <c r="HZ84" s="286"/>
      <c r="IA84" s="286"/>
      <c r="IB84" s="286"/>
      <c r="IC84" s="286"/>
      <c r="ID84" s="286"/>
      <c r="IE84" s="286"/>
      <c r="IF84" s="286"/>
      <c r="IG84" s="286"/>
      <c r="IH84" s="286"/>
      <c r="II84" s="286"/>
      <c r="IJ84" s="286"/>
      <c r="IK84" s="286"/>
      <c r="IL84" s="286"/>
      <c r="IM84" s="286"/>
      <c r="IN84" s="286"/>
      <c r="IO84" s="286"/>
      <c r="IP84" s="286"/>
      <c r="IQ84" s="286"/>
      <c r="IR84" s="286"/>
      <c r="IS84" s="286"/>
      <c r="IT84" s="286"/>
      <c r="IU84" s="286"/>
      <c r="IV84" s="286"/>
    </row>
    <row r="85" spans="1:256" s="338" customFormat="1" ht="13.5" hidden="1" customHeight="1">
      <c r="A85" s="912"/>
      <c r="B85" s="341"/>
      <c r="C85" s="382" t="s">
        <v>213</v>
      </c>
      <c r="D85" s="381" t="s">
        <v>162</v>
      </c>
      <c r="E85" s="301">
        <f>SUM(E86:E87)</f>
        <v>22.186580000000003</v>
      </c>
      <c r="F85" s="301">
        <f>SUM(F86:F87)</f>
        <v>0</v>
      </c>
      <c r="G85" s="301">
        <f>SUM(G86:G87)</f>
        <v>0</v>
      </c>
      <c r="H85" s="301">
        <f>SUM(H86:H87)</f>
        <v>0</v>
      </c>
      <c r="L85" s="301">
        <f t="shared" si="25"/>
        <v>0</v>
      </c>
      <c r="M85" s="301"/>
      <c r="N85" s="301"/>
      <c r="O85" s="301"/>
      <c r="P85" s="301">
        <f t="shared" si="26"/>
        <v>0</v>
      </c>
      <c r="T85" s="301">
        <f t="shared" si="27"/>
        <v>0</v>
      </c>
      <c r="X85" s="301">
        <f t="shared" si="28"/>
        <v>0</v>
      </c>
      <c r="AB85" s="301">
        <f t="shared" si="29"/>
        <v>0</v>
      </c>
      <c r="AF85" s="300">
        <f t="shared" si="30"/>
        <v>0</v>
      </c>
      <c r="AJ85" s="300">
        <f t="shared" si="31"/>
        <v>0</v>
      </c>
      <c r="AN85" s="301">
        <f t="shared" si="32"/>
        <v>0</v>
      </c>
      <c r="AR85" s="300">
        <f t="shared" si="33"/>
        <v>0</v>
      </c>
      <c r="AV85" s="301">
        <f t="shared" si="34"/>
        <v>0</v>
      </c>
      <c r="AZ85" s="301">
        <f t="shared" si="35"/>
        <v>0</v>
      </c>
      <c r="BD85" s="301">
        <f t="shared" si="36"/>
        <v>0</v>
      </c>
      <c r="BH85" s="301">
        <f t="shared" si="37"/>
        <v>0</v>
      </c>
      <c r="BL85" s="301">
        <f t="shared" si="38"/>
        <v>0</v>
      </c>
      <c r="BP85" s="301">
        <f t="shared" si="52"/>
        <v>0</v>
      </c>
      <c r="BT85" s="301">
        <f t="shared" si="39"/>
        <v>0</v>
      </c>
      <c r="BU85" s="301"/>
      <c r="BV85" s="301"/>
      <c r="BW85" s="301"/>
      <c r="BX85" s="301">
        <f t="shared" si="40"/>
        <v>0</v>
      </c>
      <c r="CB85" s="301">
        <f t="shared" si="41"/>
        <v>0</v>
      </c>
      <c r="CF85" s="300">
        <f t="shared" si="107"/>
        <v>0</v>
      </c>
      <c r="CJ85" s="301">
        <f t="shared" si="0"/>
        <v>0</v>
      </c>
      <c r="CN85" s="301">
        <f t="shared" si="84"/>
        <v>0</v>
      </c>
      <c r="CR85" s="301">
        <f t="shared" si="85"/>
        <v>0</v>
      </c>
      <c r="CV85" s="301">
        <f t="shared" si="86"/>
        <v>0</v>
      </c>
      <c r="CZ85" s="301">
        <f t="shared" si="87"/>
        <v>0</v>
      </c>
      <c r="DD85" s="300">
        <f t="shared" si="115"/>
        <v>0</v>
      </c>
      <c r="DH85" s="301">
        <f t="shared" si="88"/>
        <v>0</v>
      </c>
      <c r="DI85" s="301">
        <f>SUM(DI86:DI87)</f>
        <v>22.186580000000003</v>
      </c>
      <c r="DJ85" s="301">
        <f>SUM(DJ86:DJ87)</f>
        <v>0</v>
      </c>
      <c r="DK85" s="301">
        <f>SUM(DK86:DK87)</f>
        <v>0</v>
      </c>
      <c r="DL85" s="301">
        <f t="shared" si="50"/>
        <v>0</v>
      </c>
      <c r="DP85" s="301">
        <f t="shared" si="82"/>
        <v>0</v>
      </c>
      <c r="DT85" s="300">
        <f t="shared" si="89"/>
        <v>0</v>
      </c>
      <c r="DX85" s="301">
        <f t="shared" si="112"/>
        <v>0</v>
      </c>
      <c r="EB85" s="301">
        <f t="shared" si="90"/>
        <v>0</v>
      </c>
      <c r="EF85" s="301">
        <f t="shared" si="91"/>
        <v>0</v>
      </c>
      <c r="EJ85" s="301">
        <f t="shared" si="92"/>
        <v>0</v>
      </c>
      <c r="EN85" s="301">
        <f t="shared" si="93"/>
        <v>0</v>
      </c>
      <c r="ER85" s="300">
        <f t="shared" si="94"/>
        <v>0</v>
      </c>
      <c r="EV85" s="300">
        <f t="shared" si="95"/>
        <v>0</v>
      </c>
      <c r="EZ85" s="301">
        <f t="shared" si="96"/>
        <v>0</v>
      </c>
      <c r="FD85" s="301">
        <f t="shared" si="97"/>
        <v>0</v>
      </c>
      <c r="FH85" s="300">
        <f t="shared" si="98"/>
        <v>0</v>
      </c>
      <c r="FL85" s="301">
        <f t="shared" si="113"/>
        <v>0</v>
      </c>
      <c r="FP85" s="301">
        <f t="shared" si="108"/>
        <v>0</v>
      </c>
      <c r="FT85" s="301">
        <f t="shared" si="99"/>
        <v>0</v>
      </c>
      <c r="FX85" s="301">
        <f t="shared" si="100"/>
        <v>0</v>
      </c>
      <c r="GB85" s="301">
        <f t="shared" si="101"/>
        <v>0</v>
      </c>
      <c r="GF85" s="301">
        <f t="shared" si="109"/>
        <v>0</v>
      </c>
      <c r="GJ85" s="301">
        <f t="shared" si="110"/>
        <v>0</v>
      </c>
      <c r="GN85" s="301">
        <f t="shared" si="103"/>
        <v>0</v>
      </c>
      <c r="GR85" s="301">
        <f t="shared" si="104"/>
        <v>0</v>
      </c>
      <c r="GV85" s="301">
        <f t="shared" si="105"/>
        <v>0</v>
      </c>
      <c r="GZ85" s="301">
        <f t="shared" si="106"/>
        <v>0</v>
      </c>
      <c r="HA85" s="328"/>
      <c r="HB85" s="339"/>
      <c r="HC85" s="286"/>
      <c r="HD85" s="286"/>
      <c r="HE85" s="286"/>
      <c r="HF85" s="286"/>
      <c r="HG85" s="286"/>
      <c r="HH85" s="286"/>
      <c r="HI85" s="286"/>
      <c r="HJ85" s="286"/>
      <c r="HK85" s="286"/>
      <c r="HL85" s="286"/>
      <c r="HM85" s="286"/>
      <c r="HN85" s="286"/>
      <c r="HO85" s="286"/>
      <c r="HP85" s="286"/>
      <c r="HQ85" s="286"/>
      <c r="HR85" s="286"/>
      <c r="HS85" s="306"/>
      <c r="HT85" s="306"/>
      <c r="HU85" s="306"/>
      <c r="HV85" s="306"/>
      <c r="HW85" s="286"/>
      <c r="HX85" s="286"/>
      <c r="HY85" s="286"/>
      <c r="HZ85" s="286"/>
      <c r="IA85" s="286"/>
      <c r="IB85" s="286"/>
      <c r="IC85" s="286"/>
      <c r="ID85" s="286"/>
      <c r="IE85" s="286"/>
      <c r="IF85" s="286"/>
      <c r="IG85" s="286"/>
      <c r="IH85" s="286"/>
      <c r="II85" s="286"/>
      <c r="IJ85" s="286"/>
      <c r="IK85" s="286"/>
      <c r="IL85" s="286"/>
      <c r="IM85" s="286"/>
      <c r="IN85" s="286"/>
      <c r="IO85" s="286"/>
      <c r="IP85" s="286"/>
      <c r="IQ85" s="286"/>
      <c r="IR85" s="286"/>
      <c r="IS85" s="286"/>
      <c r="IT85" s="286"/>
      <c r="IU85" s="286"/>
      <c r="IV85" s="286"/>
    </row>
    <row r="86" spans="1:256" s="338" customFormat="1" ht="13.5" hidden="1" customHeight="1">
      <c r="A86" s="912"/>
      <c r="B86" s="341"/>
      <c r="C86" s="380" t="s">
        <v>228</v>
      </c>
      <c r="D86" s="381" t="s">
        <v>162</v>
      </c>
      <c r="E86" s="299">
        <f t="shared" ref="E86:H87" si="117">I86+M86+Q86+U86+Y86+AC86+AG86+AK86+AO86+AS86+AW86+BA86+BE86+BI86+BM86+BQ86+BU86+BY86+CC86+CG86+CK86+CO86+CS86+CW86+DA86+DE86+DI86+DM86+DQ86+DU86+DY86+EC86+EG86+EK86+EO86+ES86+EW86+FA86+FE86+FI86+FM86+FQ86+FU86+FY86+GC86+GK86+GG86+GO86+GS86+GW86</f>
        <v>22.186580000000003</v>
      </c>
      <c r="F86" s="299">
        <f t="shared" si="117"/>
        <v>0</v>
      </c>
      <c r="G86" s="299">
        <f t="shared" si="117"/>
        <v>0</v>
      </c>
      <c r="H86" s="299">
        <f t="shared" si="117"/>
        <v>0</v>
      </c>
      <c r="L86" s="301">
        <f t="shared" si="25"/>
        <v>0</v>
      </c>
      <c r="P86" s="301">
        <f t="shared" si="26"/>
        <v>0</v>
      </c>
      <c r="T86" s="301">
        <f t="shared" si="27"/>
        <v>0</v>
      </c>
      <c r="X86" s="301">
        <f t="shared" si="28"/>
        <v>0</v>
      </c>
      <c r="AB86" s="301">
        <f t="shared" si="29"/>
        <v>0</v>
      </c>
      <c r="AF86" s="300">
        <f t="shared" si="30"/>
        <v>0</v>
      </c>
      <c r="AJ86" s="300">
        <f t="shared" si="31"/>
        <v>0</v>
      </c>
      <c r="AN86" s="301">
        <f t="shared" si="32"/>
        <v>0</v>
      </c>
      <c r="AR86" s="300">
        <f t="shared" si="33"/>
        <v>0</v>
      </c>
      <c r="AV86" s="301">
        <f t="shared" si="34"/>
        <v>0</v>
      </c>
      <c r="AZ86" s="301">
        <f t="shared" si="35"/>
        <v>0</v>
      </c>
      <c r="BD86" s="301">
        <f t="shared" si="36"/>
        <v>0</v>
      </c>
      <c r="BH86" s="301">
        <f t="shared" si="37"/>
        <v>0</v>
      </c>
      <c r="BL86" s="301">
        <f t="shared" si="38"/>
        <v>0</v>
      </c>
      <c r="BP86" s="301">
        <f t="shared" si="52"/>
        <v>0</v>
      </c>
      <c r="BT86" s="301">
        <f t="shared" si="39"/>
        <v>0</v>
      </c>
      <c r="BX86" s="301">
        <f t="shared" si="40"/>
        <v>0</v>
      </c>
      <c r="CB86" s="301">
        <f t="shared" si="41"/>
        <v>0</v>
      </c>
      <c r="CF86" s="300">
        <f t="shared" si="107"/>
        <v>0</v>
      </c>
      <c r="CJ86" s="301">
        <f t="shared" si="0"/>
        <v>0</v>
      </c>
      <c r="CN86" s="301">
        <f t="shared" si="84"/>
        <v>0</v>
      </c>
      <c r="CR86" s="301">
        <f t="shared" si="85"/>
        <v>0</v>
      </c>
      <c r="CV86" s="301">
        <f t="shared" si="86"/>
        <v>0</v>
      </c>
      <c r="CZ86" s="301">
        <f t="shared" si="87"/>
        <v>0</v>
      </c>
      <c r="DD86" s="300">
        <f t="shared" si="115"/>
        <v>0</v>
      </c>
      <c r="DH86" s="301">
        <f t="shared" si="88"/>
        <v>0</v>
      </c>
      <c r="DI86" s="338">
        <f>'[1]ООО УК Инвестстрой М'!K42/1000</f>
        <v>22.186580000000003</v>
      </c>
      <c r="DJ86" s="338">
        <f>'[1]ООО УК Инвестстрой М'!L42/1000</f>
        <v>0</v>
      </c>
      <c r="DK86" s="338">
        <f>'[1]ООО УК Инвестстрой М'!M42/1000</f>
        <v>0</v>
      </c>
      <c r="DL86" s="301">
        <f t="shared" si="50"/>
        <v>0</v>
      </c>
      <c r="DP86" s="301">
        <f t="shared" si="82"/>
        <v>0</v>
      </c>
      <c r="DT86" s="300">
        <f t="shared" si="89"/>
        <v>0</v>
      </c>
      <c r="DX86" s="301">
        <f t="shared" si="112"/>
        <v>0</v>
      </c>
      <c r="EB86" s="301">
        <f t="shared" si="90"/>
        <v>0</v>
      </c>
      <c r="EF86" s="301">
        <f t="shared" si="91"/>
        <v>0</v>
      </c>
      <c r="EJ86" s="301">
        <f t="shared" si="92"/>
        <v>0</v>
      </c>
      <c r="EN86" s="301">
        <f t="shared" si="93"/>
        <v>0</v>
      </c>
      <c r="ER86" s="300">
        <f t="shared" si="94"/>
        <v>0</v>
      </c>
      <c r="EV86" s="300">
        <f t="shared" si="95"/>
        <v>0</v>
      </c>
      <c r="EZ86" s="301">
        <f t="shared" si="96"/>
        <v>0</v>
      </c>
      <c r="FD86" s="301">
        <f t="shared" si="97"/>
        <v>0</v>
      </c>
      <c r="FH86" s="300">
        <f t="shared" si="98"/>
        <v>0</v>
      </c>
      <c r="FL86" s="301">
        <f t="shared" si="113"/>
        <v>0</v>
      </c>
      <c r="FP86" s="301">
        <f t="shared" si="108"/>
        <v>0</v>
      </c>
      <c r="FT86" s="301">
        <f t="shared" si="99"/>
        <v>0</v>
      </c>
      <c r="FX86" s="301">
        <f t="shared" si="100"/>
        <v>0</v>
      </c>
      <c r="GB86" s="301">
        <f t="shared" si="101"/>
        <v>0</v>
      </c>
      <c r="GF86" s="301">
        <f t="shared" si="109"/>
        <v>0</v>
      </c>
      <c r="GJ86" s="301">
        <f t="shared" si="110"/>
        <v>0</v>
      </c>
      <c r="GN86" s="301">
        <f t="shared" si="103"/>
        <v>0</v>
      </c>
      <c r="GR86" s="301">
        <f t="shared" si="104"/>
        <v>0</v>
      </c>
      <c r="GV86" s="301">
        <f t="shared" si="105"/>
        <v>0</v>
      </c>
      <c r="GZ86" s="301">
        <f t="shared" si="106"/>
        <v>0</v>
      </c>
      <c r="HA86" s="328"/>
      <c r="HB86" s="339"/>
      <c r="HC86" s="286"/>
      <c r="HD86" s="286"/>
      <c r="HE86" s="286"/>
      <c r="HF86" s="286"/>
      <c r="HG86" s="286"/>
      <c r="HH86" s="286"/>
      <c r="HI86" s="286"/>
      <c r="HJ86" s="286"/>
      <c r="HK86" s="286"/>
      <c r="HL86" s="286"/>
      <c r="HM86" s="286"/>
      <c r="HN86" s="286"/>
      <c r="HO86" s="286"/>
      <c r="HP86" s="286"/>
      <c r="HQ86" s="286"/>
      <c r="HR86" s="286"/>
      <c r="HS86" s="306"/>
      <c r="HT86" s="306"/>
      <c r="HU86" s="306"/>
      <c r="HV86" s="306"/>
      <c r="HW86" s="286"/>
      <c r="HX86" s="286"/>
      <c r="HY86" s="286"/>
      <c r="HZ86" s="286"/>
      <c r="IA86" s="286"/>
      <c r="IB86" s="286"/>
      <c r="IC86" s="286"/>
      <c r="ID86" s="286"/>
      <c r="IE86" s="286"/>
      <c r="IF86" s="286"/>
      <c r="IG86" s="286"/>
      <c r="IH86" s="286"/>
      <c r="II86" s="286"/>
      <c r="IJ86" s="286"/>
      <c r="IK86" s="286"/>
      <c r="IL86" s="286"/>
      <c r="IM86" s="286"/>
      <c r="IN86" s="286"/>
      <c r="IO86" s="286"/>
      <c r="IP86" s="286"/>
      <c r="IQ86" s="286"/>
      <c r="IR86" s="286"/>
      <c r="IS86" s="286"/>
      <c r="IT86" s="286"/>
      <c r="IU86" s="286"/>
      <c r="IV86" s="286"/>
    </row>
    <row r="87" spans="1:256" s="338" customFormat="1" ht="13.5" hidden="1" customHeight="1">
      <c r="A87" s="912"/>
      <c r="B87" s="341"/>
      <c r="C87" s="380" t="s">
        <v>229</v>
      </c>
      <c r="D87" s="381" t="s">
        <v>162</v>
      </c>
      <c r="E87" s="299">
        <f t="shared" si="117"/>
        <v>0</v>
      </c>
      <c r="F87" s="299">
        <f t="shared" si="117"/>
        <v>0</v>
      </c>
      <c r="G87" s="299">
        <f t="shared" si="117"/>
        <v>0</v>
      </c>
      <c r="H87" s="299">
        <f t="shared" si="117"/>
        <v>0</v>
      </c>
      <c r="L87" s="301">
        <f t="shared" si="25"/>
        <v>0</v>
      </c>
      <c r="P87" s="301">
        <f t="shared" si="26"/>
        <v>0</v>
      </c>
      <c r="T87" s="301">
        <f t="shared" si="27"/>
        <v>0</v>
      </c>
      <c r="X87" s="301">
        <f t="shared" si="28"/>
        <v>0</v>
      </c>
      <c r="AB87" s="301">
        <f t="shared" si="29"/>
        <v>0</v>
      </c>
      <c r="AF87" s="300">
        <f t="shared" si="30"/>
        <v>0</v>
      </c>
      <c r="AJ87" s="300">
        <f t="shared" si="31"/>
        <v>0</v>
      </c>
      <c r="AN87" s="301">
        <f t="shared" si="32"/>
        <v>0</v>
      </c>
      <c r="AR87" s="300">
        <f t="shared" si="33"/>
        <v>0</v>
      </c>
      <c r="AV87" s="301">
        <f t="shared" si="34"/>
        <v>0</v>
      </c>
      <c r="AZ87" s="301">
        <f t="shared" si="35"/>
        <v>0</v>
      </c>
      <c r="BD87" s="301">
        <f t="shared" si="36"/>
        <v>0</v>
      </c>
      <c r="BH87" s="301">
        <f t="shared" si="37"/>
        <v>0</v>
      </c>
      <c r="BL87" s="301">
        <f t="shared" si="38"/>
        <v>0</v>
      </c>
      <c r="BP87" s="301">
        <f t="shared" si="52"/>
        <v>0</v>
      </c>
      <c r="BT87" s="301">
        <f t="shared" si="39"/>
        <v>0</v>
      </c>
      <c r="BX87" s="301">
        <f t="shared" si="40"/>
        <v>0</v>
      </c>
      <c r="CB87" s="301">
        <f t="shared" si="41"/>
        <v>0</v>
      </c>
      <c r="CF87" s="300">
        <f t="shared" si="107"/>
        <v>0</v>
      </c>
      <c r="CJ87" s="301">
        <f t="shared" si="0"/>
        <v>0</v>
      </c>
      <c r="CN87" s="301">
        <f t="shared" si="84"/>
        <v>0</v>
      </c>
      <c r="CR87" s="301">
        <f t="shared" si="85"/>
        <v>0</v>
      </c>
      <c r="CV87" s="301">
        <f t="shared" si="86"/>
        <v>0</v>
      </c>
      <c r="CZ87" s="301">
        <f t="shared" si="87"/>
        <v>0</v>
      </c>
      <c r="DD87" s="300">
        <f t="shared" si="115"/>
        <v>0</v>
      </c>
      <c r="DH87" s="301">
        <f t="shared" si="88"/>
        <v>0</v>
      </c>
      <c r="DI87" s="338">
        <f>'[1]ООО УК Инвестстрой М'!K45/1000</f>
        <v>0</v>
      </c>
      <c r="DJ87" s="338">
        <f>'[1]ООО УК Инвестстрой М'!L45/1000</f>
        <v>0</v>
      </c>
      <c r="DK87" s="338">
        <f>'[1]ООО УК Инвестстрой М'!M45/1000</f>
        <v>0</v>
      </c>
      <c r="DL87" s="301">
        <f t="shared" si="50"/>
        <v>0</v>
      </c>
      <c r="DP87" s="301">
        <f t="shared" si="82"/>
        <v>0</v>
      </c>
      <c r="DT87" s="300">
        <f t="shared" si="89"/>
        <v>0</v>
      </c>
      <c r="DX87" s="301">
        <f t="shared" si="112"/>
        <v>0</v>
      </c>
      <c r="EB87" s="301">
        <f t="shared" si="90"/>
        <v>0</v>
      </c>
      <c r="EF87" s="301">
        <f t="shared" si="91"/>
        <v>0</v>
      </c>
      <c r="EJ87" s="301">
        <f t="shared" si="92"/>
        <v>0</v>
      </c>
      <c r="EN87" s="301">
        <f t="shared" si="93"/>
        <v>0</v>
      </c>
      <c r="ER87" s="300">
        <f t="shared" si="94"/>
        <v>0</v>
      </c>
      <c r="EV87" s="300">
        <f t="shared" si="95"/>
        <v>0</v>
      </c>
      <c r="EZ87" s="301">
        <f t="shared" si="96"/>
        <v>0</v>
      </c>
      <c r="FD87" s="301">
        <f t="shared" si="97"/>
        <v>0</v>
      </c>
      <c r="FH87" s="300">
        <f t="shared" si="98"/>
        <v>0</v>
      </c>
      <c r="FL87" s="301">
        <f t="shared" si="113"/>
        <v>0</v>
      </c>
      <c r="FP87" s="301">
        <f t="shared" si="108"/>
        <v>0</v>
      </c>
      <c r="FT87" s="301">
        <f t="shared" si="99"/>
        <v>0</v>
      </c>
      <c r="FX87" s="301">
        <f t="shared" si="100"/>
        <v>0</v>
      </c>
      <c r="GB87" s="301">
        <f t="shared" si="101"/>
        <v>0</v>
      </c>
      <c r="GF87" s="301">
        <f t="shared" si="109"/>
        <v>0</v>
      </c>
      <c r="GJ87" s="301">
        <f t="shared" si="110"/>
        <v>0</v>
      </c>
      <c r="GN87" s="301">
        <f t="shared" si="103"/>
        <v>0</v>
      </c>
      <c r="GR87" s="301">
        <f t="shared" si="104"/>
        <v>0</v>
      </c>
      <c r="GV87" s="301">
        <f t="shared" si="105"/>
        <v>0</v>
      </c>
      <c r="GZ87" s="301">
        <f t="shared" si="106"/>
        <v>0</v>
      </c>
      <c r="HA87" s="328"/>
      <c r="HB87" s="339"/>
      <c r="HC87" s="286"/>
      <c r="HD87" s="286"/>
      <c r="HE87" s="286"/>
      <c r="HF87" s="286"/>
      <c r="HG87" s="286"/>
      <c r="HH87" s="286"/>
      <c r="HI87" s="286"/>
      <c r="HJ87" s="286"/>
      <c r="HK87" s="286"/>
      <c r="HL87" s="286"/>
      <c r="HM87" s="286"/>
      <c r="HN87" s="286"/>
      <c r="HO87" s="286"/>
      <c r="HP87" s="286"/>
      <c r="HQ87" s="286"/>
      <c r="HR87" s="286"/>
      <c r="HS87" s="306"/>
      <c r="HT87" s="306"/>
      <c r="HU87" s="306"/>
      <c r="HV87" s="306"/>
      <c r="HW87" s="286"/>
      <c r="HX87" s="286"/>
      <c r="HY87" s="286"/>
      <c r="HZ87" s="286"/>
      <c r="IA87" s="286"/>
      <c r="IB87" s="286"/>
      <c r="IC87" s="286"/>
      <c r="ID87" s="286"/>
      <c r="IE87" s="286"/>
      <c r="IF87" s="286"/>
      <c r="IG87" s="286"/>
      <c r="IH87" s="286"/>
      <c r="II87" s="286"/>
      <c r="IJ87" s="286"/>
      <c r="IK87" s="286"/>
      <c r="IL87" s="286"/>
      <c r="IM87" s="286"/>
      <c r="IN87" s="286"/>
      <c r="IO87" s="286"/>
      <c r="IP87" s="286"/>
      <c r="IQ87" s="286"/>
      <c r="IR87" s="286"/>
      <c r="IS87" s="286"/>
      <c r="IT87" s="286"/>
      <c r="IU87" s="286"/>
      <c r="IV87" s="286"/>
    </row>
    <row r="88" spans="1:256" s="338" customFormat="1" ht="13.5" hidden="1" customHeight="1">
      <c r="A88" s="912"/>
      <c r="B88" s="341"/>
      <c r="C88" s="382" t="s">
        <v>239</v>
      </c>
      <c r="D88" s="381" t="s">
        <v>162</v>
      </c>
      <c r="E88" s="301">
        <f>SUM(E89:E90)</f>
        <v>4.9595300000000009</v>
      </c>
      <c r="F88" s="301">
        <f>SUM(F89:F90)</f>
        <v>83.4916585</v>
      </c>
      <c r="G88" s="301">
        <f>SUM(G89:G90)</f>
        <v>83.4916585</v>
      </c>
      <c r="H88" s="301">
        <f>SUM(H89:H90)</f>
        <v>0</v>
      </c>
      <c r="L88" s="301">
        <f t="shared" si="25"/>
        <v>0</v>
      </c>
      <c r="M88" s="301"/>
      <c r="N88" s="301"/>
      <c r="O88" s="301"/>
      <c r="P88" s="301">
        <f t="shared" si="26"/>
        <v>0</v>
      </c>
      <c r="T88" s="301">
        <f t="shared" si="27"/>
        <v>0</v>
      </c>
      <c r="X88" s="301">
        <f t="shared" si="28"/>
        <v>0</v>
      </c>
      <c r="AB88" s="301">
        <f t="shared" si="29"/>
        <v>0</v>
      </c>
      <c r="AF88" s="300">
        <f t="shared" si="30"/>
        <v>0</v>
      </c>
      <c r="AJ88" s="300">
        <f t="shared" si="31"/>
        <v>0</v>
      </c>
      <c r="AN88" s="301">
        <f t="shared" si="32"/>
        <v>0</v>
      </c>
      <c r="AR88" s="300">
        <f t="shared" si="33"/>
        <v>0</v>
      </c>
      <c r="AV88" s="301">
        <f t="shared" si="34"/>
        <v>0</v>
      </c>
      <c r="AZ88" s="301">
        <f t="shared" si="35"/>
        <v>0</v>
      </c>
      <c r="BD88" s="301">
        <f t="shared" si="36"/>
        <v>0</v>
      </c>
      <c r="BH88" s="301">
        <f t="shared" si="37"/>
        <v>0</v>
      </c>
      <c r="BL88" s="301">
        <f t="shared" si="38"/>
        <v>0</v>
      </c>
      <c r="BP88" s="301">
        <f t="shared" si="52"/>
        <v>0</v>
      </c>
      <c r="BT88" s="301">
        <f t="shared" si="39"/>
        <v>0</v>
      </c>
      <c r="BU88" s="301">
        <f>BU89+BU90</f>
        <v>3.3610100000000003</v>
      </c>
      <c r="BV88" s="301">
        <f>BV89+BV90</f>
        <v>60.531790100000009</v>
      </c>
      <c r="BW88" s="301">
        <f>BW89+BW90</f>
        <v>60.531790100000009</v>
      </c>
      <c r="BX88" s="301">
        <f t="shared" si="40"/>
        <v>0</v>
      </c>
      <c r="CB88" s="301">
        <f t="shared" si="41"/>
        <v>0</v>
      </c>
      <c r="CF88" s="300">
        <f t="shared" si="107"/>
        <v>0</v>
      </c>
      <c r="CJ88" s="301">
        <f t="shared" si="0"/>
        <v>0</v>
      </c>
      <c r="CN88" s="301">
        <f t="shared" si="84"/>
        <v>0</v>
      </c>
      <c r="CO88" s="301">
        <f>SUM(CO89:CO90)</f>
        <v>1.5985199999999999</v>
      </c>
      <c r="CP88" s="301">
        <f>SUM(CP89:CP90)</f>
        <v>22.959868399999998</v>
      </c>
      <c r="CQ88" s="301">
        <f>SUM(CQ89:CQ90)</f>
        <v>22.959868399999998</v>
      </c>
      <c r="CR88" s="301">
        <f t="shared" si="85"/>
        <v>0</v>
      </c>
      <c r="CV88" s="301">
        <f t="shared" si="86"/>
        <v>0</v>
      </c>
      <c r="CZ88" s="301">
        <f t="shared" si="87"/>
        <v>0</v>
      </c>
      <c r="DD88" s="300">
        <f t="shared" si="115"/>
        <v>0</v>
      </c>
      <c r="DH88" s="301">
        <f t="shared" si="88"/>
        <v>0</v>
      </c>
      <c r="DL88" s="301">
        <f t="shared" si="50"/>
        <v>0</v>
      </c>
      <c r="DP88" s="301">
        <f t="shared" si="82"/>
        <v>0</v>
      </c>
      <c r="DT88" s="300">
        <f t="shared" si="89"/>
        <v>0</v>
      </c>
      <c r="DX88" s="301">
        <f t="shared" si="112"/>
        <v>0</v>
      </c>
      <c r="EB88" s="301">
        <f t="shared" si="90"/>
        <v>0</v>
      </c>
      <c r="EF88" s="301">
        <f t="shared" si="91"/>
        <v>0</v>
      </c>
      <c r="EG88" s="301"/>
      <c r="EH88" s="301"/>
      <c r="EI88" s="301"/>
      <c r="EJ88" s="301">
        <f t="shared" si="92"/>
        <v>0</v>
      </c>
      <c r="EK88" s="301"/>
      <c r="EL88" s="301"/>
      <c r="EM88" s="301"/>
      <c r="EN88" s="301">
        <f t="shared" si="93"/>
        <v>0</v>
      </c>
      <c r="EO88" s="301"/>
      <c r="EP88" s="301"/>
      <c r="EQ88" s="301"/>
      <c r="ER88" s="300">
        <f t="shared" si="94"/>
        <v>0</v>
      </c>
      <c r="ES88" s="301"/>
      <c r="ET88" s="301"/>
      <c r="EU88" s="301"/>
      <c r="EV88" s="300">
        <f t="shared" si="95"/>
        <v>0</v>
      </c>
      <c r="EZ88" s="301">
        <f t="shared" si="96"/>
        <v>0</v>
      </c>
      <c r="FA88" s="301"/>
      <c r="FB88" s="301"/>
      <c r="FC88" s="301"/>
      <c r="FD88" s="301">
        <f t="shared" si="97"/>
        <v>0</v>
      </c>
      <c r="FE88" s="301"/>
      <c r="FF88" s="301"/>
      <c r="FG88" s="301"/>
      <c r="FH88" s="300">
        <f t="shared" si="98"/>
        <v>0</v>
      </c>
      <c r="FI88" s="301"/>
      <c r="FJ88" s="301"/>
      <c r="FK88" s="301"/>
      <c r="FL88" s="301">
        <f t="shared" si="113"/>
        <v>0</v>
      </c>
      <c r="FM88" s="301">
        <f>FM89+FM90</f>
        <v>0</v>
      </c>
      <c r="FN88" s="301">
        <f>FN89+FN90</f>
        <v>0</v>
      </c>
      <c r="FO88" s="301">
        <f>FO89+FO90</f>
        <v>0</v>
      </c>
      <c r="FP88" s="301">
        <f t="shared" si="108"/>
        <v>0</v>
      </c>
      <c r="FQ88" s="301"/>
      <c r="FR88" s="301"/>
      <c r="FS88" s="301"/>
      <c r="FT88" s="301">
        <f t="shared" si="99"/>
        <v>0</v>
      </c>
      <c r="FU88" s="301"/>
      <c r="FV88" s="301"/>
      <c r="FW88" s="301"/>
      <c r="FX88" s="301">
        <f t="shared" si="100"/>
        <v>0</v>
      </c>
      <c r="FY88" s="301"/>
      <c r="FZ88" s="301"/>
      <c r="GA88" s="301"/>
      <c r="GB88" s="301">
        <f t="shared" si="101"/>
        <v>0</v>
      </c>
      <c r="GC88" s="301"/>
      <c r="GD88" s="301"/>
      <c r="GE88" s="301"/>
      <c r="GF88" s="301">
        <f t="shared" si="109"/>
        <v>0</v>
      </c>
      <c r="GG88" s="301"/>
      <c r="GH88" s="301"/>
      <c r="GI88" s="301"/>
      <c r="GJ88" s="301">
        <f t="shared" si="110"/>
        <v>0</v>
      </c>
      <c r="GK88" s="301"/>
      <c r="GL88" s="301"/>
      <c r="GM88" s="301"/>
      <c r="GN88" s="301">
        <f t="shared" si="103"/>
        <v>0</v>
      </c>
      <c r="GO88" s="301"/>
      <c r="GP88" s="301"/>
      <c r="GQ88" s="301"/>
      <c r="GR88" s="301">
        <f t="shared" si="104"/>
        <v>0</v>
      </c>
      <c r="GS88" s="301"/>
      <c r="GT88" s="301"/>
      <c r="GU88" s="301"/>
      <c r="GV88" s="301">
        <f t="shared" si="105"/>
        <v>0</v>
      </c>
      <c r="GW88" s="301"/>
      <c r="GX88" s="301"/>
      <c r="GY88" s="301"/>
      <c r="GZ88" s="301">
        <f t="shared" si="106"/>
        <v>0</v>
      </c>
      <c r="HA88" s="328"/>
      <c r="HB88" s="339"/>
      <c r="HC88" s="286"/>
      <c r="HD88" s="286"/>
      <c r="HE88" s="286"/>
      <c r="HF88" s="286"/>
      <c r="HG88" s="286"/>
      <c r="HH88" s="286"/>
      <c r="HI88" s="286"/>
      <c r="HJ88" s="286"/>
      <c r="HK88" s="286"/>
      <c r="HL88" s="286"/>
      <c r="HM88" s="286"/>
      <c r="HN88" s="286"/>
      <c r="HO88" s="286"/>
      <c r="HP88" s="286"/>
      <c r="HQ88" s="286"/>
      <c r="HR88" s="286"/>
      <c r="HS88" s="306"/>
      <c r="HT88" s="306"/>
      <c r="HU88" s="306"/>
      <c r="HV88" s="306"/>
      <c r="HW88" s="286"/>
      <c r="HX88" s="286"/>
      <c r="HY88" s="286"/>
      <c r="HZ88" s="286"/>
      <c r="IA88" s="286"/>
      <c r="IB88" s="286"/>
      <c r="IC88" s="286"/>
      <c r="ID88" s="286"/>
      <c r="IE88" s="286"/>
      <c r="IF88" s="286"/>
      <c r="IG88" s="286"/>
      <c r="IH88" s="286"/>
      <c r="II88" s="286"/>
      <c r="IJ88" s="286"/>
      <c r="IK88" s="286"/>
      <c r="IL88" s="286"/>
      <c r="IM88" s="286"/>
      <c r="IN88" s="286"/>
      <c r="IO88" s="286"/>
      <c r="IP88" s="286"/>
      <c r="IQ88" s="286"/>
      <c r="IR88" s="286"/>
      <c r="IS88" s="286"/>
      <c r="IT88" s="286"/>
      <c r="IU88" s="286"/>
      <c r="IV88" s="286"/>
    </row>
    <row r="89" spans="1:256" s="338" customFormat="1" ht="13.5" hidden="1" customHeight="1">
      <c r="A89" s="912"/>
      <c r="B89" s="341"/>
      <c r="C89" s="380" t="s">
        <v>228</v>
      </c>
      <c r="D89" s="381" t="s">
        <v>162</v>
      </c>
      <c r="E89" s="299">
        <f t="shared" ref="E89:H90" si="118">I89+M89+Q89+U89+Y89+AC89+AG89+AK89+AO89+AS89+AW89+BA89+BE89+BI89+BM89+BQ89+BU89+BY89+CC89+CG89+CK89+CO89+CS89+CW89+DA89+DE89+DI89+DM89+DQ89+DU89+DY89+EC89+EG89+EK89+EO89+ES89+EW89+FA89+FE89+FI89+FM89+FQ89+FU89+FY89+GC89+GK89+GG89+GO89+GS89+GW89</f>
        <v>4.6358500000000005</v>
      </c>
      <c r="F89" s="299">
        <f t="shared" si="118"/>
        <v>83.4916585</v>
      </c>
      <c r="G89" s="299">
        <f t="shared" si="118"/>
        <v>83.4916585</v>
      </c>
      <c r="H89" s="299">
        <f t="shared" si="118"/>
        <v>0</v>
      </c>
      <c r="L89" s="301">
        <f t="shared" si="25"/>
        <v>0</v>
      </c>
      <c r="P89" s="301">
        <f t="shared" si="26"/>
        <v>0</v>
      </c>
      <c r="T89" s="301">
        <f t="shared" si="27"/>
        <v>0</v>
      </c>
      <c r="X89" s="301">
        <f t="shared" si="28"/>
        <v>0</v>
      </c>
      <c r="AB89" s="301">
        <f t="shared" si="29"/>
        <v>0</v>
      </c>
      <c r="AF89" s="300">
        <f t="shared" si="30"/>
        <v>0</v>
      </c>
      <c r="AJ89" s="300">
        <f t="shared" si="31"/>
        <v>0</v>
      </c>
      <c r="AN89" s="301">
        <f t="shared" si="32"/>
        <v>0</v>
      </c>
      <c r="AR89" s="300">
        <f t="shared" si="33"/>
        <v>0</v>
      </c>
      <c r="AV89" s="301">
        <f t="shared" si="34"/>
        <v>0</v>
      </c>
      <c r="AZ89" s="301">
        <f t="shared" si="35"/>
        <v>0</v>
      </c>
      <c r="BD89" s="301">
        <f t="shared" si="36"/>
        <v>0</v>
      </c>
      <c r="BH89" s="301">
        <f t="shared" si="37"/>
        <v>0</v>
      </c>
      <c r="BL89" s="301">
        <f t="shared" si="38"/>
        <v>0</v>
      </c>
      <c r="BP89" s="301">
        <f t="shared" si="52"/>
        <v>0</v>
      </c>
      <c r="BT89" s="301">
        <f t="shared" si="39"/>
        <v>0</v>
      </c>
      <c r="BU89" s="338">
        <f>'[1]ОАО ДК Лен р-на'!K177/1000</f>
        <v>3.3610100000000003</v>
      </c>
      <c r="BV89" s="338">
        <f>'[1]ОАО ДК Лен р-на'!L177/1000</f>
        <v>60.531790100000009</v>
      </c>
      <c r="BW89" s="338">
        <f>'[1]ОАО ДК Лен р-на'!M177/1000</f>
        <v>60.531790100000009</v>
      </c>
      <c r="BX89" s="301">
        <f t="shared" si="40"/>
        <v>0</v>
      </c>
      <c r="CB89" s="301">
        <f t="shared" si="41"/>
        <v>0</v>
      </c>
      <c r="CF89" s="300">
        <f t="shared" si="107"/>
        <v>0</v>
      </c>
      <c r="CJ89" s="301">
        <f t="shared" si="0"/>
        <v>0</v>
      </c>
      <c r="CN89" s="301">
        <f t="shared" si="84"/>
        <v>0</v>
      </c>
      <c r="CO89" s="338">
        <f>'[1]Север-1'!K75/1000</f>
        <v>1.27484</v>
      </c>
      <c r="CP89" s="338">
        <f>'[1]Север-1'!L75/1000</f>
        <v>22.959868399999998</v>
      </c>
      <c r="CQ89" s="338">
        <f>'[1]Север-1'!M75/1000</f>
        <v>22.959868399999998</v>
      </c>
      <c r="CR89" s="301">
        <f t="shared" si="85"/>
        <v>0</v>
      </c>
      <c r="CV89" s="301">
        <f t="shared" si="86"/>
        <v>0</v>
      </c>
      <c r="CZ89" s="301">
        <f t="shared" si="87"/>
        <v>0</v>
      </c>
      <c r="DD89" s="300">
        <f t="shared" si="115"/>
        <v>0</v>
      </c>
      <c r="DH89" s="301">
        <f t="shared" si="88"/>
        <v>0</v>
      </c>
      <c r="DL89" s="301">
        <f t="shared" si="50"/>
        <v>0</v>
      </c>
      <c r="DP89" s="301">
        <f t="shared" si="82"/>
        <v>0</v>
      </c>
      <c r="DT89" s="300">
        <f t="shared" si="89"/>
        <v>0</v>
      </c>
      <c r="DX89" s="301">
        <f t="shared" si="112"/>
        <v>0</v>
      </c>
      <c r="EB89" s="301">
        <f t="shared" si="90"/>
        <v>0</v>
      </c>
      <c r="EF89" s="301">
        <f t="shared" si="91"/>
        <v>0</v>
      </c>
      <c r="EJ89" s="301">
        <f t="shared" si="92"/>
        <v>0</v>
      </c>
      <c r="EN89" s="301">
        <f t="shared" si="93"/>
        <v>0</v>
      </c>
      <c r="ER89" s="300">
        <f t="shared" si="94"/>
        <v>0</v>
      </c>
      <c r="EV89" s="300">
        <f t="shared" si="95"/>
        <v>0</v>
      </c>
      <c r="EZ89" s="301">
        <f t="shared" si="96"/>
        <v>0</v>
      </c>
      <c r="FD89" s="301">
        <f t="shared" si="97"/>
        <v>0</v>
      </c>
      <c r="FH89" s="300">
        <f t="shared" si="98"/>
        <v>0</v>
      </c>
      <c r="FL89" s="301">
        <f t="shared" si="113"/>
        <v>0</v>
      </c>
      <c r="FM89" s="338">
        <f>'[1]ООО Технология'!K176/1000</f>
        <v>0</v>
      </c>
      <c r="FN89" s="338">
        <f>'[1]ООО Технология'!L176/1000</f>
        <v>0</v>
      </c>
      <c r="FO89" s="338">
        <f>'[1]ООО Технология'!M176/1000</f>
        <v>0</v>
      </c>
      <c r="FP89" s="301">
        <f t="shared" si="108"/>
        <v>0</v>
      </c>
      <c r="FT89" s="301">
        <f t="shared" si="99"/>
        <v>0</v>
      </c>
      <c r="FX89" s="301">
        <f t="shared" si="100"/>
        <v>0</v>
      </c>
      <c r="GB89" s="301">
        <f t="shared" si="101"/>
        <v>0</v>
      </c>
      <c r="GF89" s="301">
        <f t="shared" si="109"/>
        <v>0</v>
      </c>
      <c r="GJ89" s="301">
        <f t="shared" si="110"/>
        <v>0</v>
      </c>
      <c r="GN89" s="301">
        <f t="shared" si="103"/>
        <v>0</v>
      </c>
      <c r="GR89" s="301">
        <f t="shared" si="104"/>
        <v>0</v>
      </c>
      <c r="GV89" s="301">
        <f t="shared" si="105"/>
        <v>0</v>
      </c>
      <c r="GZ89" s="301">
        <f t="shared" si="106"/>
        <v>0</v>
      </c>
      <c r="HA89" s="328"/>
      <c r="HB89" s="339"/>
      <c r="HC89" s="286"/>
      <c r="HD89" s="286"/>
      <c r="HE89" s="286"/>
      <c r="HF89" s="286"/>
      <c r="HG89" s="286"/>
      <c r="HH89" s="286"/>
      <c r="HI89" s="286"/>
      <c r="HJ89" s="286"/>
      <c r="HK89" s="286"/>
      <c r="HL89" s="286"/>
      <c r="HM89" s="286"/>
      <c r="HN89" s="286"/>
      <c r="HO89" s="286"/>
      <c r="HP89" s="286"/>
      <c r="HQ89" s="286"/>
      <c r="HR89" s="286"/>
      <c r="HS89" s="306"/>
      <c r="HT89" s="306"/>
      <c r="HU89" s="306"/>
      <c r="HV89" s="306"/>
      <c r="HW89" s="286"/>
      <c r="HX89" s="286"/>
      <c r="HY89" s="286"/>
      <c r="HZ89" s="286"/>
      <c r="IA89" s="286"/>
      <c r="IB89" s="286"/>
      <c r="IC89" s="286"/>
      <c r="ID89" s="286"/>
      <c r="IE89" s="286"/>
      <c r="IF89" s="286"/>
      <c r="IG89" s="286"/>
      <c r="IH89" s="286"/>
      <c r="II89" s="286"/>
      <c r="IJ89" s="286"/>
      <c r="IK89" s="286"/>
      <c r="IL89" s="286"/>
      <c r="IM89" s="286"/>
      <c r="IN89" s="286"/>
      <c r="IO89" s="286"/>
      <c r="IP89" s="286"/>
      <c r="IQ89" s="286"/>
      <c r="IR89" s="286"/>
      <c r="IS89" s="286"/>
      <c r="IT89" s="286"/>
      <c r="IU89" s="286"/>
      <c r="IV89" s="286"/>
    </row>
    <row r="90" spans="1:256" s="338" customFormat="1" ht="13.5" hidden="1" customHeight="1">
      <c r="A90" s="912"/>
      <c r="B90" s="341"/>
      <c r="C90" s="380" t="s">
        <v>229</v>
      </c>
      <c r="D90" s="381" t="s">
        <v>162</v>
      </c>
      <c r="E90" s="299">
        <f t="shared" si="118"/>
        <v>0.32368000000000002</v>
      </c>
      <c r="F90" s="299">
        <f t="shared" si="118"/>
        <v>0</v>
      </c>
      <c r="G90" s="299">
        <f t="shared" si="118"/>
        <v>0</v>
      </c>
      <c r="H90" s="299">
        <f t="shared" si="118"/>
        <v>0</v>
      </c>
      <c r="L90" s="301">
        <f t="shared" si="25"/>
        <v>0</v>
      </c>
      <c r="P90" s="301">
        <f t="shared" si="26"/>
        <v>0</v>
      </c>
      <c r="T90" s="301">
        <f t="shared" si="27"/>
        <v>0</v>
      </c>
      <c r="X90" s="301">
        <f t="shared" si="28"/>
        <v>0</v>
      </c>
      <c r="AB90" s="301">
        <f t="shared" si="29"/>
        <v>0</v>
      </c>
      <c r="AF90" s="300">
        <f t="shared" si="30"/>
        <v>0</v>
      </c>
      <c r="AJ90" s="300">
        <f t="shared" si="31"/>
        <v>0</v>
      </c>
      <c r="AN90" s="301">
        <f t="shared" si="32"/>
        <v>0</v>
      </c>
      <c r="AR90" s="300">
        <f t="shared" si="33"/>
        <v>0</v>
      </c>
      <c r="AV90" s="301">
        <f t="shared" si="34"/>
        <v>0</v>
      </c>
      <c r="AZ90" s="301">
        <f t="shared" si="35"/>
        <v>0</v>
      </c>
      <c r="BD90" s="301">
        <f t="shared" si="36"/>
        <v>0</v>
      </c>
      <c r="BH90" s="301">
        <f t="shared" si="37"/>
        <v>0</v>
      </c>
      <c r="BL90" s="301">
        <f t="shared" si="38"/>
        <v>0</v>
      </c>
      <c r="BP90" s="301">
        <f t="shared" si="52"/>
        <v>0</v>
      </c>
      <c r="BT90" s="301">
        <f t="shared" si="39"/>
        <v>0</v>
      </c>
      <c r="BU90" s="338">
        <f>'[1]ОАО ДК Лен р-на'!K182/1000</f>
        <v>0</v>
      </c>
      <c r="BV90" s="338">
        <f>'[1]ОАО ДК Лен р-на'!L182/1000</f>
        <v>0</v>
      </c>
      <c r="BW90" s="338">
        <f>'[1]ОАО ДК Лен р-на'!M182/1000</f>
        <v>0</v>
      </c>
      <c r="BX90" s="301">
        <f t="shared" si="40"/>
        <v>0</v>
      </c>
      <c r="CB90" s="301">
        <f t="shared" si="41"/>
        <v>0</v>
      </c>
      <c r="CF90" s="300">
        <f t="shared" si="107"/>
        <v>0</v>
      </c>
      <c r="CJ90" s="301">
        <f t="shared" si="0"/>
        <v>0</v>
      </c>
      <c r="CN90" s="301">
        <f t="shared" si="84"/>
        <v>0</v>
      </c>
      <c r="CO90" s="338">
        <f>'[1]Север-1'!K80/1000</f>
        <v>0.32368000000000002</v>
      </c>
      <c r="CP90" s="338">
        <f>'[1]Север-1'!L80/1000*0</f>
        <v>0</v>
      </c>
      <c r="CQ90" s="338">
        <f>'[1]Север-1'!M80/1000*0</f>
        <v>0</v>
      </c>
      <c r="CR90" s="301">
        <f t="shared" si="85"/>
        <v>0</v>
      </c>
      <c r="CV90" s="301">
        <f t="shared" si="86"/>
        <v>0</v>
      </c>
      <c r="CZ90" s="301">
        <f t="shared" si="87"/>
        <v>0</v>
      </c>
      <c r="DD90" s="300">
        <f t="shared" si="115"/>
        <v>0</v>
      </c>
      <c r="DH90" s="301">
        <f t="shared" si="88"/>
        <v>0</v>
      </c>
      <c r="DL90" s="301">
        <f t="shared" si="50"/>
        <v>0</v>
      </c>
      <c r="DP90" s="301">
        <f t="shared" si="82"/>
        <v>0</v>
      </c>
      <c r="DT90" s="300">
        <f t="shared" si="89"/>
        <v>0</v>
      </c>
      <c r="DX90" s="301">
        <f t="shared" si="112"/>
        <v>0</v>
      </c>
      <c r="EB90" s="301">
        <f t="shared" si="90"/>
        <v>0</v>
      </c>
      <c r="EF90" s="301">
        <f t="shared" si="91"/>
        <v>0</v>
      </c>
      <c r="EJ90" s="301">
        <f t="shared" si="92"/>
        <v>0</v>
      </c>
      <c r="EN90" s="301">
        <f t="shared" si="93"/>
        <v>0</v>
      </c>
      <c r="ER90" s="300">
        <f t="shared" si="94"/>
        <v>0</v>
      </c>
      <c r="EV90" s="300">
        <f t="shared" si="95"/>
        <v>0</v>
      </c>
      <c r="EZ90" s="301">
        <f t="shared" si="96"/>
        <v>0</v>
      </c>
      <c r="FD90" s="301">
        <f t="shared" si="97"/>
        <v>0</v>
      </c>
      <c r="FH90" s="300">
        <f t="shared" si="98"/>
        <v>0</v>
      </c>
      <c r="FL90" s="301">
        <f t="shared" si="113"/>
        <v>0</v>
      </c>
      <c r="FP90" s="301">
        <f t="shared" si="108"/>
        <v>0</v>
      </c>
      <c r="FT90" s="301">
        <f t="shared" si="99"/>
        <v>0</v>
      </c>
      <c r="FX90" s="301">
        <f t="shared" si="100"/>
        <v>0</v>
      </c>
      <c r="GB90" s="301">
        <f t="shared" si="101"/>
        <v>0</v>
      </c>
      <c r="GF90" s="301">
        <f t="shared" si="109"/>
        <v>0</v>
      </c>
      <c r="GJ90" s="301">
        <f t="shared" si="110"/>
        <v>0</v>
      </c>
      <c r="GN90" s="301">
        <f t="shared" si="103"/>
        <v>0</v>
      </c>
      <c r="GR90" s="301">
        <f t="shared" si="104"/>
        <v>0</v>
      </c>
      <c r="GV90" s="301">
        <f t="shared" si="105"/>
        <v>0</v>
      </c>
      <c r="GZ90" s="301">
        <f t="shared" si="106"/>
        <v>0</v>
      </c>
      <c r="HA90" s="328"/>
      <c r="HB90" s="339"/>
      <c r="HC90" s="286"/>
      <c r="HD90" s="286"/>
      <c r="HE90" s="286"/>
      <c r="HF90" s="286"/>
      <c r="HG90" s="286"/>
      <c r="HH90" s="286"/>
      <c r="HI90" s="286"/>
      <c r="HJ90" s="286"/>
      <c r="HK90" s="286"/>
      <c r="HL90" s="286"/>
      <c r="HM90" s="286"/>
      <c r="HN90" s="286"/>
      <c r="HO90" s="286"/>
      <c r="HP90" s="286"/>
      <c r="HQ90" s="286"/>
      <c r="HR90" s="286"/>
      <c r="HS90" s="306"/>
      <c r="HT90" s="306"/>
      <c r="HU90" s="306"/>
      <c r="HV90" s="306"/>
      <c r="HW90" s="286"/>
      <c r="HX90" s="286"/>
      <c r="HY90" s="286"/>
      <c r="HZ90" s="286"/>
      <c r="IA90" s="286"/>
      <c r="IB90" s="286"/>
      <c r="IC90" s="286"/>
      <c r="ID90" s="286"/>
      <c r="IE90" s="286"/>
      <c r="IF90" s="286"/>
      <c r="IG90" s="286"/>
      <c r="IH90" s="286"/>
      <c r="II90" s="286"/>
      <c r="IJ90" s="286"/>
      <c r="IK90" s="286"/>
      <c r="IL90" s="286"/>
      <c r="IM90" s="286"/>
      <c r="IN90" s="286"/>
      <c r="IO90" s="286"/>
      <c r="IP90" s="286"/>
      <c r="IQ90" s="286"/>
      <c r="IR90" s="286"/>
      <c r="IS90" s="286"/>
      <c r="IT90" s="286"/>
      <c r="IU90" s="286"/>
      <c r="IV90" s="286"/>
    </row>
    <row r="91" spans="1:256" s="338" customFormat="1" ht="13.5" hidden="1" customHeight="1">
      <c r="A91" s="912"/>
      <c r="B91" s="341"/>
      <c r="C91" s="382" t="s">
        <v>240</v>
      </c>
      <c r="D91" s="381" t="s">
        <v>162</v>
      </c>
      <c r="E91" s="301">
        <f>SUM(E92:E93)</f>
        <v>16.123239999999999</v>
      </c>
      <c r="F91" s="301">
        <f>SUM(F92:F93)</f>
        <v>0</v>
      </c>
      <c r="G91" s="301">
        <f>SUM(G92:G93)</f>
        <v>0</v>
      </c>
      <c r="H91" s="301">
        <f>SUM(H92:H93)</f>
        <v>0</v>
      </c>
      <c r="L91" s="301">
        <f t="shared" si="25"/>
        <v>0</v>
      </c>
      <c r="M91" s="301"/>
      <c r="N91" s="301"/>
      <c r="O91" s="301"/>
      <c r="P91" s="301">
        <f t="shared" si="26"/>
        <v>0</v>
      </c>
      <c r="T91" s="301">
        <f t="shared" si="27"/>
        <v>0</v>
      </c>
      <c r="X91" s="301">
        <f t="shared" si="28"/>
        <v>0</v>
      </c>
      <c r="AB91" s="301">
        <f t="shared" si="29"/>
        <v>0</v>
      </c>
      <c r="AF91" s="300">
        <f t="shared" si="30"/>
        <v>0</v>
      </c>
      <c r="AJ91" s="300">
        <f t="shared" si="31"/>
        <v>0</v>
      </c>
      <c r="AN91" s="301">
        <f t="shared" si="32"/>
        <v>0</v>
      </c>
      <c r="AR91" s="300">
        <f t="shared" si="33"/>
        <v>0</v>
      </c>
      <c r="AV91" s="301">
        <f t="shared" si="34"/>
        <v>0</v>
      </c>
      <c r="AZ91" s="301">
        <f t="shared" si="35"/>
        <v>0</v>
      </c>
      <c r="BD91" s="301">
        <f t="shared" si="36"/>
        <v>0</v>
      </c>
      <c r="BH91" s="301">
        <f t="shared" si="37"/>
        <v>0</v>
      </c>
      <c r="BL91" s="301">
        <f t="shared" si="38"/>
        <v>0</v>
      </c>
      <c r="BP91" s="301">
        <f t="shared" si="52"/>
        <v>0</v>
      </c>
      <c r="BT91" s="301">
        <f t="shared" si="39"/>
        <v>0</v>
      </c>
      <c r="BU91" s="301"/>
      <c r="BV91" s="301"/>
      <c r="BW91" s="301"/>
      <c r="BX91" s="301">
        <f t="shared" si="40"/>
        <v>0</v>
      </c>
      <c r="CB91" s="301">
        <f t="shared" si="41"/>
        <v>0</v>
      </c>
      <c r="CF91" s="300">
        <f t="shared" si="107"/>
        <v>0</v>
      </c>
      <c r="CJ91" s="301">
        <f t="shared" si="0"/>
        <v>0</v>
      </c>
      <c r="CN91" s="301">
        <f t="shared" si="84"/>
        <v>0</v>
      </c>
      <c r="CR91" s="301">
        <f t="shared" si="85"/>
        <v>0</v>
      </c>
      <c r="CV91" s="301">
        <f t="shared" si="86"/>
        <v>0</v>
      </c>
      <c r="CZ91" s="301">
        <f t="shared" si="87"/>
        <v>0</v>
      </c>
      <c r="DD91" s="300">
        <f t="shared" si="115"/>
        <v>0</v>
      </c>
      <c r="DH91" s="301">
        <f t="shared" si="88"/>
        <v>0</v>
      </c>
      <c r="DL91" s="301">
        <f t="shared" si="50"/>
        <v>0</v>
      </c>
      <c r="DP91" s="301">
        <f t="shared" si="82"/>
        <v>0</v>
      </c>
      <c r="DT91" s="300">
        <f t="shared" si="89"/>
        <v>0</v>
      </c>
      <c r="DX91" s="301">
        <f t="shared" si="112"/>
        <v>0</v>
      </c>
      <c r="EB91" s="301">
        <f t="shared" si="90"/>
        <v>0</v>
      </c>
      <c r="EF91" s="301">
        <f t="shared" si="91"/>
        <v>0</v>
      </c>
      <c r="EG91" s="301"/>
      <c r="EH91" s="301"/>
      <c r="EI91" s="301"/>
      <c r="EJ91" s="301">
        <f t="shared" si="92"/>
        <v>0</v>
      </c>
      <c r="EK91" s="301"/>
      <c r="EL91" s="301"/>
      <c r="EM91" s="301"/>
      <c r="EN91" s="301">
        <f t="shared" si="93"/>
        <v>0</v>
      </c>
      <c r="EO91" s="301"/>
      <c r="EP91" s="301"/>
      <c r="EQ91" s="301"/>
      <c r="ER91" s="300">
        <f t="shared" si="94"/>
        <v>0</v>
      </c>
      <c r="ES91" s="301"/>
      <c r="ET91" s="301"/>
      <c r="EU91" s="301"/>
      <c r="EV91" s="300">
        <f t="shared" si="95"/>
        <v>0</v>
      </c>
      <c r="EZ91" s="301">
        <f t="shared" si="96"/>
        <v>0</v>
      </c>
      <c r="FA91" s="301"/>
      <c r="FB91" s="301"/>
      <c r="FC91" s="301"/>
      <c r="FD91" s="301">
        <f t="shared" si="97"/>
        <v>0</v>
      </c>
      <c r="FE91" s="301"/>
      <c r="FF91" s="301"/>
      <c r="FG91" s="301"/>
      <c r="FH91" s="300">
        <f t="shared" si="98"/>
        <v>0</v>
      </c>
      <c r="FI91" s="301"/>
      <c r="FJ91" s="301"/>
      <c r="FK91" s="301"/>
      <c r="FL91" s="301">
        <f t="shared" si="113"/>
        <v>0</v>
      </c>
      <c r="FM91" s="301"/>
      <c r="FN91" s="301"/>
      <c r="FO91" s="301"/>
      <c r="FP91" s="301">
        <f t="shared" si="108"/>
        <v>0</v>
      </c>
      <c r="FQ91" s="301"/>
      <c r="FR91" s="301"/>
      <c r="FS91" s="301"/>
      <c r="FT91" s="301">
        <f t="shared" si="99"/>
        <v>0</v>
      </c>
      <c r="FU91" s="301">
        <f>SUM(FU92:FU93)</f>
        <v>16.123239999999999</v>
      </c>
      <c r="FV91" s="301">
        <f>SUM(FV92:FV93)</f>
        <v>0</v>
      </c>
      <c r="FW91" s="301">
        <f>SUM(FW92:FW93)</f>
        <v>0</v>
      </c>
      <c r="FX91" s="301">
        <f t="shared" si="100"/>
        <v>0</v>
      </c>
      <c r="FY91" s="301"/>
      <c r="FZ91" s="301"/>
      <c r="GA91" s="301"/>
      <c r="GB91" s="301">
        <f t="shared" si="101"/>
        <v>0</v>
      </c>
      <c r="GC91" s="301"/>
      <c r="GD91" s="301"/>
      <c r="GE91" s="301"/>
      <c r="GF91" s="301">
        <f t="shared" si="109"/>
        <v>0</v>
      </c>
      <c r="GG91" s="301"/>
      <c r="GH91" s="301"/>
      <c r="GI91" s="301"/>
      <c r="GJ91" s="301">
        <f t="shared" si="110"/>
        <v>0</v>
      </c>
      <c r="GK91" s="301"/>
      <c r="GL91" s="301"/>
      <c r="GM91" s="301"/>
      <c r="GN91" s="301">
        <f t="shared" si="103"/>
        <v>0</v>
      </c>
      <c r="GO91" s="301"/>
      <c r="GP91" s="301"/>
      <c r="GQ91" s="301"/>
      <c r="GR91" s="301">
        <f t="shared" si="104"/>
        <v>0</v>
      </c>
      <c r="GS91" s="301"/>
      <c r="GT91" s="301"/>
      <c r="GU91" s="301"/>
      <c r="GV91" s="301">
        <f t="shared" si="105"/>
        <v>0</v>
      </c>
      <c r="GW91" s="301"/>
      <c r="GX91" s="301"/>
      <c r="GY91" s="301"/>
      <c r="GZ91" s="301">
        <f t="shared" si="106"/>
        <v>0</v>
      </c>
      <c r="HA91" s="328"/>
      <c r="HB91" s="339"/>
      <c r="HC91" s="286"/>
      <c r="HD91" s="286"/>
      <c r="HE91" s="286"/>
      <c r="HF91" s="286"/>
      <c r="HG91" s="340"/>
      <c r="HH91" s="286"/>
      <c r="HI91" s="286"/>
      <c r="HJ91" s="286"/>
      <c r="HK91" s="286"/>
      <c r="HL91" s="286"/>
      <c r="HM91" s="286"/>
      <c r="HN91" s="286"/>
      <c r="HO91" s="286"/>
      <c r="HP91" s="286"/>
      <c r="HQ91" s="286"/>
      <c r="HR91" s="286"/>
      <c r="HS91" s="306"/>
      <c r="HT91" s="306"/>
      <c r="HU91" s="306"/>
      <c r="HV91" s="306"/>
      <c r="HW91" s="286"/>
      <c r="HX91" s="286"/>
      <c r="HY91" s="286"/>
      <c r="HZ91" s="286"/>
      <c r="IA91" s="286"/>
      <c r="IB91" s="286"/>
      <c r="IC91" s="286"/>
      <c r="ID91" s="286"/>
      <c r="IE91" s="286"/>
      <c r="IF91" s="286"/>
      <c r="IG91" s="286"/>
      <c r="IH91" s="286"/>
      <c r="II91" s="286"/>
      <c r="IJ91" s="286"/>
      <c r="IK91" s="286"/>
      <c r="IL91" s="286"/>
      <c r="IM91" s="286"/>
      <c r="IN91" s="286"/>
      <c r="IO91" s="286"/>
      <c r="IP91" s="286"/>
      <c r="IQ91" s="286"/>
      <c r="IR91" s="286"/>
      <c r="IS91" s="286"/>
      <c r="IT91" s="286"/>
      <c r="IU91" s="286"/>
      <c r="IV91" s="286"/>
    </row>
    <row r="92" spans="1:256" s="338" customFormat="1" ht="13.5" hidden="1" customHeight="1">
      <c r="A92" s="912"/>
      <c r="B92" s="341"/>
      <c r="C92" s="380" t="s">
        <v>228</v>
      </c>
      <c r="D92" s="381" t="s">
        <v>162</v>
      </c>
      <c r="E92" s="299">
        <f t="shared" ref="E92:H93" si="119">I92+M92+Q92+U92+Y92+AC92+AG92+AK92+AO92+AS92+AW92+BA92+BE92+BI92+BM92+BQ92+BU92+BY92+CC92+CG92+CK92+CO92+CS92+CW92+DA92+DE92+DI92+DM92+DQ92+DU92+DY92+EC92+EG92+EK92+EO92+ES92+EW92+FA92+FE92+FI92+FM92+FQ92+FU92+FY92+GC92+GK92+GG92+GO92+GS92+GW92</f>
        <v>0</v>
      </c>
      <c r="F92" s="299">
        <f t="shared" si="119"/>
        <v>0</v>
      </c>
      <c r="G92" s="299">
        <f t="shared" si="119"/>
        <v>0</v>
      </c>
      <c r="H92" s="299">
        <f t="shared" si="119"/>
        <v>0</v>
      </c>
      <c r="L92" s="301">
        <f t="shared" si="25"/>
        <v>0</v>
      </c>
      <c r="P92" s="301">
        <f t="shared" si="26"/>
        <v>0</v>
      </c>
      <c r="T92" s="301">
        <f t="shared" si="27"/>
        <v>0</v>
      </c>
      <c r="X92" s="301">
        <f t="shared" si="28"/>
        <v>0</v>
      </c>
      <c r="AB92" s="301">
        <f t="shared" si="29"/>
        <v>0</v>
      </c>
      <c r="AF92" s="300">
        <f t="shared" si="30"/>
        <v>0</v>
      </c>
      <c r="AJ92" s="300">
        <f t="shared" si="31"/>
        <v>0</v>
      </c>
      <c r="AN92" s="301">
        <f t="shared" si="32"/>
        <v>0</v>
      </c>
      <c r="AR92" s="300">
        <f t="shared" si="33"/>
        <v>0</v>
      </c>
      <c r="AV92" s="301">
        <f t="shared" si="34"/>
        <v>0</v>
      </c>
      <c r="AZ92" s="301">
        <f t="shared" si="35"/>
        <v>0</v>
      </c>
      <c r="BD92" s="301">
        <f t="shared" si="36"/>
        <v>0</v>
      </c>
      <c r="BH92" s="301">
        <f t="shared" si="37"/>
        <v>0</v>
      </c>
      <c r="BL92" s="301">
        <f t="shared" si="38"/>
        <v>0</v>
      </c>
      <c r="BP92" s="301">
        <f t="shared" si="52"/>
        <v>0</v>
      </c>
      <c r="BT92" s="301">
        <f t="shared" si="39"/>
        <v>0</v>
      </c>
      <c r="BX92" s="301">
        <f t="shared" si="40"/>
        <v>0</v>
      </c>
      <c r="CB92" s="301">
        <f t="shared" si="41"/>
        <v>0</v>
      </c>
      <c r="CF92" s="300">
        <f t="shared" si="107"/>
        <v>0</v>
      </c>
      <c r="CJ92" s="301">
        <f t="shared" si="0"/>
        <v>0</v>
      </c>
      <c r="CN92" s="301">
        <f t="shared" si="84"/>
        <v>0</v>
      </c>
      <c r="CR92" s="301">
        <f t="shared" si="85"/>
        <v>0</v>
      </c>
      <c r="CV92" s="301">
        <f t="shared" si="86"/>
        <v>0</v>
      </c>
      <c r="CZ92" s="301">
        <f t="shared" si="87"/>
        <v>0</v>
      </c>
      <c r="DD92" s="300">
        <f t="shared" si="115"/>
        <v>0</v>
      </c>
      <c r="DH92" s="301">
        <f t="shared" si="88"/>
        <v>0</v>
      </c>
      <c r="DL92" s="301">
        <f t="shared" si="50"/>
        <v>0</v>
      </c>
      <c r="DP92" s="301">
        <f t="shared" si="82"/>
        <v>0</v>
      </c>
      <c r="DT92" s="300">
        <f t="shared" si="89"/>
        <v>0</v>
      </c>
      <c r="DX92" s="301">
        <f t="shared" si="112"/>
        <v>0</v>
      </c>
      <c r="EB92" s="301">
        <f t="shared" si="90"/>
        <v>0</v>
      </c>
      <c r="EF92" s="301">
        <f t="shared" si="91"/>
        <v>0</v>
      </c>
      <c r="EJ92" s="301">
        <f t="shared" si="92"/>
        <v>0</v>
      </c>
      <c r="EN92" s="301">
        <f t="shared" si="93"/>
        <v>0</v>
      </c>
      <c r="ER92" s="300">
        <f t="shared" si="94"/>
        <v>0</v>
      </c>
      <c r="EV92" s="300">
        <f t="shared" si="95"/>
        <v>0</v>
      </c>
      <c r="EZ92" s="301">
        <f t="shared" si="96"/>
        <v>0</v>
      </c>
      <c r="FD92" s="301">
        <f t="shared" si="97"/>
        <v>0</v>
      </c>
      <c r="FH92" s="300">
        <f t="shared" si="98"/>
        <v>0</v>
      </c>
      <c r="FL92" s="301">
        <f t="shared" si="113"/>
        <v>0</v>
      </c>
      <c r="FP92" s="301">
        <f t="shared" si="108"/>
        <v>0</v>
      </c>
      <c r="FT92" s="301">
        <f t="shared" si="99"/>
        <v>0</v>
      </c>
      <c r="FU92" s="338">
        <f>'[1]ООО УК КПД-1'!K57/1000</f>
        <v>0</v>
      </c>
      <c r="FV92" s="338">
        <f>'[1]ООО УК КПД-1'!L57/1000</f>
        <v>0</v>
      </c>
      <c r="FW92" s="338">
        <f>'[1]ООО УК КПД-1'!M57/1000</f>
        <v>0</v>
      </c>
      <c r="FX92" s="301">
        <f t="shared" si="100"/>
        <v>0</v>
      </c>
      <c r="GB92" s="301">
        <f t="shared" si="101"/>
        <v>0</v>
      </c>
      <c r="GF92" s="301">
        <f t="shared" si="109"/>
        <v>0</v>
      </c>
      <c r="GJ92" s="301">
        <f t="shared" si="110"/>
        <v>0</v>
      </c>
      <c r="GN92" s="301">
        <f t="shared" si="103"/>
        <v>0</v>
      </c>
      <c r="GR92" s="301">
        <f t="shared" si="104"/>
        <v>0</v>
      </c>
      <c r="GV92" s="301">
        <f t="shared" si="105"/>
        <v>0</v>
      </c>
      <c r="GZ92" s="301">
        <f t="shared" si="106"/>
        <v>0</v>
      </c>
      <c r="HA92" s="328"/>
      <c r="HB92" s="339"/>
      <c r="HC92" s="286"/>
      <c r="HD92" s="286"/>
      <c r="HE92" s="286"/>
      <c r="HF92" s="286"/>
      <c r="HG92" s="286"/>
      <c r="HH92" s="286"/>
      <c r="HI92" s="286"/>
      <c r="HJ92" s="286"/>
      <c r="HK92" s="286"/>
      <c r="HL92" s="286"/>
      <c r="HM92" s="286"/>
      <c r="HN92" s="286"/>
      <c r="HO92" s="286"/>
      <c r="HP92" s="286"/>
      <c r="HQ92" s="286"/>
      <c r="HR92" s="286"/>
      <c r="HS92" s="306"/>
      <c r="HT92" s="306"/>
      <c r="HU92" s="306"/>
      <c r="HV92" s="306"/>
      <c r="HW92" s="286"/>
      <c r="HX92" s="286"/>
      <c r="HY92" s="286"/>
      <c r="HZ92" s="286"/>
      <c r="IA92" s="286"/>
      <c r="IB92" s="286"/>
      <c r="IC92" s="286"/>
      <c r="ID92" s="286"/>
      <c r="IE92" s="286"/>
      <c r="IF92" s="286"/>
      <c r="IG92" s="286"/>
      <c r="IH92" s="286"/>
      <c r="II92" s="286"/>
      <c r="IJ92" s="286"/>
      <c r="IK92" s="286"/>
      <c r="IL92" s="286"/>
      <c r="IM92" s="286"/>
      <c r="IN92" s="286"/>
      <c r="IO92" s="286"/>
      <c r="IP92" s="286"/>
      <c r="IQ92" s="286"/>
      <c r="IR92" s="286"/>
      <c r="IS92" s="286"/>
      <c r="IT92" s="286"/>
      <c r="IU92" s="286"/>
      <c r="IV92" s="286"/>
    </row>
    <row r="93" spans="1:256" s="338" customFormat="1" ht="13.5" hidden="1" customHeight="1">
      <c r="A93" s="912"/>
      <c r="B93" s="346"/>
      <c r="C93" s="383" t="s">
        <v>229</v>
      </c>
      <c r="D93" s="285" t="s">
        <v>162</v>
      </c>
      <c r="E93" s="299">
        <f t="shared" si="119"/>
        <v>16.123239999999999</v>
      </c>
      <c r="F93" s="299">
        <f t="shared" si="119"/>
        <v>0</v>
      </c>
      <c r="G93" s="299">
        <f t="shared" si="119"/>
        <v>0</v>
      </c>
      <c r="H93" s="299">
        <f t="shared" si="119"/>
        <v>0</v>
      </c>
      <c r="L93" s="301">
        <f t="shared" si="25"/>
        <v>0</v>
      </c>
      <c r="P93" s="301">
        <f t="shared" si="26"/>
        <v>0</v>
      </c>
      <c r="T93" s="301">
        <f t="shared" si="27"/>
        <v>0</v>
      </c>
      <c r="X93" s="301">
        <f t="shared" si="28"/>
        <v>0</v>
      </c>
      <c r="AB93" s="301">
        <f t="shared" si="29"/>
        <v>0</v>
      </c>
      <c r="AF93" s="300">
        <f t="shared" si="30"/>
        <v>0</v>
      </c>
      <c r="AJ93" s="300">
        <f t="shared" si="31"/>
        <v>0</v>
      </c>
      <c r="AN93" s="301">
        <f t="shared" si="32"/>
        <v>0</v>
      </c>
      <c r="AR93" s="300">
        <f t="shared" si="33"/>
        <v>0</v>
      </c>
      <c r="AV93" s="301">
        <f t="shared" si="34"/>
        <v>0</v>
      </c>
      <c r="AZ93" s="301">
        <f t="shared" si="35"/>
        <v>0</v>
      </c>
      <c r="BD93" s="301">
        <f t="shared" si="36"/>
        <v>0</v>
      </c>
      <c r="BH93" s="301">
        <f t="shared" si="37"/>
        <v>0</v>
      </c>
      <c r="BL93" s="301">
        <f t="shared" si="38"/>
        <v>0</v>
      </c>
      <c r="BP93" s="301">
        <f t="shared" si="52"/>
        <v>0</v>
      </c>
      <c r="BT93" s="301">
        <f t="shared" si="39"/>
        <v>0</v>
      </c>
      <c r="BX93" s="301">
        <f t="shared" si="40"/>
        <v>0</v>
      </c>
      <c r="CB93" s="301">
        <f t="shared" si="41"/>
        <v>0</v>
      </c>
      <c r="CF93" s="300">
        <f t="shared" si="107"/>
        <v>0</v>
      </c>
      <c r="CJ93" s="301">
        <f t="shared" si="0"/>
        <v>0</v>
      </c>
      <c r="CN93" s="301">
        <f t="shared" si="84"/>
        <v>0</v>
      </c>
      <c r="CR93" s="301">
        <f t="shared" si="85"/>
        <v>0</v>
      </c>
      <c r="CV93" s="301">
        <f t="shared" si="86"/>
        <v>0</v>
      </c>
      <c r="CZ93" s="301">
        <f t="shared" si="87"/>
        <v>0</v>
      </c>
      <c r="DD93" s="300">
        <f t="shared" si="115"/>
        <v>0</v>
      </c>
      <c r="DH93" s="301">
        <f t="shared" si="88"/>
        <v>0</v>
      </c>
      <c r="DL93" s="301">
        <f t="shared" si="50"/>
        <v>0</v>
      </c>
      <c r="DP93" s="301">
        <f t="shared" si="82"/>
        <v>0</v>
      </c>
      <c r="DT93" s="300">
        <f t="shared" si="89"/>
        <v>0</v>
      </c>
      <c r="DX93" s="301">
        <f t="shared" si="112"/>
        <v>0</v>
      </c>
      <c r="EB93" s="301">
        <f t="shared" si="90"/>
        <v>0</v>
      </c>
      <c r="EF93" s="301">
        <f t="shared" si="91"/>
        <v>0</v>
      </c>
      <c r="EJ93" s="301">
        <f t="shared" si="92"/>
        <v>0</v>
      </c>
      <c r="EN93" s="301">
        <f t="shared" si="93"/>
        <v>0</v>
      </c>
      <c r="ER93" s="300">
        <f t="shared" si="94"/>
        <v>0</v>
      </c>
      <c r="EV93" s="300">
        <f t="shared" si="95"/>
        <v>0</v>
      </c>
      <c r="EZ93" s="301">
        <f t="shared" si="96"/>
        <v>0</v>
      </c>
      <c r="FD93" s="301">
        <f t="shared" si="97"/>
        <v>0</v>
      </c>
      <c r="FH93" s="300">
        <f t="shared" si="98"/>
        <v>0</v>
      </c>
      <c r="FL93" s="301">
        <f t="shared" si="113"/>
        <v>0</v>
      </c>
      <c r="FP93" s="301">
        <f t="shared" si="108"/>
        <v>0</v>
      </c>
      <c r="FT93" s="301">
        <f t="shared" si="99"/>
        <v>0</v>
      </c>
      <c r="FU93" s="338">
        <f>'[1]ООО УК КПД-1'!K62/1000</f>
        <v>16.123239999999999</v>
      </c>
      <c r="FV93" s="338">
        <f>'[1]ООО УК КПД-1'!L62/1000*0</f>
        <v>0</v>
      </c>
      <c r="FW93" s="338">
        <f>'[1]ООО УК КПД-1'!M62/1000*0</f>
        <v>0</v>
      </c>
      <c r="FX93" s="301">
        <f t="shared" si="100"/>
        <v>0</v>
      </c>
      <c r="GB93" s="301">
        <f t="shared" si="101"/>
        <v>0</v>
      </c>
      <c r="GF93" s="301">
        <f t="shared" si="109"/>
        <v>0</v>
      </c>
      <c r="GJ93" s="301">
        <f t="shared" si="110"/>
        <v>0</v>
      </c>
      <c r="GN93" s="301">
        <f t="shared" si="103"/>
        <v>0</v>
      </c>
      <c r="GR93" s="301">
        <f t="shared" si="104"/>
        <v>0</v>
      </c>
      <c r="GV93" s="301">
        <f t="shared" si="105"/>
        <v>0</v>
      </c>
      <c r="GZ93" s="301">
        <f t="shared" si="106"/>
        <v>0</v>
      </c>
      <c r="HA93" s="328"/>
      <c r="HB93" s="339"/>
      <c r="HC93" s="286"/>
      <c r="HD93" s="286"/>
      <c r="HE93" s="286"/>
      <c r="HF93" s="286"/>
      <c r="HG93" s="286"/>
      <c r="HH93" s="286"/>
      <c r="HI93" s="286"/>
      <c r="HJ93" s="286"/>
      <c r="HK93" s="286"/>
      <c r="HL93" s="286"/>
      <c r="HM93" s="286"/>
      <c r="HN93" s="286"/>
      <c r="HO93" s="286"/>
      <c r="HP93" s="286"/>
      <c r="HQ93" s="286"/>
      <c r="HR93" s="286"/>
      <c r="HS93" s="306"/>
      <c r="HT93" s="306"/>
      <c r="HU93" s="306"/>
      <c r="HV93" s="306"/>
      <c r="HW93" s="286"/>
      <c r="HX93" s="286"/>
      <c r="HY93" s="286"/>
      <c r="HZ93" s="286"/>
      <c r="IA93" s="286"/>
      <c r="IB93" s="286"/>
      <c r="IC93" s="286"/>
      <c r="ID93" s="286"/>
      <c r="IE93" s="286"/>
      <c r="IF93" s="286"/>
      <c r="IG93" s="286"/>
      <c r="IH93" s="286"/>
      <c r="II93" s="286"/>
      <c r="IJ93" s="286"/>
      <c r="IK93" s="286"/>
      <c r="IL93" s="286"/>
      <c r="IM93" s="286"/>
      <c r="IN93" s="286"/>
      <c r="IO93" s="286"/>
      <c r="IP93" s="286"/>
      <c r="IQ93" s="286"/>
      <c r="IR93" s="286"/>
      <c r="IS93" s="286"/>
      <c r="IT93" s="286"/>
      <c r="IU93" s="286"/>
      <c r="IV93" s="286"/>
    </row>
    <row r="94" spans="1:256" s="338" customFormat="1" ht="13.5" hidden="1" customHeight="1">
      <c r="A94" s="912"/>
      <c r="B94" s="346"/>
      <c r="C94" s="384" t="s">
        <v>241</v>
      </c>
      <c r="D94" s="385" t="s">
        <v>162</v>
      </c>
      <c r="E94" s="301">
        <f>SUM(E95:E96)</f>
        <v>25.395860000000003</v>
      </c>
      <c r="F94" s="301">
        <f>SUM(F95:F96)</f>
        <v>0</v>
      </c>
      <c r="G94" s="301">
        <f>SUM(G95:G96)</f>
        <v>0</v>
      </c>
      <c r="H94" s="301">
        <f>SUM(H95:H96)</f>
        <v>0</v>
      </c>
      <c r="L94" s="301">
        <f t="shared" si="25"/>
        <v>0</v>
      </c>
      <c r="M94" s="301"/>
      <c r="N94" s="301"/>
      <c r="O94" s="301"/>
      <c r="P94" s="301">
        <f t="shared" si="26"/>
        <v>0</v>
      </c>
      <c r="T94" s="301">
        <f t="shared" si="27"/>
        <v>0</v>
      </c>
      <c r="X94" s="301">
        <f t="shared" si="28"/>
        <v>0</v>
      </c>
      <c r="AB94" s="301">
        <f t="shared" si="29"/>
        <v>0</v>
      </c>
      <c r="AF94" s="300">
        <f t="shared" si="30"/>
        <v>0</v>
      </c>
      <c r="AJ94" s="300">
        <f t="shared" si="31"/>
        <v>0</v>
      </c>
      <c r="AN94" s="301">
        <f t="shared" si="32"/>
        <v>0</v>
      </c>
      <c r="AR94" s="300">
        <f t="shared" ref="AR94:AR145" si="120">AQ94-AP94</f>
        <v>0</v>
      </c>
      <c r="AV94" s="301">
        <f t="shared" si="34"/>
        <v>0</v>
      </c>
      <c r="AZ94" s="301">
        <f t="shared" si="35"/>
        <v>0</v>
      </c>
      <c r="BD94" s="301">
        <f t="shared" si="36"/>
        <v>0</v>
      </c>
      <c r="BH94" s="301">
        <f t="shared" si="37"/>
        <v>0</v>
      </c>
      <c r="BL94" s="301">
        <f t="shared" si="38"/>
        <v>0</v>
      </c>
      <c r="BP94" s="301">
        <f t="shared" si="52"/>
        <v>0</v>
      </c>
      <c r="BT94" s="301">
        <f t="shared" si="39"/>
        <v>0</v>
      </c>
      <c r="BU94" s="301"/>
      <c r="BV94" s="301"/>
      <c r="BW94" s="301"/>
      <c r="BX94" s="301">
        <f t="shared" si="40"/>
        <v>0</v>
      </c>
      <c r="CB94" s="301">
        <f t="shared" si="41"/>
        <v>0</v>
      </c>
      <c r="CF94" s="300">
        <f t="shared" si="107"/>
        <v>0</v>
      </c>
      <c r="CJ94" s="301">
        <f t="shared" si="0"/>
        <v>0</v>
      </c>
      <c r="CN94" s="301">
        <f t="shared" si="84"/>
        <v>0</v>
      </c>
      <c r="CO94" s="301">
        <f>CO95+CO96</f>
        <v>2.8199099999999997</v>
      </c>
      <c r="CP94" s="301">
        <f>CP95+CP96</f>
        <v>0</v>
      </c>
      <c r="CQ94" s="301">
        <f>CQ95+CQ96</f>
        <v>0</v>
      </c>
      <c r="CR94" s="301">
        <f t="shared" si="85"/>
        <v>0</v>
      </c>
      <c r="CV94" s="301">
        <f t="shared" si="86"/>
        <v>0</v>
      </c>
      <c r="CZ94" s="301">
        <f t="shared" si="87"/>
        <v>0</v>
      </c>
      <c r="DD94" s="300">
        <f t="shared" si="115"/>
        <v>0</v>
      </c>
      <c r="DH94" s="301">
        <f t="shared" si="88"/>
        <v>0</v>
      </c>
      <c r="DL94" s="301">
        <f t="shared" si="50"/>
        <v>0</v>
      </c>
      <c r="DP94" s="301">
        <f t="shared" si="82"/>
        <v>0</v>
      </c>
      <c r="DT94" s="300">
        <f t="shared" si="89"/>
        <v>0</v>
      </c>
      <c r="DX94" s="301">
        <f t="shared" si="112"/>
        <v>0</v>
      </c>
      <c r="EB94" s="301">
        <f t="shared" si="90"/>
        <v>0</v>
      </c>
      <c r="EF94" s="301">
        <f t="shared" si="91"/>
        <v>0</v>
      </c>
      <c r="EJ94" s="301">
        <f t="shared" si="92"/>
        <v>0</v>
      </c>
      <c r="EN94" s="301">
        <f t="shared" si="93"/>
        <v>0</v>
      </c>
      <c r="EO94" s="301">
        <f>EO95+EO96</f>
        <v>0</v>
      </c>
      <c r="EP94" s="301">
        <f>EP95+EP96</f>
        <v>0</v>
      </c>
      <c r="EQ94" s="301">
        <f>EQ95+EQ96</f>
        <v>0</v>
      </c>
      <c r="ER94" s="300">
        <f t="shared" si="94"/>
        <v>0</v>
      </c>
      <c r="EV94" s="300">
        <f t="shared" si="95"/>
        <v>0</v>
      </c>
      <c r="EZ94" s="301">
        <f t="shared" si="96"/>
        <v>0</v>
      </c>
      <c r="FA94" s="301">
        <f>SUM(FA95:FA96)</f>
        <v>22.575950000000002</v>
      </c>
      <c r="FB94" s="301">
        <f>SUM(FB95:FB96)</f>
        <v>0</v>
      </c>
      <c r="FC94" s="301">
        <f>SUM(FC95:FC96)</f>
        <v>0</v>
      </c>
      <c r="FD94" s="301">
        <f t="shared" si="97"/>
        <v>0</v>
      </c>
      <c r="FH94" s="300">
        <f t="shared" si="98"/>
        <v>0</v>
      </c>
      <c r="FL94" s="301">
        <f t="shared" si="113"/>
        <v>0</v>
      </c>
      <c r="FP94" s="301">
        <f t="shared" si="108"/>
        <v>0</v>
      </c>
      <c r="FT94" s="301">
        <f t="shared" si="99"/>
        <v>0</v>
      </c>
      <c r="FX94" s="301">
        <f t="shared" si="100"/>
        <v>0</v>
      </c>
      <c r="GB94" s="301">
        <f t="shared" si="101"/>
        <v>0</v>
      </c>
      <c r="GF94" s="301">
        <f t="shared" si="109"/>
        <v>0</v>
      </c>
      <c r="GJ94" s="301">
        <f t="shared" si="110"/>
        <v>0</v>
      </c>
      <c r="GN94" s="301">
        <f t="shared" si="103"/>
        <v>0</v>
      </c>
      <c r="GR94" s="301">
        <f t="shared" si="104"/>
        <v>0</v>
      </c>
      <c r="GV94" s="301">
        <f t="shared" si="105"/>
        <v>0</v>
      </c>
      <c r="GZ94" s="301">
        <f t="shared" si="106"/>
        <v>0</v>
      </c>
      <c r="HA94" s="328"/>
      <c r="HB94" s="339"/>
      <c r="HC94" s="286"/>
      <c r="HD94" s="286"/>
      <c r="HE94" s="286"/>
      <c r="HF94" s="286"/>
      <c r="HG94" s="286"/>
      <c r="HH94" s="286"/>
      <c r="HI94" s="286"/>
      <c r="HJ94" s="286"/>
      <c r="HK94" s="286"/>
      <c r="HL94" s="286"/>
      <c r="HM94" s="286"/>
      <c r="HN94" s="286"/>
      <c r="HO94" s="286"/>
      <c r="HP94" s="286"/>
      <c r="HQ94" s="286"/>
      <c r="HR94" s="286"/>
      <c r="HS94" s="306"/>
      <c r="HT94" s="306"/>
      <c r="HU94" s="306"/>
      <c r="HV94" s="306"/>
      <c r="HW94" s="286"/>
      <c r="HX94" s="286"/>
      <c r="HY94" s="286"/>
      <c r="HZ94" s="286"/>
      <c r="IA94" s="286"/>
      <c r="IB94" s="286"/>
      <c r="IC94" s="286"/>
      <c r="ID94" s="286"/>
      <c r="IE94" s="286"/>
      <c r="IF94" s="286"/>
      <c r="IG94" s="286"/>
      <c r="IH94" s="286"/>
      <c r="II94" s="286"/>
      <c r="IJ94" s="286"/>
      <c r="IK94" s="286"/>
      <c r="IL94" s="286"/>
      <c r="IM94" s="286"/>
      <c r="IN94" s="286"/>
      <c r="IO94" s="286"/>
      <c r="IP94" s="286"/>
      <c r="IQ94" s="286"/>
      <c r="IR94" s="286"/>
      <c r="IS94" s="286"/>
      <c r="IT94" s="286"/>
      <c r="IU94" s="286"/>
      <c r="IV94" s="286"/>
    </row>
    <row r="95" spans="1:256" s="338" customFormat="1" ht="13.5" hidden="1" customHeight="1">
      <c r="A95" s="912"/>
      <c r="B95" s="346"/>
      <c r="C95" s="383" t="s">
        <v>228</v>
      </c>
      <c r="D95" s="285" t="s">
        <v>162</v>
      </c>
      <c r="E95" s="299">
        <f t="shared" ref="E95:H98" si="121">I95+M95+Q95+U95+Y95+AC95+AG95+AK95+AO95+AS95+AW95+BA95+BE95+BI95+BM95+BQ95+BU95+BY95+CC95+CG95+CK95+CO95+CS95+CW95+DA95+DE95+DI95+DM95+DQ95+DU95+DY95+EC95+EG95+EK95+EO95+ES95+EW95+FA95+FE95+FI95+FM95+FQ95+FU95+FY95+GC95+GK95+GG95+GO95+GS95+GW95</f>
        <v>0</v>
      </c>
      <c r="F95" s="299">
        <f t="shared" si="121"/>
        <v>0</v>
      </c>
      <c r="G95" s="299">
        <f t="shared" si="121"/>
        <v>0</v>
      </c>
      <c r="H95" s="299">
        <f t="shared" si="121"/>
        <v>0</v>
      </c>
      <c r="L95" s="301">
        <f t="shared" si="25"/>
        <v>0</v>
      </c>
      <c r="P95" s="301">
        <f t="shared" si="26"/>
        <v>0</v>
      </c>
      <c r="T95" s="301">
        <f t="shared" si="27"/>
        <v>0</v>
      </c>
      <c r="X95" s="301">
        <f t="shared" si="28"/>
        <v>0</v>
      </c>
      <c r="AB95" s="301">
        <f t="shared" si="29"/>
        <v>0</v>
      </c>
      <c r="AF95" s="300">
        <f t="shared" si="30"/>
        <v>0</v>
      </c>
      <c r="AJ95" s="300">
        <f t="shared" si="31"/>
        <v>0</v>
      </c>
      <c r="AN95" s="301">
        <f t="shared" si="32"/>
        <v>0</v>
      </c>
      <c r="AR95" s="300">
        <f t="shared" si="120"/>
        <v>0</v>
      </c>
      <c r="AV95" s="301">
        <f t="shared" si="34"/>
        <v>0</v>
      </c>
      <c r="AZ95" s="301">
        <f t="shared" si="35"/>
        <v>0</v>
      </c>
      <c r="BD95" s="301">
        <f t="shared" si="36"/>
        <v>0</v>
      </c>
      <c r="BH95" s="301">
        <f t="shared" si="37"/>
        <v>0</v>
      </c>
      <c r="BL95" s="301">
        <f t="shared" si="38"/>
        <v>0</v>
      </c>
      <c r="BP95" s="301">
        <f t="shared" si="52"/>
        <v>0</v>
      </c>
      <c r="BT95" s="301">
        <f t="shared" si="39"/>
        <v>0</v>
      </c>
      <c r="BX95" s="301">
        <f t="shared" si="40"/>
        <v>0</v>
      </c>
      <c r="CB95" s="301">
        <f t="shared" si="41"/>
        <v>0</v>
      </c>
      <c r="CF95" s="300">
        <f t="shared" si="107"/>
        <v>0</v>
      </c>
      <c r="CJ95" s="301">
        <f t="shared" ref="CJ95:CJ148" si="122">CI95-CH95</f>
        <v>0</v>
      </c>
      <c r="CN95" s="301">
        <f t="shared" si="84"/>
        <v>0</v>
      </c>
      <c r="CO95" s="338">
        <v>0</v>
      </c>
      <c r="CP95" s="338">
        <v>0</v>
      </c>
      <c r="CQ95" s="338">
        <v>0</v>
      </c>
      <c r="CR95" s="301">
        <f t="shared" si="85"/>
        <v>0</v>
      </c>
      <c r="CV95" s="301">
        <f t="shared" si="86"/>
        <v>0</v>
      </c>
      <c r="CZ95" s="301">
        <f t="shared" si="87"/>
        <v>0</v>
      </c>
      <c r="DD95" s="300">
        <f t="shared" si="115"/>
        <v>0</v>
      </c>
      <c r="DH95" s="301">
        <f t="shared" si="88"/>
        <v>0</v>
      </c>
      <c r="DL95" s="301">
        <f t="shared" si="50"/>
        <v>0</v>
      </c>
      <c r="DP95" s="301">
        <f t="shared" si="82"/>
        <v>0</v>
      </c>
      <c r="DT95" s="300">
        <f t="shared" si="89"/>
        <v>0</v>
      </c>
      <c r="DX95" s="301">
        <f t="shared" si="112"/>
        <v>0</v>
      </c>
      <c r="EB95" s="301">
        <f t="shared" si="90"/>
        <v>0</v>
      </c>
      <c r="EF95" s="301">
        <f t="shared" si="91"/>
        <v>0</v>
      </c>
      <c r="EJ95" s="301">
        <f t="shared" si="92"/>
        <v>0</v>
      </c>
      <c r="EN95" s="301">
        <f t="shared" si="93"/>
        <v>0</v>
      </c>
      <c r="EO95" s="338">
        <v>0</v>
      </c>
      <c r="EP95" s="338">
        <v>0</v>
      </c>
      <c r="EQ95" s="338">
        <v>0</v>
      </c>
      <c r="ER95" s="300">
        <f t="shared" si="94"/>
        <v>0</v>
      </c>
      <c r="EV95" s="300">
        <f t="shared" si="95"/>
        <v>0</v>
      </c>
      <c r="EZ95" s="301">
        <f t="shared" si="96"/>
        <v>0</v>
      </c>
      <c r="FA95" s="338">
        <v>0</v>
      </c>
      <c r="FB95" s="338">
        <v>0</v>
      </c>
      <c r="FC95" s="338">
        <v>0</v>
      </c>
      <c r="FD95" s="301">
        <f t="shared" si="97"/>
        <v>0</v>
      </c>
      <c r="FH95" s="300">
        <f t="shared" si="98"/>
        <v>0</v>
      </c>
      <c r="FL95" s="301">
        <f t="shared" si="113"/>
        <v>0</v>
      </c>
      <c r="FP95" s="301">
        <f t="shared" si="108"/>
        <v>0</v>
      </c>
      <c r="FT95" s="301">
        <f t="shared" si="99"/>
        <v>0</v>
      </c>
      <c r="FX95" s="301">
        <f t="shared" si="100"/>
        <v>0</v>
      </c>
      <c r="GB95" s="301">
        <f t="shared" si="101"/>
        <v>0</v>
      </c>
      <c r="GF95" s="301">
        <f t="shared" si="109"/>
        <v>0</v>
      </c>
      <c r="GJ95" s="301">
        <f t="shared" si="110"/>
        <v>0</v>
      </c>
      <c r="GN95" s="301">
        <f t="shared" si="103"/>
        <v>0</v>
      </c>
      <c r="GR95" s="301">
        <f t="shared" si="104"/>
        <v>0</v>
      </c>
      <c r="GV95" s="301">
        <f t="shared" si="105"/>
        <v>0</v>
      </c>
      <c r="GZ95" s="301">
        <f t="shared" si="106"/>
        <v>0</v>
      </c>
      <c r="HA95" s="328"/>
      <c r="HB95" s="339"/>
      <c r="HC95" s="305"/>
      <c r="HD95" s="286"/>
      <c r="HE95" s="286"/>
      <c r="HF95" s="286"/>
      <c r="HG95" s="286"/>
      <c r="HH95" s="286"/>
      <c r="HI95" s="286"/>
      <c r="HJ95" s="286"/>
      <c r="HK95" s="286"/>
      <c r="HL95" s="286"/>
      <c r="HM95" s="286"/>
      <c r="HN95" s="286"/>
      <c r="HO95" s="286"/>
      <c r="HP95" s="286"/>
      <c r="HQ95" s="286"/>
      <c r="HR95" s="286"/>
      <c r="HS95" s="306"/>
      <c r="HT95" s="306"/>
      <c r="HU95" s="306"/>
      <c r="HV95" s="306"/>
      <c r="HW95" s="286"/>
      <c r="HX95" s="286"/>
      <c r="HY95" s="286"/>
      <c r="HZ95" s="286"/>
      <c r="IA95" s="286"/>
      <c r="IB95" s="286"/>
      <c r="IC95" s="286"/>
      <c r="ID95" s="286"/>
      <c r="IE95" s="286"/>
      <c r="IF95" s="286"/>
      <c r="IG95" s="286"/>
      <c r="IH95" s="286"/>
      <c r="II95" s="286"/>
      <c r="IJ95" s="286"/>
      <c r="IK95" s="286"/>
      <c r="IL95" s="286"/>
      <c r="IM95" s="286"/>
      <c r="IN95" s="286"/>
      <c r="IO95" s="286"/>
      <c r="IP95" s="286"/>
      <c r="IQ95" s="286"/>
      <c r="IR95" s="286"/>
      <c r="IS95" s="286"/>
      <c r="IT95" s="286"/>
      <c r="IU95" s="286"/>
      <c r="IV95" s="286"/>
    </row>
    <row r="96" spans="1:256" s="338" customFormat="1" ht="13.5" hidden="1" customHeight="1">
      <c r="A96" s="912"/>
      <c r="B96" s="346"/>
      <c r="C96" s="383" t="s">
        <v>229</v>
      </c>
      <c r="D96" s="385" t="s">
        <v>162</v>
      </c>
      <c r="E96" s="299">
        <f t="shared" si="121"/>
        <v>25.395860000000003</v>
      </c>
      <c r="F96" s="299">
        <f t="shared" si="121"/>
        <v>0</v>
      </c>
      <c r="G96" s="299">
        <f t="shared" si="121"/>
        <v>0</v>
      </c>
      <c r="H96" s="299">
        <f t="shared" si="121"/>
        <v>0</v>
      </c>
      <c r="L96" s="301">
        <f t="shared" si="25"/>
        <v>0</v>
      </c>
      <c r="P96" s="301">
        <f t="shared" si="26"/>
        <v>0</v>
      </c>
      <c r="T96" s="301">
        <f t="shared" si="27"/>
        <v>0</v>
      </c>
      <c r="X96" s="301">
        <f t="shared" si="28"/>
        <v>0</v>
      </c>
      <c r="AB96" s="301">
        <f t="shared" si="29"/>
        <v>0</v>
      </c>
      <c r="AF96" s="300">
        <f t="shared" si="30"/>
        <v>0</v>
      </c>
      <c r="AJ96" s="300">
        <f t="shared" si="31"/>
        <v>0</v>
      </c>
      <c r="AN96" s="301">
        <f t="shared" si="32"/>
        <v>0</v>
      </c>
      <c r="AR96" s="300">
        <f t="shared" si="120"/>
        <v>0</v>
      </c>
      <c r="AV96" s="301">
        <f t="shared" si="34"/>
        <v>0</v>
      </c>
      <c r="AZ96" s="301">
        <f t="shared" si="35"/>
        <v>0</v>
      </c>
      <c r="BD96" s="301">
        <f t="shared" si="36"/>
        <v>0</v>
      </c>
      <c r="BH96" s="301">
        <f t="shared" si="37"/>
        <v>0</v>
      </c>
      <c r="BL96" s="301">
        <f t="shared" si="38"/>
        <v>0</v>
      </c>
      <c r="BP96" s="301">
        <f t="shared" si="52"/>
        <v>0</v>
      </c>
      <c r="BT96" s="301">
        <f t="shared" si="39"/>
        <v>0</v>
      </c>
      <c r="BX96" s="301">
        <f t="shared" si="40"/>
        <v>0</v>
      </c>
      <c r="CB96" s="301">
        <f t="shared" si="41"/>
        <v>0</v>
      </c>
      <c r="CF96" s="300">
        <f t="shared" si="107"/>
        <v>0</v>
      </c>
      <c r="CJ96" s="301">
        <f t="shared" si="122"/>
        <v>0</v>
      </c>
      <c r="CN96" s="301">
        <f t="shared" si="84"/>
        <v>0</v>
      </c>
      <c r="CO96" s="338">
        <f>'[1]Север-1'!K207/1000</f>
        <v>2.8199099999999997</v>
      </c>
      <c r="CP96" s="338">
        <f>'[1]Север-1'!L207/1000*0</f>
        <v>0</v>
      </c>
      <c r="CQ96" s="338">
        <f>'[1]Север-1'!M207/1000*0</f>
        <v>0</v>
      </c>
      <c r="CR96" s="301">
        <f t="shared" si="85"/>
        <v>0</v>
      </c>
      <c r="CV96" s="301">
        <f t="shared" si="86"/>
        <v>0</v>
      </c>
      <c r="CZ96" s="301">
        <f t="shared" si="87"/>
        <v>0</v>
      </c>
      <c r="DD96" s="300">
        <f t="shared" si="115"/>
        <v>0</v>
      </c>
      <c r="DH96" s="301">
        <f t="shared" si="88"/>
        <v>0</v>
      </c>
      <c r="DL96" s="301">
        <f t="shared" si="50"/>
        <v>0</v>
      </c>
      <c r="DP96" s="301">
        <f t="shared" si="82"/>
        <v>0</v>
      </c>
      <c r="DT96" s="300">
        <f t="shared" si="89"/>
        <v>0</v>
      </c>
      <c r="DX96" s="301">
        <f t="shared" si="112"/>
        <v>0</v>
      </c>
      <c r="EB96" s="301">
        <f t="shared" si="90"/>
        <v>0</v>
      </c>
      <c r="EF96" s="301">
        <f t="shared" si="91"/>
        <v>0</v>
      </c>
      <c r="EJ96" s="301">
        <f t="shared" si="92"/>
        <v>0</v>
      </c>
      <c r="EN96" s="301">
        <f t="shared" si="93"/>
        <v>0</v>
      </c>
      <c r="EO96" s="338">
        <f>'[1]ООО ЖЭК'!K95/1000</f>
        <v>0</v>
      </c>
      <c r="EP96" s="338">
        <f>'[1]ООО ЖЭК'!L95/1000</f>
        <v>0</v>
      </c>
      <c r="EQ96" s="338">
        <f>'[1]ООО ЖЭК'!M95/1000</f>
        <v>0</v>
      </c>
      <c r="ER96" s="300">
        <f t="shared" si="94"/>
        <v>0</v>
      </c>
      <c r="EV96" s="300">
        <f t="shared" si="95"/>
        <v>0</v>
      </c>
      <c r="EZ96" s="301">
        <f t="shared" si="96"/>
        <v>0</v>
      </c>
      <c r="FA96" s="338">
        <f>('[1]ООО Истоки+'!K96+'[1]ООО Истоки+'!K97+'[1]ООО Истоки+'!K98+'[1]ООО Истоки+'!K99+'[1]ООО Истоки+'!K100+'[1]ООО Истоки+'!K101)/1000</f>
        <v>22.575950000000002</v>
      </c>
      <c r="FB96" s="338">
        <f>('[1]ООО Истоки+'!L96+'[1]ООО Истоки+'!L97+'[1]ООО Истоки+'!L98+'[1]ООО Истоки+'!L99+'[1]ООО Истоки+'!L100+'[1]ООО Истоки+'!L101)/1000*0</f>
        <v>0</v>
      </c>
      <c r="FC96" s="338">
        <f>('[1]ООО Истоки+'!M96+'[1]ООО Истоки+'!M97+'[1]ООО Истоки+'!M98+'[1]ООО Истоки+'!M99+'[1]ООО Истоки+'!M100+'[1]ООО Истоки+'!M101)/1000*0</f>
        <v>0</v>
      </c>
      <c r="FD96" s="301">
        <f t="shared" si="97"/>
        <v>0</v>
      </c>
      <c r="FH96" s="300">
        <f t="shared" si="98"/>
        <v>0</v>
      </c>
      <c r="FL96" s="301">
        <f t="shared" si="113"/>
        <v>0</v>
      </c>
      <c r="FP96" s="301">
        <f t="shared" si="108"/>
        <v>0</v>
      </c>
      <c r="FT96" s="301">
        <f t="shared" si="99"/>
        <v>0</v>
      </c>
      <c r="FX96" s="301">
        <f t="shared" si="100"/>
        <v>0</v>
      </c>
      <c r="GB96" s="301">
        <f t="shared" si="101"/>
        <v>0</v>
      </c>
      <c r="GF96" s="301">
        <f t="shared" si="109"/>
        <v>0</v>
      </c>
      <c r="GJ96" s="301">
        <f t="shared" si="110"/>
        <v>0</v>
      </c>
      <c r="GN96" s="301">
        <f t="shared" si="103"/>
        <v>0</v>
      </c>
      <c r="GR96" s="301">
        <f t="shared" si="104"/>
        <v>0</v>
      </c>
      <c r="GV96" s="301">
        <f t="shared" si="105"/>
        <v>0</v>
      </c>
      <c r="GZ96" s="301">
        <f t="shared" si="106"/>
        <v>0</v>
      </c>
      <c r="HA96" s="386"/>
      <c r="HB96" s="386"/>
      <c r="HC96" s="305" t="s">
        <v>242</v>
      </c>
      <c r="HD96" s="286"/>
      <c r="HE96" s="286"/>
      <c r="HF96" s="286"/>
      <c r="HG96" s="286"/>
      <c r="HH96" s="286"/>
      <c r="HI96" s="286"/>
      <c r="HJ96" s="286"/>
      <c r="HK96" s="286"/>
      <c r="HL96" s="286"/>
      <c r="HM96" s="286"/>
      <c r="HN96" s="286"/>
      <c r="HO96" s="286"/>
      <c r="HP96" s="286"/>
      <c r="HQ96" s="286"/>
      <c r="HR96" s="286"/>
      <c r="HS96" s="306"/>
      <c r="HT96" s="306"/>
      <c r="HU96" s="306"/>
      <c r="HV96" s="306"/>
      <c r="HW96" s="286"/>
      <c r="HX96" s="286"/>
      <c r="HY96" s="286"/>
      <c r="HZ96" s="286"/>
      <c r="IA96" s="286"/>
      <c r="IB96" s="286"/>
      <c r="IC96" s="286"/>
      <c r="ID96" s="286"/>
      <c r="IE96" s="286"/>
      <c r="IF96" s="286"/>
      <c r="IG96" s="286"/>
      <c r="IH96" s="286"/>
      <c r="II96" s="286"/>
      <c r="IJ96" s="286"/>
      <c r="IK96" s="286"/>
      <c r="IL96" s="286"/>
      <c r="IM96" s="286"/>
      <c r="IN96" s="286"/>
      <c r="IO96" s="286"/>
      <c r="IP96" s="286"/>
      <c r="IQ96" s="286"/>
      <c r="IR96" s="286"/>
      <c r="IS96" s="286"/>
      <c r="IT96" s="286"/>
      <c r="IU96" s="286"/>
      <c r="IV96" s="286"/>
    </row>
    <row r="97" spans="1:256" s="338" customFormat="1" ht="13.5" hidden="1" customHeight="1">
      <c r="A97" s="912"/>
      <c r="B97" s="346"/>
      <c r="C97" s="384" t="s">
        <v>243</v>
      </c>
      <c r="D97" s="385" t="s">
        <v>162</v>
      </c>
      <c r="E97" s="299">
        <f t="shared" si="121"/>
        <v>7.9842899999999997</v>
      </c>
      <c r="F97" s="299">
        <f t="shared" si="121"/>
        <v>0</v>
      </c>
      <c r="G97" s="299">
        <f t="shared" si="121"/>
        <v>0</v>
      </c>
      <c r="H97" s="299">
        <f t="shared" si="121"/>
        <v>0</v>
      </c>
      <c r="L97" s="301">
        <f t="shared" si="25"/>
        <v>0</v>
      </c>
      <c r="P97" s="301">
        <f t="shared" si="26"/>
        <v>0</v>
      </c>
      <c r="T97" s="301">
        <f t="shared" si="27"/>
        <v>0</v>
      </c>
      <c r="X97" s="301">
        <f t="shared" si="28"/>
        <v>0</v>
      </c>
      <c r="AB97" s="301"/>
      <c r="AF97" s="300">
        <f t="shared" si="30"/>
        <v>0</v>
      </c>
      <c r="AJ97" s="300">
        <f t="shared" si="31"/>
        <v>0</v>
      </c>
      <c r="AN97" s="301">
        <f t="shared" si="32"/>
        <v>0</v>
      </c>
      <c r="AR97" s="300">
        <f t="shared" si="120"/>
        <v>0</v>
      </c>
      <c r="AV97" s="301">
        <f t="shared" si="34"/>
        <v>0</v>
      </c>
      <c r="AZ97" s="301">
        <f t="shared" si="35"/>
        <v>0</v>
      </c>
      <c r="BD97" s="301">
        <f t="shared" si="36"/>
        <v>0</v>
      </c>
      <c r="BH97" s="301">
        <f t="shared" si="37"/>
        <v>0</v>
      </c>
      <c r="BL97" s="301">
        <f t="shared" si="38"/>
        <v>0</v>
      </c>
      <c r="BP97" s="301">
        <f t="shared" si="52"/>
        <v>0</v>
      </c>
      <c r="BT97" s="301">
        <f t="shared" si="39"/>
        <v>0</v>
      </c>
      <c r="BX97" s="301">
        <f t="shared" si="40"/>
        <v>0</v>
      </c>
      <c r="CB97" s="301">
        <f t="shared" si="41"/>
        <v>0</v>
      </c>
      <c r="CF97" s="300">
        <f t="shared" si="107"/>
        <v>0</v>
      </c>
      <c r="CJ97" s="301">
        <f t="shared" si="122"/>
        <v>0</v>
      </c>
      <c r="CN97" s="301">
        <f t="shared" si="84"/>
        <v>0</v>
      </c>
      <c r="CR97" s="301">
        <f t="shared" si="85"/>
        <v>0</v>
      </c>
      <c r="CV97" s="301">
        <f t="shared" si="86"/>
        <v>0</v>
      </c>
      <c r="CZ97" s="301">
        <f t="shared" si="87"/>
        <v>0</v>
      </c>
      <c r="DD97" s="300">
        <f t="shared" si="115"/>
        <v>0</v>
      </c>
      <c r="DH97" s="301">
        <f t="shared" si="88"/>
        <v>0</v>
      </c>
      <c r="DL97" s="301">
        <f t="shared" si="50"/>
        <v>0</v>
      </c>
      <c r="DP97" s="301">
        <f t="shared" si="82"/>
        <v>0</v>
      </c>
      <c r="DT97" s="300">
        <f t="shared" si="89"/>
        <v>0</v>
      </c>
      <c r="DX97" s="301">
        <f t="shared" si="112"/>
        <v>0</v>
      </c>
      <c r="EB97" s="301">
        <f t="shared" si="90"/>
        <v>0</v>
      </c>
      <c r="EF97" s="301">
        <f t="shared" si="91"/>
        <v>0</v>
      </c>
      <c r="EG97" s="338">
        <f>'[1]ООО ЦЭТ'!K115/1000</f>
        <v>7.9842899999999997</v>
      </c>
      <c r="EH97" s="338">
        <f>'[1]ООО ЦЭТ'!L115/1000*0</f>
        <v>0</v>
      </c>
      <c r="EI97" s="338">
        <f>'[1]ООО ЦЭТ'!M115/1000*0</f>
        <v>0</v>
      </c>
      <c r="EJ97" s="301">
        <f t="shared" si="92"/>
        <v>0</v>
      </c>
      <c r="EN97" s="301">
        <f t="shared" si="93"/>
        <v>0</v>
      </c>
      <c r="ER97" s="300">
        <f t="shared" si="94"/>
        <v>0</v>
      </c>
      <c r="EV97" s="300">
        <f t="shared" si="95"/>
        <v>0</v>
      </c>
      <c r="EZ97" s="301"/>
      <c r="FD97" s="301">
        <f t="shared" si="97"/>
        <v>0</v>
      </c>
      <c r="FH97" s="300">
        <f t="shared" si="98"/>
        <v>0</v>
      </c>
      <c r="FL97" s="301">
        <f t="shared" si="113"/>
        <v>0</v>
      </c>
      <c r="FP97" s="301">
        <f t="shared" si="108"/>
        <v>0</v>
      </c>
      <c r="FT97" s="301">
        <f t="shared" si="99"/>
        <v>0</v>
      </c>
      <c r="FX97" s="301">
        <f t="shared" si="100"/>
        <v>0</v>
      </c>
      <c r="GB97" s="301">
        <f t="shared" si="101"/>
        <v>0</v>
      </c>
      <c r="GF97" s="301">
        <f t="shared" si="109"/>
        <v>0</v>
      </c>
      <c r="GJ97" s="301">
        <f t="shared" si="110"/>
        <v>0</v>
      </c>
      <c r="GN97" s="301">
        <f t="shared" si="103"/>
        <v>0</v>
      </c>
      <c r="GR97" s="301">
        <f t="shared" si="104"/>
        <v>0</v>
      </c>
      <c r="GV97" s="301">
        <f t="shared" si="105"/>
        <v>0</v>
      </c>
      <c r="GZ97" s="301">
        <f t="shared" si="106"/>
        <v>0</v>
      </c>
      <c r="HA97" s="386"/>
      <c r="HB97" s="386"/>
      <c r="HC97" s="387" t="s">
        <v>164</v>
      </c>
      <c r="HD97" s="387" t="s">
        <v>165</v>
      </c>
      <c r="HE97" s="387" t="s">
        <v>166</v>
      </c>
      <c r="HF97" s="387" t="s">
        <v>167</v>
      </c>
      <c r="HG97" s="387" t="s">
        <v>168</v>
      </c>
      <c r="HH97" s="387" t="s">
        <v>169</v>
      </c>
      <c r="HI97" s="387" t="s">
        <v>170</v>
      </c>
      <c r="HJ97" s="387" t="s">
        <v>171</v>
      </c>
      <c r="HK97" s="387" t="s">
        <v>172</v>
      </c>
      <c r="HL97" s="387" t="s">
        <v>173</v>
      </c>
      <c r="HM97" s="387" t="s">
        <v>174</v>
      </c>
      <c r="HN97" s="286"/>
      <c r="HO97" s="286"/>
      <c r="HP97" s="286"/>
      <c r="HQ97" s="286"/>
      <c r="HR97" s="286"/>
      <c r="HS97" s="306"/>
      <c r="HT97" s="306"/>
      <c r="HU97" s="306"/>
      <c r="HV97" s="306"/>
      <c r="HW97" s="286"/>
      <c r="HX97" s="286"/>
      <c r="HY97" s="286"/>
      <c r="HZ97" s="286"/>
      <c r="IA97" s="286"/>
      <c r="IB97" s="286"/>
      <c r="IC97" s="286"/>
      <c r="ID97" s="286"/>
      <c r="IE97" s="286"/>
      <c r="IF97" s="286"/>
      <c r="IG97" s="286"/>
      <c r="IH97" s="286"/>
      <c r="II97" s="286"/>
      <c r="IJ97" s="286"/>
      <c r="IK97" s="286"/>
      <c r="IL97" s="286"/>
      <c r="IM97" s="286"/>
      <c r="IN97" s="286"/>
      <c r="IO97" s="286"/>
      <c r="IP97" s="286"/>
      <c r="IQ97" s="286"/>
      <c r="IR97" s="286"/>
      <c r="IS97" s="286"/>
      <c r="IT97" s="286"/>
      <c r="IU97" s="286"/>
      <c r="IV97" s="286"/>
    </row>
    <row r="98" spans="1:256" s="338" customFormat="1" ht="13.5" hidden="1" customHeight="1">
      <c r="A98" s="912"/>
      <c r="B98" s="347"/>
      <c r="C98" s="388" t="s">
        <v>244</v>
      </c>
      <c r="D98" s="389" t="s">
        <v>162</v>
      </c>
      <c r="E98" s="299">
        <f t="shared" si="121"/>
        <v>7.4838699999999996</v>
      </c>
      <c r="F98" s="299">
        <f t="shared" si="121"/>
        <v>0</v>
      </c>
      <c r="G98" s="299">
        <f t="shared" si="121"/>
        <v>0</v>
      </c>
      <c r="H98" s="299">
        <f t="shared" si="121"/>
        <v>0</v>
      </c>
      <c r="L98" s="301">
        <f t="shared" si="25"/>
        <v>0</v>
      </c>
      <c r="P98" s="301">
        <f t="shared" si="26"/>
        <v>0</v>
      </c>
      <c r="T98" s="301">
        <f t="shared" si="27"/>
        <v>0</v>
      </c>
      <c r="X98" s="301">
        <f t="shared" si="28"/>
        <v>0</v>
      </c>
      <c r="AB98" s="301">
        <f t="shared" si="29"/>
        <v>0</v>
      </c>
      <c r="AF98" s="300">
        <f t="shared" si="30"/>
        <v>0</v>
      </c>
      <c r="AJ98" s="300">
        <f t="shared" si="31"/>
        <v>0</v>
      </c>
      <c r="AN98" s="301">
        <f t="shared" si="32"/>
        <v>0</v>
      </c>
      <c r="AR98" s="300">
        <f t="shared" si="120"/>
        <v>0</v>
      </c>
      <c r="AV98" s="301">
        <f t="shared" si="34"/>
        <v>0</v>
      </c>
      <c r="AZ98" s="301">
        <f t="shared" si="35"/>
        <v>0</v>
      </c>
      <c r="BD98" s="301">
        <f t="shared" si="36"/>
        <v>0</v>
      </c>
      <c r="BH98" s="301">
        <f t="shared" si="37"/>
        <v>0</v>
      </c>
      <c r="BL98" s="301">
        <f t="shared" si="38"/>
        <v>0</v>
      </c>
      <c r="BP98" s="301">
        <f t="shared" si="52"/>
        <v>0</v>
      </c>
      <c r="BT98" s="301">
        <f t="shared" si="39"/>
        <v>0</v>
      </c>
      <c r="BX98" s="301">
        <f t="shared" si="40"/>
        <v>0</v>
      </c>
      <c r="CB98" s="301">
        <f t="shared" si="41"/>
        <v>0</v>
      </c>
      <c r="CF98" s="300">
        <f t="shared" si="107"/>
        <v>0</v>
      </c>
      <c r="CJ98" s="301">
        <f t="shared" si="122"/>
        <v>0</v>
      </c>
      <c r="CN98" s="301">
        <f t="shared" si="84"/>
        <v>0</v>
      </c>
      <c r="CR98" s="301">
        <f t="shared" si="85"/>
        <v>0</v>
      </c>
      <c r="CV98" s="301">
        <f t="shared" si="86"/>
        <v>0</v>
      </c>
      <c r="CZ98" s="301">
        <f t="shared" si="87"/>
        <v>0</v>
      </c>
      <c r="DD98" s="300">
        <f t="shared" si="115"/>
        <v>0</v>
      </c>
      <c r="DH98" s="301">
        <f t="shared" si="88"/>
        <v>0</v>
      </c>
      <c r="DL98" s="301">
        <f t="shared" si="50"/>
        <v>0</v>
      </c>
      <c r="DP98" s="301">
        <f t="shared" si="82"/>
        <v>0</v>
      </c>
      <c r="DT98" s="300">
        <f t="shared" si="89"/>
        <v>0</v>
      </c>
      <c r="DX98" s="301">
        <f t="shared" si="112"/>
        <v>0</v>
      </c>
      <c r="EB98" s="301">
        <f t="shared" si="90"/>
        <v>0</v>
      </c>
      <c r="EF98" s="301">
        <f t="shared" si="91"/>
        <v>0</v>
      </c>
      <c r="EJ98" s="301">
        <f t="shared" si="92"/>
        <v>0</v>
      </c>
      <c r="EN98" s="301">
        <f t="shared" si="93"/>
        <v>0</v>
      </c>
      <c r="ER98" s="300">
        <f t="shared" si="94"/>
        <v>0</v>
      </c>
      <c r="EV98" s="300">
        <f t="shared" si="95"/>
        <v>0</v>
      </c>
      <c r="EZ98" s="301">
        <f t="shared" si="96"/>
        <v>0</v>
      </c>
      <c r="FD98" s="301">
        <f t="shared" si="97"/>
        <v>0</v>
      </c>
      <c r="FH98" s="300">
        <f t="shared" si="98"/>
        <v>0</v>
      </c>
      <c r="FL98" s="301">
        <f t="shared" si="113"/>
        <v>0</v>
      </c>
      <c r="FP98" s="301">
        <f t="shared" si="108"/>
        <v>0</v>
      </c>
      <c r="FT98" s="301">
        <f t="shared" si="99"/>
        <v>0</v>
      </c>
      <c r="FX98" s="301">
        <f t="shared" si="100"/>
        <v>0</v>
      </c>
      <c r="FY98" s="338">
        <f>'[1]ООО КПД-2 Жилсервис'!K52/1000</f>
        <v>7.4838699999999996</v>
      </c>
      <c r="FZ98" s="338">
        <f>'[1]ООО КПД-2 Жилсервис'!L52/1000*0</f>
        <v>0</v>
      </c>
      <c r="GA98" s="338">
        <f>'[1]ООО КПД-2 Жилсервис'!M52/1000*0</f>
        <v>0</v>
      </c>
      <c r="GB98" s="301">
        <f t="shared" si="101"/>
        <v>0</v>
      </c>
      <c r="GF98" s="301">
        <f t="shared" si="109"/>
        <v>0</v>
      </c>
      <c r="GJ98" s="301">
        <f t="shared" si="110"/>
        <v>0</v>
      </c>
      <c r="GN98" s="301">
        <f t="shared" si="103"/>
        <v>0</v>
      </c>
      <c r="GR98" s="301">
        <f t="shared" si="104"/>
        <v>0</v>
      </c>
      <c r="GV98" s="301">
        <f t="shared" si="105"/>
        <v>0</v>
      </c>
      <c r="GZ98" s="301">
        <f t="shared" si="106"/>
        <v>0</v>
      </c>
      <c r="HA98" s="386" t="s">
        <v>176</v>
      </c>
      <c r="HB98" s="390" t="s">
        <v>245</v>
      </c>
      <c r="HC98" s="391">
        <f>SUM(HC99:HC100)</f>
        <v>29778</v>
      </c>
      <c r="HD98" s="391">
        <f t="shared" ref="HD98:HK98" si="123">SUM(HD99:HD100)</f>
        <v>44864</v>
      </c>
      <c r="HE98" s="391">
        <f t="shared" si="123"/>
        <v>2970</v>
      </c>
      <c r="HF98" s="391">
        <f t="shared" si="123"/>
        <v>44699</v>
      </c>
      <c r="HG98" s="391">
        <f t="shared" si="123"/>
        <v>110519</v>
      </c>
      <c r="HH98" s="391">
        <f t="shared" si="123"/>
        <v>26046</v>
      </c>
      <c r="HI98" s="391">
        <f t="shared" si="123"/>
        <v>10832</v>
      </c>
      <c r="HJ98" s="391">
        <f t="shared" si="123"/>
        <v>54140</v>
      </c>
      <c r="HK98" s="392" t="e">
        <f t="shared" si="123"/>
        <v>#REF!</v>
      </c>
      <c r="HL98" s="392">
        <f>SUM(HL99:HL100)</f>
        <v>174</v>
      </c>
      <c r="HM98" s="392">
        <f>SUM(HM99:HM100)</f>
        <v>1417</v>
      </c>
      <c r="HN98" s="393" t="e">
        <f>SUM(HC98:HM98)</f>
        <v>#REF!</v>
      </c>
      <c r="HO98" s="286"/>
      <c r="HP98" s="286"/>
      <c r="HQ98" s="286"/>
      <c r="HR98" s="286"/>
      <c r="HS98" s="306"/>
      <c r="HT98" s="306"/>
      <c r="HU98" s="306"/>
      <c r="HV98" s="306"/>
      <c r="HW98" s="286"/>
      <c r="HX98" s="286"/>
      <c r="HY98" s="286"/>
      <c r="HZ98" s="286"/>
      <c r="IA98" s="286"/>
      <c r="IB98" s="286"/>
      <c r="IC98" s="286"/>
      <c r="ID98" s="286"/>
      <c r="IE98" s="286"/>
      <c r="IF98" s="286"/>
      <c r="IG98" s="286"/>
      <c r="IH98" s="286"/>
      <c r="II98" s="286"/>
      <c r="IJ98" s="286"/>
      <c r="IK98" s="286"/>
      <c r="IL98" s="286"/>
      <c r="IM98" s="286"/>
      <c r="IN98" s="286"/>
      <c r="IO98" s="286"/>
      <c r="IP98" s="286"/>
      <c r="IQ98" s="286"/>
      <c r="IR98" s="286"/>
      <c r="IS98" s="286"/>
      <c r="IT98" s="286"/>
      <c r="IU98" s="286"/>
      <c r="IV98" s="286"/>
    </row>
    <row r="99" spans="1:256" s="305" customFormat="1" ht="13.5" hidden="1" customHeight="1">
      <c r="A99" s="394">
        <v>12</v>
      </c>
      <c r="B99" s="395" t="s">
        <v>246</v>
      </c>
      <c r="C99" s="396"/>
      <c r="D99" s="367" t="s">
        <v>223</v>
      </c>
      <c r="E99" s="301" t="e">
        <f>SUM(E100:E101)</f>
        <v>#REF!</v>
      </c>
      <c r="F99" s="301" t="e">
        <f>SUM(F100:F101)</f>
        <v>#REF!</v>
      </c>
      <c r="G99" s="301" t="e">
        <f>SUM(G100:G101)</f>
        <v>#REF!</v>
      </c>
      <c r="H99" s="301" t="e">
        <f>SUM(H100:H101)</f>
        <v>#REF!</v>
      </c>
      <c r="I99" s="301">
        <f>I100+I101</f>
        <v>2755</v>
      </c>
      <c r="J99" s="301">
        <f>J100+J101</f>
        <v>480.76424000000003</v>
      </c>
      <c r="K99" s="301">
        <f>K100+K101</f>
        <v>480.76424000000003</v>
      </c>
      <c r="L99" s="301">
        <f t="shared" si="25"/>
        <v>0</v>
      </c>
      <c r="M99" s="301">
        <f>M100+M101</f>
        <v>174</v>
      </c>
      <c r="N99" s="301">
        <f t="shared" ref="N99:BW99" si="124">N100+N101</f>
        <v>13.22748</v>
      </c>
      <c r="O99" s="301">
        <f t="shared" si="124"/>
        <v>13.22748</v>
      </c>
      <c r="P99" s="301">
        <f t="shared" si="26"/>
        <v>0</v>
      </c>
      <c r="Q99" s="301">
        <f t="shared" si="124"/>
        <v>44864</v>
      </c>
      <c r="R99" s="301">
        <f t="shared" si="124"/>
        <v>7163.4122900000002</v>
      </c>
      <c r="S99" s="301">
        <f t="shared" si="124"/>
        <v>7163.4122900000002</v>
      </c>
      <c r="T99" s="301">
        <f t="shared" si="27"/>
        <v>0</v>
      </c>
      <c r="U99" s="301">
        <f t="shared" si="124"/>
        <v>18874</v>
      </c>
      <c r="V99" s="301">
        <f t="shared" si="124"/>
        <v>3210.6402800000001</v>
      </c>
      <c r="W99" s="301">
        <f t="shared" si="124"/>
        <v>3210.6402800000001</v>
      </c>
      <c r="X99" s="301">
        <f t="shared" si="28"/>
        <v>0</v>
      </c>
      <c r="Y99" s="301">
        <f>Y100+Y101</f>
        <v>22033</v>
      </c>
      <c r="Z99" s="301">
        <f t="shared" si="124"/>
        <v>2711.78244</v>
      </c>
      <c r="AA99" s="301">
        <f t="shared" si="124"/>
        <v>2711.78244</v>
      </c>
      <c r="AB99" s="301">
        <f t="shared" si="29"/>
        <v>0</v>
      </c>
      <c r="AC99" s="301">
        <f t="shared" si="124"/>
        <v>12868</v>
      </c>
      <c r="AD99" s="301">
        <f t="shared" si="124"/>
        <v>1687.0023824</v>
      </c>
      <c r="AE99" s="301">
        <f t="shared" si="124"/>
        <v>1687.0023824</v>
      </c>
      <c r="AF99" s="300">
        <f t="shared" si="30"/>
        <v>0</v>
      </c>
      <c r="AG99" s="301">
        <f t="shared" si="124"/>
        <v>2194</v>
      </c>
      <c r="AH99" s="301">
        <f t="shared" si="124"/>
        <v>306.64589520000004</v>
      </c>
      <c r="AI99" s="301">
        <f t="shared" si="124"/>
        <v>306.64589520000004</v>
      </c>
      <c r="AJ99" s="300">
        <f t="shared" si="31"/>
        <v>0</v>
      </c>
      <c r="AK99" s="301">
        <f t="shared" si="124"/>
        <v>22030</v>
      </c>
      <c r="AL99" s="301">
        <f>AL100+AL101</f>
        <v>2365.5077680000004</v>
      </c>
      <c r="AM99" s="301">
        <f>AM100+AM101</f>
        <v>2365.5077680000004</v>
      </c>
      <c r="AN99" s="301">
        <f t="shared" si="32"/>
        <v>0</v>
      </c>
      <c r="AO99" s="301">
        <f t="shared" si="124"/>
        <v>54140</v>
      </c>
      <c r="AP99" s="301">
        <f t="shared" si="124"/>
        <v>8977.4071774000004</v>
      </c>
      <c r="AQ99" s="301">
        <f>AQ100+AQ101</f>
        <v>8977.4071774000004</v>
      </c>
      <c r="AR99" s="300">
        <f t="shared" si="120"/>
        <v>0</v>
      </c>
      <c r="AS99" s="301">
        <f t="shared" si="124"/>
        <v>10832</v>
      </c>
      <c r="AT99" s="301">
        <f>AT100+AT101</f>
        <v>1782.8568576</v>
      </c>
      <c r="AU99" s="301">
        <f>AU100+AU101</f>
        <v>1782.8568576</v>
      </c>
      <c r="AV99" s="301">
        <f t="shared" si="34"/>
        <v>0</v>
      </c>
      <c r="AW99" s="301">
        <f t="shared" si="124"/>
        <v>2001</v>
      </c>
      <c r="AX99" s="301">
        <f t="shared" si="124"/>
        <v>257.25039720000001</v>
      </c>
      <c r="AY99" s="301">
        <f t="shared" si="124"/>
        <v>257.25039720000001</v>
      </c>
      <c r="AZ99" s="301">
        <f t="shared" si="35"/>
        <v>0</v>
      </c>
      <c r="BA99" s="301">
        <f t="shared" si="124"/>
        <v>815</v>
      </c>
      <c r="BB99" s="301">
        <f t="shared" si="124"/>
        <v>95.152010000000004</v>
      </c>
      <c r="BC99" s="301">
        <f t="shared" si="124"/>
        <v>95.152010000000004</v>
      </c>
      <c r="BD99" s="301">
        <f t="shared" si="36"/>
        <v>0</v>
      </c>
      <c r="BE99" s="301">
        <f t="shared" si="124"/>
        <v>569</v>
      </c>
      <c r="BF99" s="301">
        <f t="shared" si="124"/>
        <v>62.617289999999997</v>
      </c>
      <c r="BG99" s="301">
        <f t="shared" si="124"/>
        <v>62.617289999999997</v>
      </c>
      <c r="BH99" s="301">
        <f t="shared" si="37"/>
        <v>0</v>
      </c>
      <c r="BI99" s="301">
        <f t="shared" si="124"/>
        <v>10347</v>
      </c>
      <c r="BJ99" s="301">
        <f t="shared" si="124"/>
        <v>1764.7312248000001</v>
      </c>
      <c r="BK99" s="301">
        <f t="shared" si="124"/>
        <v>1764.7312248000001</v>
      </c>
      <c r="BL99" s="301">
        <f t="shared" si="38"/>
        <v>0</v>
      </c>
      <c r="BM99" s="301">
        <f>BM100+BM101</f>
        <v>1479</v>
      </c>
      <c r="BN99" s="301">
        <f>BN100+BN101</f>
        <v>284.69734319999998</v>
      </c>
      <c r="BO99" s="301">
        <f>BO100+BO101</f>
        <v>284.69734319999998</v>
      </c>
      <c r="BP99" s="301">
        <f t="shared" si="52"/>
        <v>0</v>
      </c>
      <c r="BQ99" s="301">
        <f t="shared" si="124"/>
        <v>2845</v>
      </c>
      <c r="BR99" s="301">
        <f t="shared" si="124"/>
        <v>441.52777150000003</v>
      </c>
      <c r="BS99" s="301">
        <f t="shared" si="124"/>
        <v>441.52777150000003</v>
      </c>
      <c r="BT99" s="301">
        <f t="shared" si="39"/>
        <v>0</v>
      </c>
      <c r="BU99" s="301">
        <f t="shared" si="124"/>
        <v>18116</v>
      </c>
      <c r="BV99" s="301">
        <f t="shared" si="124"/>
        <v>3881.4014099999995</v>
      </c>
      <c r="BW99" s="301">
        <f t="shared" si="124"/>
        <v>3881.4014099999995</v>
      </c>
      <c r="BX99" s="301">
        <f t="shared" si="40"/>
        <v>0</v>
      </c>
      <c r="BY99" s="301">
        <f>BY100+BY101</f>
        <v>25830</v>
      </c>
      <c r="BZ99" s="301">
        <f>BZ100+BZ101</f>
        <v>4810.0518410000004</v>
      </c>
      <c r="CA99" s="301">
        <f>CA100+CA101</f>
        <v>4810.0518410000004</v>
      </c>
      <c r="CB99" s="301">
        <f t="shared" si="41"/>
        <v>0</v>
      </c>
      <c r="CC99" s="301">
        <f>CC100+CC101</f>
        <v>162</v>
      </c>
      <c r="CD99" s="301">
        <f>CD100+CD101</f>
        <v>24.0350976</v>
      </c>
      <c r="CE99" s="301">
        <f>CE100+CE101</f>
        <v>24.0350976</v>
      </c>
      <c r="CF99" s="300">
        <f t="shared" si="107"/>
        <v>0</v>
      </c>
      <c r="CG99" s="301">
        <f>CG100+CG101</f>
        <v>57879</v>
      </c>
      <c r="CH99" s="301">
        <f>CH100+CH101</f>
        <v>6909.901358000001</v>
      </c>
      <c r="CI99" s="301">
        <f>CI100+CI101</f>
        <v>6909.901358000001</v>
      </c>
      <c r="CJ99" s="301">
        <f t="shared" si="122"/>
        <v>0</v>
      </c>
      <c r="CK99" s="301">
        <f>CK100+CK101</f>
        <v>2003</v>
      </c>
      <c r="CL99" s="301">
        <f>CL100+CL101</f>
        <v>425.32925</v>
      </c>
      <c r="CM99" s="301">
        <f>CM100+CM101</f>
        <v>425.32925</v>
      </c>
      <c r="CN99" s="301">
        <f t="shared" si="84"/>
        <v>0</v>
      </c>
      <c r="CO99" s="301" t="e">
        <f>CO100+CO101</f>
        <v>#REF!</v>
      </c>
      <c r="CP99" s="301" t="e">
        <f>CP100+CP101</f>
        <v>#REF!</v>
      </c>
      <c r="CQ99" s="301" t="e">
        <f>CQ100+CQ101</f>
        <v>#REF!</v>
      </c>
      <c r="CR99" s="301" t="e">
        <f t="shared" si="85"/>
        <v>#REF!</v>
      </c>
      <c r="CS99" s="301" t="e">
        <f>CS100+CS101</f>
        <v>#REF!</v>
      </c>
      <c r="CT99" s="301" t="e">
        <f>CT100+CT101</f>
        <v>#REF!</v>
      </c>
      <c r="CU99" s="301" t="e">
        <f>CU100+CU101</f>
        <v>#REF!</v>
      </c>
      <c r="CV99" s="301" t="e">
        <f t="shared" si="86"/>
        <v>#REF!</v>
      </c>
      <c r="CW99" s="301">
        <f>CW100+CW101</f>
        <v>202</v>
      </c>
      <c r="CX99" s="301">
        <f>CX100+CX101</f>
        <v>24.999155999999999</v>
      </c>
      <c r="CY99" s="301">
        <f>CY100+CY101</f>
        <v>24.999155999999999</v>
      </c>
      <c r="CZ99" s="301">
        <f t="shared" si="87"/>
        <v>0</v>
      </c>
      <c r="DA99" s="301">
        <f>DA100+DA101</f>
        <v>992</v>
      </c>
      <c r="DB99" s="301">
        <f>DB100+DB101</f>
        <v>124.38976699999999</v>
      </c>
      <c r="DC99" s="301">
        <f>DC100+DC101</f>
        <v>124.38976699999999</v>
      </c>
      <c r="DD99" s="300">
        <f t="shared" si="115"/>
        <v>0</v>
      </c>
      <c r="DE99" s="301">
        <f>DE100+DE101</f>
        <v>1195</v>
      </c>
      <c r="DF99" s="301">
        <f>DF100+DF101</f>
        <v>240.0148432</v>
      </c>
      <c r="DG99" s="301">
        <f>DG100+DG101</f>
        <v>240.0148432</v>
      </c>
      <c r="DH99" s="301">
        <f t="shared" si="88"/>
        <v>0</v>
      </c>
      <c r="DI99" s="301">
        <f>DI100+DI101</f>
        <v>216</v>
      </c>
      <c r="DJ99" s="301">
        <f>DJ100+DJ101</f>
        <v>27.332639999999998</v>
      </c>
      <c r="DK99" s="301">
        <f>DK100+DK101</f>
        <v>27.332639999999998</v>
      </c>
      <c r="DL99" s="301">
        <f t="shared" si="50"/>
        <v>0</v>
      </c>
      <c r="DM99" s="301">
        <f>DM100+DM101</f>
        <v>13693</v>
      </c>
      <c r="DN99" s="301">
        <f>DN100+DN101</f>
        <v>2542.6052099999997</v>
      </c>
      <c r="DO99" s="301">
        <f>DO100+DO101</f>
        <v>2542.6052099999997</v>
      </c>
      <c r="DP99" s="301">
        <f t="shared" si="82"/>
        <v>0</v>
      </c>
      <c r="DQ99" s="301">
        <f>DQ100+DQ101</f>
        <v>0</v>
      </c>
      <c r="DR99" s="301">
        <f>DR100+DR101</f>
        <v>0</v>
      </c>
      <c r="DS99" s="301">
        <f>DS100+DS101</f>
        <v>0</v>
      </c>
      <c r="DT99" s="300">
        <f t="shared" si="89"/>
        <v>0</v>
      </c>
      <c r="DU99" s="301">
        <f>DU100+DU101</f>
        <v>2688</v>
      </c>
      <c r="DV99" s="301">
        <f>DV100+DV101</f>
        <v>525.50826600000005</v>
      </c>
      <c r="DW99" s="301">
        <f>DW100+DW101</f>
        <v>525.50826600000005</v>
      </c>
      <c r="DX99" s="301">
        <f t="shared" si="112"/>
        <v>0</v>
      </c>
      <c r="DY99" s="301">
        <f>DY100+DY101</f>
        <v>566</v>
      </c>
      <c r="DZ99" s="301">
        <f>DZ100+DZ101</f>
        <v>67.391012000000003</v>
      </c>
      <c r="EA99" s="301">
        <f>EA100+EA101</f>
        <v>67.391012000000003</v>
      </c>
      <c r="EB99" s="301">
        <f t="shared" si="90"/>
        <v>0</v>
      </c>
      <c r="EC99" s="301">
        <f>EC100+EC101</f>
        <v>277</v>
      </c>
      <c r="ED99" s="301">
        <f>ED100+ED101</f>
        <v>28.278559999999999</v>
      </c>
      <c r="EE99" s="301">
        <f>EE100+EE101</f>
        <v>28.278559999999999</v>
      </c>
      <c r="EF99" s="301">
        <f t="shared" si="91"/>
        <v>0</v>
      </c>
      <c r="EG99" s="301">
        <f>EG100+EG101</f>
        <v>6466</v>
      </c>
      <c r="EH99" s="301">
        <f>EH100+EH101</f>
        <v>1167.8798740000002</v>
      </c>
      <c r="EI99" s="301">
        <f>EI100+EI101</f>
        <v>1167.8798740000002</v>
      </c>
      <c r="EJ99" s="301">
        <f t="shared" si="92"/>
        <v>0</v>
      </c>
      <c r="EK99" s="301">
        <f>EK100+EK101</f>
        <v>0</v>
      </c>
      <c r="EL99" s="301">
        <f>EL100+EL101</f>
        <v>0</v>
      </c>
      <c r="EM99" s="301">
        <f>EM100+EM101</f>
        <v>0</v>
      </c>
      <c r="EN99" s="301">
        <f t="shared" si="93"/>
        <v>0</v>
      </c>
      <c r="EO99" s="301">
        <f>EO100+EO101</f>
        <v>417</v>
      </c>
      <c r="EP99" s="301">
        <f>EP100+EP101</f>
        <v>88.776161599999995</v>
      </c>
      <c r="EQ99" s="301">
        <f>EQ100+EQ101</f>
        <v>88.776161599999995</v>
      </c>
      <c r="ER99" s="300">
        <f t="shared" si="94"/>
        <v>0</v>
      </c>
      <c r="ES99" s="301">
        <f>ES100+ES101</f>
        <v>133</v>
      </c>
      <c r="ET99" s="301">
        <f>ET100+ET101</f>
        <v>31.498729999999995</v>
      </c>
      <c r="EU99" s="301">
        <f>EU100+EU101</f>
        <v>31.498729999999995</v>
      </c>
      <c r="EV99" s="300">
        <f t="shared" si="95"/>
        <v>0</v>
      </c>
      <c r="EW99" s="301">
        <f>EW100+EW101</f>
        <v>0</v>
      </c>
      <c r="EX99" s="301">
        <f>EX100+EX101</f>
        <v>0</v>
      </c>
      <c r="EY99" s="301">
        <f>EY100+EY101</f>
        <v>0</v>
      </c>
      <c r="EZ99" s="301">
        <f t="shared" si="96"/>
        <v>0</v>
      </c>
      <c r="FA99" s="301">
        <f>FA100+FA101</f>
        <v>1417</v>
      </c>
      <c r="FB99" s="301">
        <f>FB100+FB101</f>
        <v>162.92790000000002</v>
      </c>
      <c r="FC99" s="301">
        <f>FC100+FC101</f>
        <v>162.92790000000002</v>
      </c>
      <c r="FD99" s="301">
        <f t="shared" si="97"/>
        <v>0</v>
      </c>
      <c r="FE99" s="301">
        <f>FE100+FE101</f>
        <v>520</v>
      </c>
      <c r="FF99" s="301">
        <f>FF100+FF101</f>
        <v>95.927748000000008</v>
      </c>
      <c r="FG99" s="301">
        <f>FG100+FG101</f>
        <v>95.927748000000008</v>
      </c>
      <c r="FH99" s="300">
        <f t="shared" si="98"/>
        <v>0</v>
      </c>
      <c r="FI99" s="301">
        <f>FI100+FI101</f>
        <v>288</v>
      </c>
      <c r="FJ99" s="301">
        <f>FJ100+FJ101</f>
        <v>43.679973000000004</v>
      </c>
      <c r="FK99" s="301">
        <f>FK100+FK101</f>
        <v>43.679973000000004</v>
      </c>
      <c r="FL99" s="301">
        <f t="shared" si="113"/>
        <v>0</v>
      </c>
      <c r="FM99" s="301">
        <f>FM100+FM101</f>
        <v>0</v>
      </c>
      <c r="FN99" s="301">
        <f>FN100+FN101</f>
        <v>0</v>
      </c>
      <c r="FO99" s="301">
        <f>FO100+FO101</f>
        <v>0</v>
      </c>
      <c r="FP99" s="301">
        <f t="shared" si="108"/>
        <v>0</v>
      </c>
      <c r="FQ99" s="301">
        <f>FQ100+FQ101</f>
        <v>333</v>
      </c>
      <c r="FR99" s="301">
        <f>FR100+FR101</f>
        <v>77.327429999999993</v>
      </c>
      <c r="FS99" s="301">
        <f>FS100+FS101</f>
        <v>77.327429999999993</v>
      </c>
      <c r="FT99" s="301">
        <f t="shared" si="99"/>
        <v>0</v>
      </c>
      <c r="FU99" s="301">
        <f>FU100+FU101</f>
        <v>1417</v>
      </c>
      <c r="FV99" s="301">
        <f>FV100+FV101</f>
        <v>113.83581000000001</v>
      </c>
      <c r="FW99" s="301">
        <f>FW100+FW101</f>
        <v>113.83581000000001</v>
      </c>
      <c r="FX99" s="301">
        <f t="shared" si="100"/>
        <v>0</v>
      </c>
      <c r="FY99" s="301">
        <f>FY100+FY101</f>
        <v>76</v>
      </c>
      <c r="FZ99" s="301">
        <f>FZ100+FZ101</f>
        <v>3.7620300000000002</v>
      </c>
      <c r="GA99" s="301">
        <f>GA100+GA101</f>
        <v>3.7620300000000002</v>
      </c>
      <c r="GB99" s="301">
        <f t="shared" si="101"/>
        <v>0</v>
      </c>
      <c r="GC99" s="301">
        <f>GC100+GC101</f>
        <v>373</v>
      </c>
      <c r="GD99" s="301">
        <f>GD100+GD101</f>
        <v>76.976141999999996</v>
      </c>
      <c r="GE99" s="301">
        <f>GE100+GE101</f>
        <v>76.976141999999996</v>
      </c>
      <c r="GF99" s="301">
        <f t="shared" si="109"/>
        <v>0</v>
      </c>
      <c r="GG99" s="301">
        <f>GG100+GG101</f>
        <v>0</v>
      </c>
      <c r="GH99" s="301">
        <f>GH100+GH101</f>
        <v>0</v>
      </c>
      <c r="GI99" s="301">
        <f>GI100+GI101</f>
        <v>0</v>
      </c>
      <c r="GJ99" s="301">
        <f t="shared" si="110"/>
        <v>0</v>
      </c>
      <c r="GK99" s="301">
        <f>GK100+GK101</f>
        <v>0</v>
      </c>
      <c r="GL99" s="301">
        <f>GL100+GL101</f>
        <v>0</v>
      </c>
      <c r="GM99" s="301">
        <f>GM100+GM101</f>
        <v>0</v>
      </c>
      <c r="GN99" s="301">
        <f t="shared" si="103"/>
        <v>0</v>
      </c>
      <c r="GO99" s="301">
        <f>GO100+GO101</f>
        <v>49</v>
      </c>
      <c r="GP99" s="301">
        <f>GP100+GP101</f>
        <v>10.01751</v>
      </c>
      <c r="GQ99" s="301">
        <f>GQ100+GQ101</f>
        <v>10.01751</v>
      </c>
      <c r="GR99" s="301">
        <f t="shared" si="104"/>
        <v>0</v>
      </c>
      <c r="GS99" s="301">
        <f>GS100+GS101</f>
        <v>81</v>
      </c>
      <c r="GT99" s="301">
        <f>GT100+GT101</f>
        <v>6.9465600000000007</v>
      </c>
      <c r="GU99" s="301">
        <f>GU100+GU101</f>
        <v>6.9465600000000007</v>
      </c>
      <c r="GV99" s="301">
        <f t="shared" si="105"/>
        <v>0</v>
      </c>
      <c r="GW99" s="301">
        <f>GW100+GW101</f>
        <v>0</v>
      </c>
      <c r="GX99" s="301">
        <f>GX100+GX101</f>
        <v>0</v>
      </c>
      <c r="GY99" s="301">
        <f>GY100+GY101</f>
        <v>0</v>
      </c>
      <c r="GZ99" s="301">
        <f t="shared" si="106"/>
        <v>0</v>
      </c>
      <c r="HA99" s="397"/>
      <c r="HB99" s="398" t="s">
        <v>247</v>
      </c>
      <c r="HC99" s="399">
        <f>SUM(BU100,CK100,EG100,EK100,EO100,ES100,FA100,FE100,FM100,FQ100,GC100,GG100,GK100)</f>
        <v>13402</v>
      </c>
      <c r="HD99" s="399">
        <f>SUM(Q100)</f>
        <v>20986</v>
      </c>
      <c r="HE99" s="399">
        <f>SUM(BQ100,FY100,GO100)</f>
        <v>2368</v>
      </c>
      <c r="HF99" s="399">
        <f>SUM(U100,AC100,BI100,BM100,DY100,EC100,FI100)</f>
        <v>12755</v>
      </c>
      <c r="HG99" s="399">
        <f>SUM(I100,Y100,AG100,AK100,AW100,BA100,BE100,CC100,CG100,GS100)</f>
        <v>17760</v>
      </c>
      <c r="HH99" s="399">
        <f>SUM(BY100,DI100)</f>
        <v>11721</v>
      </c>
      <c r="HI99" s="400">
        <f>SUM(AS100)</f>
        <v>2634</v>
      </c>
      <c r="HJ99" s="399">
        <f>SUM(AO100)</f>
        <v>16197</v>
      </c>
      <c r="HK99" s="399" t="e">
        <f>SUM(CO100,CS100,CW100,DA100,DE100,DM100,DQ100,DU100,EW100)</f>
        <v>#REF!</v>
      </c>
      <c r="HL99" s="399">
        <f>M100</f>
        <v>0</v>
      </c>
      <c r="HM99" s="399">
        <f>FU100</f>
        <v>22</v>
      </c>
      <c r="HN99" s="401"/>
      <c r="HS99" s="306"/>
      <c r="HT99" s="306"/>
      <c r="HU99" s="306"/>
      <c r="HV99" s="306"/>
    </row>
    <row r="100" spans="1:256" s="376" customFormat="1" ht="13.5" hidden="1" customHeight="1">
      <c r="A100" s="909"/>
      <c r="B100" s="402"/>
      <c r="C100" s="403" t="s">
        <v>248</v>
      </c>
      <c r="D100" s="327" t="s">
        <v>223</v>
      </c>
      <c r="E100" s="320" t="e">
        <f>E103+E106+E109+E112+E115+E118+E121+E124+E129</f>
        <v>#REF!</v>
      </c>
      <c r="F100" s="320" t="e">
        <f>F103+F106+F109+F112+F115+F118+F121+F124+F129</f>
        <v>#REF!</v>
      </c>
      <c r="G100" s="320" t="e">
        <f>G103+G106+G109+G112+G115+G118+G121+G124+G129</f>
        <v>#REF!</v>
      </c>
      <c r="H100" s="301" t="e">
        <f>H103+H106+H109+H112+H115+H118+H121+H124+H129</f>
        <v>#REF!</v>
      </c>
      <c r="I100" s="320">
        <f t="shared" ref="I100:BS100" si="125">I103+I106+I109+I112+I115+I118+I121+I124+I129</f>
        <v>973</v>
      </c>
      <c r="J100" s="320">
        <f t="shared" si="125"/>
        <v>327.93992000000003</v>
      </c>
      <c r="K100" s="320">
        <f t="shared" si="125"/>
        <v>327.93992000000003</v>
      </c>
      <c r="L100" s="301">
        <f t="shared" si="125"/>
        <v>0</v>
      </c>
      <c r="M100" s="320">
        <f t="shared" si="125"/>
        <v>0</v>
      </c>
      <c r="N100" s="320">
        <f t="shared" si="125"/>
        <v>0</v>
      </c>
      <c r="O100" s="320">
        <f t="shared" si="125"/>
        <v>0</v>
      </c>
      <c r="P100" s="301">
        <f t="shared" ref="P100:P131" si="126">O100-N100</f>
        <v>0</v>
      </c>
      <c r="Q100" s="320">
        <f t="shared" si="125"/>
        <v>20986</v>
      </c>
      <c r="R100" s="320">
        <f t="shared" si="125"/>
        <v>5348.2067300000008</v>
      </c>
      <c r="S100" s="320">
        <f t="shared" si="125"/>
        <v>5348.2067300000008</v>
      </c>
      <c r="T100" s="301">
        <f>S100-R100</f>
        <v>0</v>
      </c>
      <c r="U100" s="320">
        <f t="shared" si="125"/>
        <v>6856</v>
      </c>
      <c r="V100" s="320">
        <f t="shared" si="125"/>
        <v>2105.71531</v>
      </c>
      <c r="W100" s="320">
        <f t="shared" si="125"/>
        <v>2105.71531</v>
      </c>
      <c r="X100" s="301">
        <f>W100-V100</f>
        <v>0</v>
      </c>
      <c r="Y100" s="320">
        <f t="shared" si="125"/>
        <v>3012</v>
      </c>
      <c r="Z100" s="320">
        <f t="shared" si="125"/>
        <v>1080.5414800000001</v>
      </c>
      <c r="AA100" s="320">
        <f t="shared" si="125"/>
        <v>1080.5414800000001</v>
      </c>
      <c r="AB100" s="301">
        <f t="shared" ref="AB100:AB148" si="127">AA100-Z100</f>
        <v>0</v>
      </c>
      <c r="AC100" s="320">
        <f t="shared" si="125"/>
        <v>1953</v>
      </c>
      <c r="AD100" s="320">
        <f t="shared" si="125"/>
        <v>658.44827999999995</v>
      </c>
      <c r="AE100" s="320">
        <f t="shared" si="125"/>
        <v>658.44827999999995</v>
      </c>
      <c r="AF100" s="300">
        <f>AE100-AD100</f>
        <v>0</v>
      </c>
      <c r="AG100" s="320">
        <f t="shared" si="125"/>
        <v>398</v>
      </c>
      <c r="AH100" s="320">
        <f t="shared" si="125"/>
        <v>134.13794000000001</v>
      </c>
      <c r="AI100" s="320">
        <f t="shared" si="125"/>
        <v>134.13794000000001</v>
      </c>
      <c r="AJ100" s="300">
        <f t="shared" ref="AJ100:AJ148" si="128">AI100-AH100</f>
        <v>0</v>
      </c>
      <c r="AK100" s="320">
        <f t="shared" si="125"/>
        <v>4322</v>
      </c>
      <c r="AL100" s="320">
        <f t="shared" si="125"/>
        <v>1454.3249200000002</v>
      </c>
      <c r="AM100" s="320">
        <f t="shared" si="125"/>
        <v>1454.3249200000002</v>
      </c>
      <c r="AN100" s="301">
        <f t="shared" ref="AN100:AN145" si="129">AM100-AL100</f>
        <v>0</v>
      </c>
      <c r="AO100" s="320">
        <f t="shared" si="125"/>
        <v>16197</v>
      </c>
      <c r="AP100" s="320">
        <f t="shared" si="125"/>
        <v>5716.043920000001</v>
      </c>
      <c r="AQ100" s="320">
        <f t="shared" si="125"/>
        <v>5716.043920000001</v>
      </c>
      <c r="AR100" s="300">
        <f t="shared" si="120"/>
        <v>0</v>
      </c>
      <c r="AS100" s="320">
        <f>AS103+AS106+AS109+AS112+AS115+AS118+AS121+AS124+AS129</f>
        <v>2634</v>
      </c>
      <c r="AT100" s="320">
        <f t="shared" si="125"/>
        <v>947.13306239999997</v>
      </c>
      <c r="AU100" s="320">
        <f t="shared" si="125"/>
        <v>947.13306239999997</v>
      </c>
      <c r="AV100" s="301">
        <f t="shared" ref="AV100:AV148" si="130">AU100-AT100</f>
        <v>0</v>
      </c>
      <c r="AW100" s="320">
        <f t="shared" si="125"/>
        <v>238</v>
      </c>
      <c r="AX100" s="320">
        <f t="shared" si="125"/>
        <v>85.808520000000001</v>
      </c>
      <c r="AY100" s="320">
        <f t="shared" si="125"/>
        <v>85.808520000000001</v>
      </c>
      <c r="AZ100" s="301">
        <f t="shared" ref="AZ100:AZ148" si="131">AY100-AX100</f>
        <v>0</v>
      </c>
      <c r="BA100" s="320">
        <f t="shared" si="125"/>
        <v>85</v>
      </c>
      <c r="BB100" s="320">
        <f t="shared" si="125"/>
        <v>28.647549999999999</v>
      </c>
      <c r="BC100" s="320">
        <f t="shared" si="125"/>
        <v>28.647549999999999</v>
      </c>
      <c r="BD100" s="301">
        <f t="shared" ref="BD100:BD148" si="132">BC100-BB100</f>
        <v>0</v>
      </c>
      <c r="BE100" s="320">
        <f t="shared" si="125"/>
        <v>55</v>
      </c>
      <c r="BF100" s="320">
        <f t="shared" si="125"/>
        <v>18.536649999999998</v>
      </c>
      <c r="BG100" s="320">
        <f t="shared" si="125"/>
        <v>18.536649999999998</v>
      </c>
      <c r="BH100" s="301">
        <f>BG100-BF100</f>
        <v>0</v>
      </c>
      <c r="BI100" s="320">
        <f t="shared" si="125"/>
        <v>3211</v>
      </c>
      <c r="BJ100" s="320">
        <f t="shared" si="125"/>
        <v>1088.7607800000001</v>
      </c>
      <c r="BK100" s="320">
        <f t="shared" si="125"/>
        <v>1088.7607800000001</v>
      </c>
      <c r="BL100" s="301">
        <f t="shared" ref="BL100:BL145" si="133">BK100-BJ100</f>
        <v>0</v>
      </c>
      <c r="BM100" s="320">
        <f t="shared" si="125"/>
        <v>536</v>
      </c>
      <c r="BN100" s="320">
        <f t="shared" si="125"/>
        <v>200.59877999999998</v>
      </c>
      <c r="BO100" s="320">
        <f t="shared" si="125"/>
        <v>200.59877999999998</v>
      </c>
      <c r="BP100" s="301">
        <f t="shared" ref="BP100:BP147" si="134">BO100-BN100</f>
        <v>0</v>
      </c>
      <c r="BQ100" s="320">
        <f t="shared" si="125"/>
        <v>2332</v>
      </c>
      <c r="BR100" s="320">
        <f t="shared" si="125"/>
        <v>400.98040000000003</v>
      </c>
      <c r="BS100" s="320">
        <f t="shared" si="125"/>
        <v>400.98040000000003</v>
      </c>
      <c r="BT100" s="301">
        <f t="shared" ref="BT100:BT148" si="135">BS100-BR100</f>
        <v>0</v>
      </c>
      <c r="BU100" s="320">
        <f t="shared" ref="BU100:EE100" si="136">BU103+BU106+BU109+BU112+BU115+BU118+BU121+BU124+BU129</f>
        <v>8840</v>
      </c>
      <c r="BV100" s="320">
        <f t="shared" si="136"/>
        <v>2941.4878199999994</v>
      </c>
      <c r="BW100" s="320">
        <f t="shared" si="136"/>
        <v>2941.4878199999994</v>
      </c>
      <c r="BX100" s="301">
        <f t="shared" ref="BX100:BX148" si="137">BW100-BV100</f>
        <v>0</v>
      </c>
      <c r="BY100" s="320">
        <f t="shared" si="136"/>
        <v>11721</v>
      </c>
      <c r="BZ100" s="320">
        <f t="shared" si="136"/>
        <v>3375.8344410000004</v>
      </c>
      <c r="CA100" s="320">
        <f t="shared" si="136"/>
        <v>3375.8344410000004</v>
      </c>
      <c r="CB100" s="301">
        <f t="shared" ref="CB100:CB148" si="138">CA100-BZ100</f>
        <v>0</v>
      </c>
      <c r="CC100" s="320">
        <f t="shared" si="136"/>
        <v>0</v>
      </c>
      <c r="CD100" s="320">
        <f t="shared" si="136"/>
        <v>0</v>
      </c>
      <c r="CE100" s="320">
        <f t="shared" si="136"/>
        <v>0</v>
      </c>
      <c r="CF100" s="300">
        <f t="shared" si="107"/>
        <v>0</v>
      </c>
      <c r="CG100" s="320">
        <f t="shared" si="136"/>
        <v>8677</v>
      </c>
      <c r="CH100" s="320">
        <f t="shared" si="136"/>
        <v>3112.2941900000001</v>
      </c>
      <c r="CI100" s="320">
        <f t="shared" si="136"/>
        <v>3112.2941900000001</v>
      </c>
      <c r="CJ100" s="301">
        <f t="shared" si="122"/>
        <v>0</v>
      </c>
      <c r="CK100" s="320">
        <f t="shared" si="136"/>
        <v>897</v>
      </c>
      <c r="CL100" s="320">
        <f t="shared" si="136"/>
        <v>323.75421</v>
      </c>
      <c r="CM100" s="320">
        <f t="shared" si="136"/>
        <v>323.75421</v>
      </c>
      <c r="CN100" s="301">
        <f t="shared" si="84"/>
        <v>0</v>
      </c>
      <c r="CO100" s="320" t="e">
        <f t="shared" si="136"/>
        <v>#REF!</v>
      </c>
      <c r="CP100" s="320" t="e">
        <f t="shared" si="136"/>
        <v>#REF!</v>
      </c>
      <c r="CQ100" s="320" t="e">
        <f t="shared" si="136"/>
        <v>#REF!</v>
      </c>
      <c r="CR100" s="301" t="e">
        <f t="shared" si="85"/>
        <v>#REF!</v>
      </c>
      <c r="CS100" s="320" t="e">
        <f t="shared" si="136"/>
        <v>#REF!</v>
      </c>
      <c r="CT100" s="320" t="e">
        <f t="shared" si="136"/>
        <v>#REF!</v>
      </c>
      <c r="CU100" s="320" t="e">
        <f t="shared" si="136"/>
        <v>#REF!</v>
      </c>
      <c r="CV100" s="301" t="e">
        <f t="shared" si="86"/>
        <v>#REF!</v>
      </c>
      <c r="CW100" s="320">
        <f>CW103+CW106+CW109+CW112+CW115+CW118+CW121+CW124+CW129</f>
        <v>198</v>
      </c>
      <c r="CX100" s="320">
        <f t="shared" si="136"/>
        <v>24.656939999999999</v>
      </c>
      <c r="CY100" s="320">
        <f t="shared" si="136"/>
        <v>24.656939999999999</v>
      </c>
      <c r="CZ100" s="301">
        <f t="shared" si="87"/>
        <v>0</v>
      </c>
      <c r="DA100" s="320">
        <f t="shared" si="136"/>
        <v>658</v>
      </c>
      <c r="DB100" s="320">
        <f t="shared" si="136"/>
        <v>102.80484999999999</v>
      </c>
      <c r="DC100" s="320">
        <f t="shared" si="136"/>
        <v>102.80484999999999</v>
      </c>
      <c r="DD100" s="300">
        <f t="shared" si="115"/>
        <v>0</v>
      </c>
      <c r="DE100" s="320">
        <f t="shared" si="136"/>
        <v>544</v>
      </c>
      <c r="DF100" s="320">
        <f t="shared" si="136"/>
        <v>181.42276000000001</v>
      </c>
      <c r="DG100" s="320">
        <f t="shared" si="136"/>
        <v>181.42276000000001</v>
      </c>
      <c r="DH100" s="301">
        <f t="shared" si="88"/>
        <v>0</v>
      </c>
      <c r="DI100" s="320">
        <f t="shared" si="136"/>
        <v>0</v>
      </c>
      <c r="DJ100" s="320">
        <f t="shared" si="136"/>
        <v>0</v>
      </c>
      <c r="DK100" s="320">
        <f t="shared" si="136"/>
        <v>0</v>
      </c>
      <c r="DL100" s="301">
        <f t="shared" ref="DL100:DL143" si="139">DK100-DJ100</f>
        <v>0</v>
      </c>
      <c r="DM100" s="320">
        <f t="shared" si="136"/>
        <v>5378</v>
      </c>
      <c r="DN100" s="320">
        <f t="shared" si="136"/>
        <v>1778.1932199999999</v>
      </c>
      <c r="DO100" s="320">
        <f t="shared" si="136"/>
        <v>1778.1932199999999</v>
      </c>
      <c r="DP100" s="301">
        <f t="shared" si="82"/>
        <v>0</v>
      </c>
      <c r="DQ100" s="320">
        <f t="shared" si="136"/>
        <v>0</v>
      </c>
      <c r="DR100" s="320">
        <f t="shared" si="136"/>
        <v>0</v>
      </c>
      <c r="DS100" s="320">
        <f t="shared" si="136"/>
        <v>0</v>
      </c>
      <c r="DT100" s="300">
        <f t="shared" si="89"/>
        <v>0</v>
      </c>
      <c r="DU100" s="320">
        <f t="shared" si="136"/>
        <v>967</v>
      </c>
      <c r="DV100" s="320">
        <f t="shared" si="136"/>
        <v>343.74313000000001</v>
      </c>
      <c r="DW100" s="320">
        <f t="shared" si="136"/>
        <v>343.74313000000001</v>
      </c>
      <c r="DX100" s="301">
        <f t="shared" si="112"/>
        <v>0</v>
      </c>
      <c r="DY100" s="320">
        <f t="shared" si="136"/>
        <v>134</v>
      </c>
      <c r="DZ100" s="320">
        <f t="shared" si="136"/>
        <v>45.162019999999998</v>
      </c>
      <c r="EA100" s="320">
        <f t="shared" si="136"/>
        <v>45.162019999999998</v>
      </c>
      <c r="EB100" s="301">
        <f t="shared" si="90"/>
        <v>0</v>
      </c>
      <c r="EC100" s="320">
        <f t="shared" si="136"/>
        <v>18</v>
      </c>
      <c r="ED100" s="320">
        <f t="shared" si="136"/>
        <v>6.0667200000000001</v>
      </c>
      <c r="EE100" s="320">
        <f t="shared" si="136"/>
        <v>6.0667200000000001</v>
      </c>
      <c r="EF100" s="301">
        <f t="shared" si="91"/>
        <v>0</v>
      </c>
      <c r="EG100" s="320">
        <f t="shared" ref="EG100:GM100" si="140">EG103+EG106+EG109+EG112+EG115+EG118+EG121+EG124+EG129</f>
        <v>2431</v>
      </c>
      <c r="EH100" s="320">
        <f t="shared" si="140"/>
        <v>851.45404000000008</v>
      </c>
      <c r="EI100" s="320">
        <f t="shared" si="140"/>
        <v>851.45404000000008</v>
      </c>
      <c r="EJ100" s="301">
        <f t="shared" si="92"/>
        <v>0</v>
      </c>
      <c r="EK100" s="320">
        <f t="shared" si="140"/>
        <v>0</v>
      </c>
      <c r="EL100" s="320">
        <f t="shared" si="140"/>
        <v>0</v>
      </c>
      <c r="EM100" s="320">
        <f t="shared" si="140"/>
        <v>0</v>
      </c>
      <c r="EN100" s="301">
        <f t="shared" si="93"/>
        <v>0</v>
      </c>
      <c r="EO100" s="320">
        <f t="shared" si="140"/>
        <v>196</v>
      </c>
      <c r="EP100" s="320">
        <f t="shared" si="140"/>
        <v>64.623159999999999</v>
      </c>
      <c r="EQ100" s="320">
        <f t="shared" si="140"/>
        <v>64.623159999999999</v>
      </c>
      <c r="ER100" s="300">
        <f t="shared" si="94"/>
        <v>0</v>
      </c>
      <c r="ES100" s="320">
        <f t="shared" si="140"/>
        <v>83</v>
      </c>
      <c r="ET100" s="320">
        <f t="shared" si="140"/>
        <v>27.365929999999995</v>
      </c>
      <c r="EU100" s="320">
        <f t="shared" si="140"/>
        <v>27.365929999999995</v>
      </c>
      <c r="EV100" s="300">
        <f t="shared" si="95"/>
        <v>0</v>
      </c>
      <c r="EW100" s="320">
        <f t="shared" si="140"/>
        <v>0</v>
      </c>
      <c r="EX100" s="320">
        <f t="shared" si="140"/>
        <v>0</v>
      </c>
      <c r="EY100" s="320">
        <f t="shared" si="140"/>
        <v>0</v>
      </c>
      <c r="EZ100" s="301">
        <f t="shared" si="96"/>
        <v>0</v>
      </c>
      <c r="FA100" s="320">
        <f t="shared" si="140"/>
        <v>324</v>
      </c>
      <c r="FB100" s="320">
        <f t="shared" si="140"/>
        <v>86.282880000000006</v>
      </c>
      <c r="FC100" s="320">
        <f t="shared" si="140"/>
        <v>86.282880000000006</v>
      </c>
      <c r="FD100" s="301">
        <f t="shared" si="97"/>
        <v>0</v>
      </c>
      <c r="FE100" s="320">
        <f t="shared" si="140"/>
        <v>146</v>
      </c>
      <c r="FF100" s="320">
        <f t="shared" si="140"/>
        <v>53.82582</v>
      </c>
      <c r="FG100" s="320">
        <f t="shared" si="140"/>
        <v>53.82582</v>
      </c>
      <c r="FH100" s="300">
        <f t="shared" si="98"/>
        <v>0</v>
      </c>
      <c r="FI100" s="320">
        <f t="shared" si="140"/>
        <v>47</v>
      </c>
      <c r="FJ100" s="320">
        <f t="shared" si="140"/>
        <v>16.200430000000001</v>
      </c>
      <c r="FK100" s="320">
        <f t="shared" si="140"/>
        <v>16.200430000000001</v>
      </c>
      <c r="FL100" s="301">
        <f t="shared" si="113"/>
        <v>0</v>
      </c>
      <c r="FM100" s="320">
        <f t="shared" si="140"/>
        <v>0</v>
      </c>
      <c r="FN100" s="320">
        <f t="shared" si="140"/>
        <v>0</v>
      </c>
      <c r="FO100" s="320">
        <f t="shared" si="140"/>
        <v>0</v>
      </c>
      <c r="FP100" s="301">
        <f t="shared" si="108"/>
        <v>0</v>
      </c>
      <c r="FQ100" s="320">
        <f t="shared" si="140"/>
        <v>320</v>
      </c>
      <c r="FR100" s="320">
        <f t="shared" si="140"/>
        <v>76.339169999999996</v>
      </c>
      <c r="FS100" s="320">
        <f t="shared" si="140"/>
        <v>76.339169999999996</v>
      </c>
      <c r="FT100" s="301">
        <f t="shared" si="99"/>
        <v>0</v>
      </c>
      <c r="FU100" s="320">
        <f t="shared" si="140"/>
        <v>22</v>
      </c>
      <c r="FV100" s="320">
        <f t="shared" si="140"/>
        <v>7.9404599999999999</v>
      </c>
      <c r="FW100" s="320">
        <f t="shared" si="140"/>
        <v>7.9404599999999999</v>
      </c>
      <c r="FX100" s="301">
        <f t="shared" si="100"/>
        <v>0</v>
      </c>
      <c r="FY100" s="320">
        <f t="shared" si="140"/>
        <v>13</v>
      </c>
      <c r="FZ100" s="320">
        <f t="shared" si="140"/>
        <v>1.3201499999999999</v>
      </c>
      <c r="GA100" s="320">
        <f t="shared" si="140"/>
        <v>1.3201499999999999</v>
      </c>
      <c r="GB100" s="301">
        <f t="shared" si="101"/>
        <v>0</v>
      </c>
      <c r="GC100" s="320">
        <f t="shared" si="140"/>
        <v>165</v>
      </c>
      <c r="GD100" s="320">
        <f t="shared" si="140"/>
        <v>55.963149999999992</v>
      </c>
      <c r="GE100" s="320">
        <f t="shared" si="140"/>
        <v>55.963149999999992</v>
      </c>
      <c r="GF100" s="301">
        <f t="shared" si="109"/>
        <v>0</v>
      </c>
      <c r="GG100" s="320">
        <f t="shared" si="140"/>
        <v>0</v>
      </c>
      <c r="GH100" s="320">
        <f t="shared" si="140"/>
        <v>0</v>
      </c>
      <c r="GI100" s="320">
        <f t="shared" si="140"/>
        <v>0</v>
      </c>
      <c r="GJ100" s="301">
        <f t="shared" si="110"/>
        <v>0</v>
      </c>
      <c r="GK100" s="320">
        <f t="shared" si="140"/>
        <v>0</v>
      </c>
      <c r="GL100" s="320">
        <f t="shared" si="140"/>
        <v>0</v>
      </c>
      <c r="GM100" s="320">
        <f t="shared" si="140"/>
        <v>0</v>
      </c>
      <c r="GN100" s="301">
        <f t="shared" si="103"/>
        <v>0</v>
      </c>
      <c r="GO100" s="320">
        <f>GO103+GO106+GO109+GO112+GO115+GO118+GO121+GO124+GO129</f>
        <v>23</v>
      </c>
      <c r="GP100" s="320">
        <f>GP103+GP106+GP109+GP112+GP115+GP118+GP121+GP124+GP129</f>
        <v>8.2086900000000007</v>
      </c>
      <c r="GQ100" s="320">
        <f>GQ103+GQ106+GQ109+GQ112+GQ115+GQ118+GQ121+GQ124+GQ129</f>
        <v>8.2086900000000007</v>
      </c>
      <c r="GR100" s="301">
        <f t="shared" si="104"/>
        <v>0</v>
      </c>
      <c r="GS100" s="320">
        <f>GS103+GS106+GS109+GS112+GS115+GS118+GS121+GS124+GS129</f>
        <v>0</v>
      </c>
      <c r="GT100" s="320">
        <f>GT103+GT106+GT109+GT112+GT115+GT118+GT121+GT124+GT129</f>
        <v>0</v>
      </c>
      <c r="GU100" s="320">
        <f>GU103+GU106+GU109+GU112+GU115+GU118+GU121+GU124+GU129</f>
        <v>0</v>
      </c>
      <c r="GV100" s="301">
        <f t="shared" si="105"/>
        <v>0</v>
      </c>
      <c r="GW100" s="320">
        <f>GW103+GW106+GW109+GW112+GW115+GW118+GW121+GW124+GW129</f>
        <v>0</v>
      </c>
      <c r="GX100" s="320">
        <f>GX103+GX106+GX109+GX112+GX115+GX118+GX121+GX124+GX129</f>
        <v>0</v>
      </c>
      <c r="GY100" s="320">
        <f>GY103+GY106+GY109+GY112+GY115+GY118+GY121+GY124+GY129</f>
        <v>0</v>
      </c>
      <c r="GZ100" s="301">
        <f t="shared" si="106"/>
        <v>0</v>
      </c>
      <c r="HA100" s="398"/>
      <c r="HB100" s="398" t="s">
        <v>249</v>
      </c>
      <c r="HC100" s="399">
        <f>SUM(BU101,CK101,EG101,EK101,EO101,ES101,FA101,FE101,FM101,FQ101,GC101,GG101,GK101)</f>
        <v>16376</v>
      </c>
      <c r="HD100" s="399">
        <f>SUM(Q101)</f>
        <v>23878</v>
      </c>
      <c r="HE100" s="399">
        <f>SUM(BQ101,FY101,GO101)</f>
        <v>602</v>
      </c>
      <c r="HF100" s="399">
        <f>SUM(U101,AC101,BI101,BM101,DY101,EC101,FI101)</f>
        <v>31944</v>
      </c>
      <c r="HG100" s="399">
        <f>SUM(I101,Y101,AG101,AK101,AW101,BA101,BE101,CC101,CG101,GS101)</f>
        <v>92759</v>
      </c>
      <c r="HH100" s="399">
        <f>SUM(BY101,DI101)</f>
        <v>14325</v>
      </c>
      <c r="HI100" s="400">
        <f>SUM(AS101)</f>
        <v>8198</v>
      </c>
      <c r="HJ100" s="399">
        <f>SUM(AO101)</f>
        <v>37943</v>
      </c>
      <c r="HK100" s="399">
        <f>SUM(CO101,CS101,CW101,DA101,DE101,DM101,DQ101,DU101,EW101)</f>
        <v>11078</v>
      </c>
      <c r="HL100" s="404">
        <f>M101</f>
        <v>174</v>
      </c>
      <c r="HM100" s="404">
        <f>FU101</f>
        <v>1395</v>
      </c>
      <c r="HN100" s="349"/>
      <c r="HS100" s="306"/>
      <c r="HT100" s="306"/>
      <c r="HU100" s="306"/>
      <c r="HV100" s="306"/>
    </row>
    <row r="101" spans="1:256" s="376" customFormat="1" ht="13.5" hidden="1" customHeight="1">
      <c r="A101" s="909"/>
      <c r="B101" s="402"/>
      <c r="C101" s="403" t="s">
        <v>250</v>
      </c>
      <c r="D101" s="327" t="s">
        <v>223</v>
      </c>
      <c r="E101" s="320">
        <f>E104+E107+E110+E113+E116+E119+E122+E123+E125+E130+E126+E127</f>
        <v>238672</v>
      </c>
      <c r="F101" s="320">
        <f>F104+F107+F110+F113+F116+F119+F122+F123+F125+F130+F126+F127</f>
        <v>20035.6957583</v>
      </c>
      <c r="G101" s="320">
        <f>G104+G107+G110+G113+G116+G119+G122+G123+G125+G130+G126+G127</f>
        <v>20035.6957583</v>
      </c>
      <c r="H101" s="301">
        <f>H104+H107+H110+H113+H116+H119+H122+H123+H125+H130+H126+H127</f>
        <v>0</v>
      </c>
      <c r="I101" s="320">
        <f t="shared" ref="I101:BT101" si="141">I104+I107+I110+I113+I116+I119+I122+I123+I125+I130+I126+I127</f>
        <v>1782</v>
      </c>
      <c r="J101" s="320">
        <f t="shared" si="141"/>
        <v>152.82432</v>
      </c>
      <c r="K101" s="320">
        <f t="shared" si="141"/>
        <v>152.82432</v>
      </c>
      <c r="L101" s="301">
        <f t="shared" si="141"/>
        <v>0</v>
      </c>
      <c r="M101" s="320">
        <f t="shared" si="141"/>
        <v>174</v>
      </c>
      <c r="N101" s="320">
        <f t="shared" si="141"/>
        <v>13.22748</v>
      </c>
      <c r="O101" s="320">
        <f t="shared" si="141"/>
        <v>13.22748</v>
      </c>
      <c r="P101" s="301">
        <f t="shared" si="141"/>
        <v>0</v>
      </c>
      <c r="Q101" s="320">
        <f t="shared" si="141"/>
        <v>23878</v>
      </c>
      <c r="R101" s="320">
        <f t="shared" si="141"/>
        <v>1815.2055599999999</v>
      </c>
      <c r="S101" s="320">
        <f t="shared" si="141"/>
        <v>1815.2055599999999</v>
      </c>
      <c r="T101" s="301">
        <f t="shared" si="141"/>
        <v>0</v>
      </c>
      <c r="U101" s="320">
        <f t="shared" si="141"/>
        <v>12018</v>
      </c>
      <c r="V101" s="320">
        <f t="shared" si="141"/>
        <v>1104.92497</v>
      </c>
      <c r="W101" s="320">
        <f t="shared" si="141"/>
        <v>1104.92497</v>
      </c>
      <c r="X101" s="301">
        <f t="shared" si="141"/>
        <v>0</v>
      </c>
      <c r="Y101" s="320">
        <f t="shared" si="141"/>
        <v>19021</v>
      </c>
      <c r="Z101" s="320">
        <f t="shared" si="141"/>
        <v>1631.2409600000001</v>
      </c>
      <c r="AA101" s="320">
        <f t="shared" si="141"/>
        <v>1631.2409600000001</v>
      </c>
      <c r="AB101" s="301">
        <f t="shared" si="141"/>
        <v>0</v>
      </c>
      <c r="AC101" s="320">
        <f t="shared" si="141"/>
        <v>10915</v>
      </c>
      <c r="AD101" s="320">
        <f t="shared" si="141"/>
        <v>1028.5541024000001</v>
      </c>
      <c r="AE101" s="320">
        <f t="shared" si="141"/>
        <v>1028.5541024000001</v>
      </c>
      <c r="AF101" s="301">
        <f t="shared" si="141"/>
        <v>0</v>
      </c>
      <c r="AG101" s="320">
        <f t="shared" si="141"/>
        <v>1796</v>
      </c>
      <c r="AH101" s="320">
        <f t="shared" si="141"/>
        <v>172.50795520000003</v>
      </c>
      <c r="AI101" s="320">
        <f t="shared" si="141"/>
        <v>172.50795520000003</v>
      </c>
      <c r="AJ101" s="301">
        <f t="shared" si="141"/>
        <v>0</v>
      </c>
      <c r="AK101" s="320">
        <f t="shared" si="141"/>
        <v>17708</v>
      </c>
      <c r="AL101" s="320">
        <f t="shared" si="141"/>
        <v>911.18284800000004</v>
      </c>
      <c r="AM101" s="320">
        <f t="shared" si="141"/>
        <v>911.18284800000004</v>
      </c>
      <c r="AN101" s="301">
        <f t="shared" si="141"/>
        <v>0</v>
      </c>
      <c r="AO101" s="320">
        <f t="shared" si="141"/>
        <v>37943</v>
      </c>
      <c r="AP101" s="320">
        <f t="shared" si="141"/>
        <v>3261.3632573999998</v>
      </c>
      <c r="AQ101" s="320">
        <f t="shared" si="141"/>
        <v>3261.3632573999998</v>
      </c>
      <c r="AR101" s="301">
        <f>AR104+AR107+AR110+AR113+AR116+AR119+AR122+AR123+AR125+AR130+AR126+AR127</f>
        <v>0</v>
      </c>
      <c r="AS101" s="320">
        <f t="shared" si="141"/>
        <v>8198</v>
      </c>
      <c r="AT101" s="320">
        <f t="shared" si="141"/>
        <v>835.72379520000004</v>
      </c>
      <c r="AU101" s="320">
        <f t="shared" si="141"/>
        <v>835.72379520000004</v>
      </c>
      <c r="AV101" s="301">
        <f t="shared" si="141"/>
        <v>0</v>
      </c>
      <c r="AW101" s="320">
        <f t="shared" si="141"/>
        <v>1763</v>
      </c>
      <c r="AX101" s="320">
        <f t="shared" si="141"/>
        <v>171.44187720000002</v>
      </c>
      <c r="AY101" s="320">
        <f t="shared" si="141"/>
        <v>171.44187720000002</v>
      </c>
      <c r="AZ101" s="301">
        <f t="shared" si="141"/>
        <v>0</v>
      </c>
      <c r="BA101" s="320">
        <f t="shared" si="141"/>
        <v>730</v>
      </c>
      <c r="BB101" s="320">
        <f t="shared" si="141"/>
        <v>66.504460000000009</v>
      </c>
      <c r="BC101" s="320">
        <f t="shared" si="141"/>
        <v>66.504460000000009</v>
      </c>
      <c r="BD101" s="301">
        <f t="shared" si="141"/>
        <v>0</v>
      </c>
      <c r="BE101" s="320">
        <f t="shared" si="141"/>
        <v>514</v>
      </c>
      <c r="BF101" s="320">
        <f t="shared" si="141"/>
        <v>44.080640000000002</v>
      </c>
      <c r="BG101" s="320">
        <f t="shared" si="141"/>
        <v>44.080640000000002</v>
      </c>
      <c r="BH101" s="301">
        <f t="shared" si="141"/>
        <v>0</v>
      </c>
      <c r="BI101" s="320">
        <f t="shared" si="141"/>
        <v>7136</v>
      </c>
      <c r="BJ101" s="320">
        <f t="shared" si="141"/>
        <v>675.9704448</v>
      </c>
      <c r="BK101" s="320">
        <f t="shared" si="141"/>
        <v>675.9704448</v>
      </c>
      <c r="BL101" s="301">
        <f t="shared" si="141"/>
        <v>0</v>
      </c>
      <c r="BM101" s="320">
        <f t="shared" si="141"/>
        <v>943</v>
      </c>
      <c r="BN101" s="320">
        <f t="shared" si="141"/>
        <v>84.098563200000001</v>
      </c>
      <c r="BO101" s="320">
        <f t="shared" si="141"/>
        <v>84.098563200000001</v>
      </c>
      <c r="BP101" s="301">
        <f t="shared" si="141"/>
        <v>0</v>
      </c>
      <c r="BQ101" s="320">
        <f t="shared" si="141"/>
        <v>513</v>
      </c>
      <c r="BR101" s="320">
        <f t="shared" si="141"/>
        <v>40.547371499999997</v>
      </c>
      <c r="BS101" s="320">
        <f t="shared" si="141"/>
        <v>40.547371499999997</v>
      </c>
      <c r="BT101" s="301">
        <f t="shared" si="141"/>
        <v>0</v>
      </c>
      <c r="BU101" s="320">
        <f t="shared" ref="BU101:EF101" si="142">BU104+BU107+BU110+BU113+BU116+BU119+BU122+BU123+BU125+BU130+BU126+BU127</f>
        <v>9276</v>
      </c>
      <c r="BV101" s="320">
        <f t="shared" si="142"/>
        <v>939.91359000000011</v>
      </c>
      <c r="BW101" s="320">
        <f t="shared" si="142"/>
        <v>939.91359000000011</v>
      </c>
      <c r="BX101" s="301">
        <f t="shared" si="142"/>
        <v>0</v>
      </c>
      <c r="BY101" s="320">
        <f t="shared" si="142"/>
        <v>14109</v>
      </c>
      <c r="BZ101" s="320">
        <f t="shared" si="142"/>
        <v>1434.2174</v>
      </c>
      <c r="CA101" s="320">
        <f t="shared" si="142"/>
        <v>1434.2174</v>
      </c>
      <c r="CB101" s="301">
        <f t="shared" si="142"/>
        <v>0</v>
      </c>
      <c r="CC101" s="320">
        <f t="shared" si="142"/>
        <v>162</v>
      </c>
      <c r="CD101" s="320">
        <f t="shared" si="142"/>
        <v>24.0350976</v>
      </c>
      <c r="CE101" s="320">
        <f t="shared" si="142"/>
        <v>24.0350976</v>
      </c>
      <c r="CF101" s="301">
        <f t="shared" si="142"/>
        <v>0</v>
      </c>
      <c r="CG101" s="320">
        <f t="shared" si="142"/>
        <v>49202</v>
      </c>
      <c r="CH101" s="320">
        <f t="shared" si="142"/>
        <v>3797.6071680000005</v>
      </c>
      <c r="CI101" s="320">
        <f t="shared" si="142"/>
        <v>3797.6071680000005</v>
      </c>
      <c r="CJ101" s="301">
        <f t="shared" si="142"/>
        <v>0</v>
      </c>
      <c r="CK101" s="320">
        <f t="shared" si="142"/>
        <v>1106</v>
      </c>
      <c r="CL101" s="320">
        <f t="shared" si="142"/>
        <v>101.57504</v>
      </c>
      <c r="CM101" s="320">
        <f t="shared" si="142"/>
        <v>101.57504</v>
      </c>
      <c r="CN101" s="301">
        <f t="shared" si="142"/>
        <v>0</v>
      </c>
      <c r="CO101" s="320">
        <f t="shared" si="142"/>
        <v>53</v>
      </c>
      <c r="CP101" s="320">
        <f t="shared" si="142"/>
        <v>0.44705499999999998</v>
      </c>
      <c r="CQ101" s="320">
        <f t="shared" si="142"/>
        <v>0.44705499999999998</v>
      </c>
      <c r="CR101" s="301">
        <f t="shared" si="142"/>
        <v>0</v>
      </c>
      <c r="CS101" s="320">
        <f t="shared" si="142"/>
        <v>0</v>
      </c>
      <c r="CT101" s="320">
        <f t="shared" si="142"/>
        <v>0</v>
      </c>
      <c r="CU101" s="320">
        <f t="shared" si="142"/>
        <v>0</v>
      </c>
      <c r="CV101" s="301">
        <f>CV104+CV107+CV110+CV113+CV116+CV119+CV122+CV123+CV125+CV130+CV126+CV127</f>
        <v>0</v>
      </c>
      <c r="CW101" s="320">
        <f t="shared" si="142"/>
        <v>4</v>
      </c>
      <c r="CX101" s="320">
        <f t="shared" si="142"/>
        <v>0.34221600000000002</v>
      </c>
      <c r="CY101" s="320">
        <f t="shared" si="142"/>
        <v>0.34221600000000002</v>
      </c>
      <c r="CZ101" s="301">
        <f t="shared" si="142"/>
        <v>0</v>
      </c>
      <c r="DA101" s="320">
        <f t="shared" si="142"/>
        <v>334</v>
      </c>
      <c r="DB101" s="320">
        <f t="shared" si="142"/>
        <v>21.584917000000001</v>
      </c>
      <c r="DC101" s="320">
        <f t="shared" si="142"/>
        <v>21.584917000000001</v>
      </c>
      <c r="DD101" s="301">
        <f t="shared" si="142"/>
        <v>0</v>
      </c>
      <c r="DE101" s="320">
        <f t="shared" si="142"/>
        <v>651</v>
      </c>
      <c r="DF101" s="320">
        <f t="shared" si="142"/>
        <v>58.592083199999998</v>
      </c>
      <c r="DG101" s="320">
        <f t="shared" si="142"/>
        <v>58.592083199999998</v>
      </c>
      <c r="DH101" s="301">
        <f t="shared" si="142"/>
        <v>0</v>
      </c>
      <c r="DI101" s="320">
        <f t="shared" si="142"/>
        <v>216</v>
      </c>
      <c r="DJ101" s="320">
        <f t="shared" si="142"/>
        <v>27.332639999999998</v>
      </c>
      <c r="DK101" s="320">
        <f t="shared" si="142"/>
        <v>27.332639999999998</v>
      </c>
      <c r="DL101" s="301">
        <f t="shared" si="142"/>
        <v>0</v>
      </c>
      <c r="DM101" s="320">
        <f t="shared" si="142"/>
        <v>8315</v>
      </c>
      <c r="DN101" s="320">
        <f t="shared" si="142"/>
        <v>764.41199000000006</v>
      </c>
      <c r="DO101" s="320">
        <f t="shared" si="142"/>
        <v>764.41199000000006</v>
      </c>
      <c r="DP101" s="301">
        <f t="shared" si="142"/>
        <v>0</v>
      </c>
      <c r="DQ101" s="320">
        <f t="shared" si="142"/>
        <v>0</v>
      </c>
      <c r="DR101" s="320">
        <f t="shared" si="142"/>
        <v>0</v>
      </c>
      <c r="DS101" s="320">
        <f t="shared" si="142"/>
        <v>0</v>
      </c>
      <c r="DT101" s="301">
        <f t="shared" si="142"/>
        <v>0</v>
      </c>
      <c r="DU101" s="320">
        <f t="shared" si="142"/>
        <v>1721</v>
      </c>
      <c r="DV101" s="320">
        <f t="shared" si="142"/>
        <v>181.76513600000001</v>
      </c>
      <c r="DW101" s="320">
        <f t="shared" si="142"/>
        <v>181.76513600000001</v>
      </c>
      <c r="DX101" s="301">
        <f t="shared" si="142"/>
        <v>0</v>
      </c>
      <c r="DY101" s="320">
        <f t="shared" si="142"/>
        <v>432</v>
      </c>
      <c r="DZ101" s="320">
        <f t="shared" si="142"/>
        <v>22.228992000000002</v>
      </c>
      <c r="EA101" s="320">
        <f t="shared" si="142"/>
        <v>22.228992000000002</v>
      </c>
      <c r="EB101" s="301">
        <f t="shared" si="142"/>
        <v>0</v>
      </c>
      <c r="EC101" s="320">
        <f t="shared" si="142"/>
        <v>259</v>
      </c>
      <c r="ED101" s="320">
        <f t="shared" si="142"/>
        <v>22.211839999999999</v>
      </c>
      <c r="EE101" s="320">
        <f t="shared" si="142"/>
        <v>22.211839999999999</v>
      </c>
      <c r="EF101" s="301">
        <f t="shared" si="142"/>
        <v>0</v>
      </c>
      <c r="EG101" s="320">
        <f t="shared" ref="EG101:GR101" si="143">EG104+EG107+EG110+EG113+EG116+EG119+EG122+EG123+EG125+EG130+EG126+EG127</f>
        <v>4035</v>
      </c>
      <c r="EH101" s="320">
        <f t="shared" si="143"/>
        <v>316.42583400000001</v>
      </c>
      <c r="EI101" s="320">
        <f t="shared" si="143"/>
        <v>316.42583400000001</v>
      </c>
      <c r="EJ101" s="301">
        <f t="shared" si="143"/>
        <v>0</v>
      </c>
      <c r="EK101" s="320">
        <f t="shared" si="143"/>
        <v>0</v>
      </c>
      <c r="EL101" s="320">
        <f t="shared" si="143"/>
        <v>0</v>
      </c>
      <c r="EM101" s="320">
        <f t="shared" si="143"/>
        <v>0</v>
      </c>
      <c r="EN101" s="301">
        <f t="shared" si="143"/>
        <v>0</v>
      </c>
      <c r="EO101" s="320">
        <f t="shared" si="143"/>
        <v>221</v>
      </c>
      <c r="EP101" s="320">
        <f t="shared" si="143"/>
        <v>24.1530016</v>
      </c>
      <c r="EQ101" s="320">
        <f t="shared" si="143"/>
        <v>24.1530016</v>
      </c>
      <c r="ER101" s="301">
        <f t="shared" si="143"/>
        <v>0</v>
      </c>
      <c r="ES101" s="320">
        <f t="shared" si="143"/>
        <v>50</v>
      </c>
      <c r="ET101" s="320">
        <f t="shared" si="143"/>
        <v>4.1328000000000005</v>
      </c>
      <c r="EU101" s="320">
        <f t="shared" si="143"/>
        <v>4.1328000000000005</v>
      </c>
      <c r="EV101" s="301">
        <f t="shared" si="143"/>
        <v>0</v>
      </c>
      <c r="EW101" s="320">
        <f t="shared" si="143"/>
        <v>0</v>
      </c>
      <c r="EX101" s="320">
        <f t="shared" si="143"/>
        <v>0</v>
      </c>
      <c r="EY101" s="320">
        <f t="shared" si="143"/>
        <v>0</v>
      </c>
      <c r="EZ101" s="301">
        <f t="shared" si="143"/>
        <v>0</v>
      </c>
      <c r="FA101" s="320">
        <f t="shared" si="143"/>
        <v>1093</v>
      </c>
      <c r="FB101" s="320">
        <f t="shared" si="143"/>
        <v>76.645020000000002</v>
      </c>
      <c r="FC101" s="320">
        <f t="shared" si="143"/>
        <v>76.645020000000002</v>
      </c>
      <c r="FD101" s="301">
        <f t="shared" si="143"/>
        <v>0</v>
      </c>
      <c r="FE101" s="320">
        <f t="shared" si="143"/>
        <v>374</v>
      </c>
      <c r="FF101" s="320">
        <f t="shared" si="143"/>
        <v>42.101928000000001</v>
      </c>
      <c r="FG101" s="320">
        <f t="shared" si="143"/>
        <v>42.101928000000001</v>
      </c>
      <c r="FH101" s="301">
        <f t="shared" si="143"/>
        <v>0</v>
      </c>
      <c r="FI101" s="320">
        <f t="shared" si="143"/>
        <v>241</v>
      </c>
      <c r="FJ101" s="320">
        <f t="shared" si="143"/>
        <v>27.479543</v>
      </c>
      <c r="FK101" s="320">
        <f t="shared" si="143"/>
        <v>27.479543</v>
      </c>
      <c r="FL101" s="301">
        <f t="shared" si="143"/>
        <v>0</v>
      </c>
      <c r="FM101" s="320">
        <f t="shared" si="143"/>
        <v>0</v>
      </c>
      <c r="FN101" s="320">
        <f t="shared" si="143"/>
        <v>0</v>
      </c>
      <c r="FO101" s="320">
        <f t="shared" si="143"/>
        <v>0</v>
      </c>
      <c r="FP101" s="301">
        <f t="shared" si="143"/>
        <v>0</v>
      </c>
      <c r="FQ101" s="320">
        <f t="shared" si="143"/>
        <v>13</v>
      </c>
      <c r="FR101" s="320">
        <f t="shared" si="143"/>
        <v>0.98826000000000003</v>
      </c>
      <c r="FS101" s="320">
        <f t="shared" si="143"/>
        <v>0.98826000000000003</v>
      </c>
      <c r="FT101" s="301">
        <f t="shared" si="143"/>
        <v>0</v>
      </c>
      <c r="FU101" s="320">
        <f t="shared" si="143"/>
        <v>1395</v>
      </c>
      <c r="FV101" s="320">
        <f t="shared" si="143"/>
        <v>105.89535000000001</v>
      </c>
      <c r="FW101" s="320">
        <f t="shared" si="143"/>
        <v>105.89535000000001</v>
      </c>
      <c r="FX101" s="301">
        <f t="shared" si="143"/>
        <v>0</v>
      </c>
      <c r="FY101" s="320">
        <f t="shared" si="143"/>
        <v>63</v>
      </c>
      <c r="FZ101" s="320">
        <f t="shared" si="143"/>
        <v>2.4418800000000003</v>
      </c>
      <c r="GA101" s="320">
        <f t="shared" si="143"/>
        <v>2.4418800000000003</v>
      </c>
      <c r="GB101" s="301">
        <f t="shared" si="143"/>
        <v>0</v>
      </c>
      <c r="GC101" s="320">
        <f t="shared" si="143"/>
        <v>208</v>
      </c>
      <c r="GD101" s="320">
        <f t="shared" si="143"/>
        <v>21.012992000000001</v>
      </c>
      <c r="GE101" s="320">
        <f t="shared" si="143"/>
        <v>21.012992000000001</v>
      </c>
      <c r="GF101" s="301">
        <f t="shared" si="143"/>
        <v>0</v>
      </c>
      <c r="GG101" s="320">
        <f t="shared" si="143"/>
        <v>0</v>
      </c>
      <c r="GH101" s="320">
        <f t="shared" si="143"/>
        <v>0</v>
      </c>
      <c r="GI101" s="320">
        <f t="shared" si="143"/>
        <v>0</v>
      </c>
      <c r="GJ101" s="301">
        <f t="shared" si="143"/>
        <v>0</v>
      </c>
      <c r="GK101" s="320">
        <f t="shared" si="143"/>
        <v>0</v>
      </c>
      <c r="GL101" s="320">
        <f t="shared" si="143"/>
        <v>0</v>
      </c>
      <c r="GM101" s="320">
        <f t="shared" si="143"/>
        <v>0</v>
      </c>
      <c r="GN101" s="301">
        <f t="shared" si="143"/>
        <v>0</v>
      </c>
      <c r="GO101" s="320">
        <f t="shared" si="143"/>
        <v>26</v>
      </c>
      <c r="GP101" s="320">
        <f t="shared" si="143"/>
        <v>1.8088199999999997</v>
      </c>
      <c r="GQ101" s="320">
        <f t="shared" si="143"/>
        <v>1.8088199999999997</v>
      </c>
      <c r="GR101" s="301">
        <f t="shared" si="143"/>
        <v>0</v>
      </c>
      <c r="GS101" s="320">
        <f t="shared" ref="GS101:GZ101" si="144">GS104+GS107+GS110+GS113+GS116+GS119+GS122+GS123+GS125+GS130+GS126+GS127</f>
        <v>81</v>
      </c>
      <c r="GT101" s="320">
        <f t="shared" si="144"/>
        <v>6.9465600000000007</v>
      </c>
      <c r="GU101" s="320">
        <f t="shared" si="144"/>
        <v>6.9465600000000007</v>
      </c>
      <c r="GV101" s="301">
        <f t="shared" si="144"/>
        <v>0</v>
      </c>
      <c r="GW101" s="320">
        <f t="shared" si="144"/>
        <v>0</v>
      </c>
      <c r="GX101" s="320">
        <f t="shared" si="144"/>
        <v>0</v>
      </c>
      <c r="GY101" s="320">
        <f t="shared" si="144"/>
        <v>0</v>
      </c>
      <c r="GZ101" s="301">
        <f t="shared" si="144"/>
        <v>0</v>
      </c>
      <c r="HA101" s="386" t="s">
        <v>179</v>
      </c>
      <c r="HB101" s="405" t="s">
        <v>245</v>
      </c>
      <c r="HC101" s="406">
        <f>SUM(HC102:HC103)</f>
        <v>29381</v>
      </c>
      <c r="HD101" s="406">
        <f t="shared" ref="HD101:HK101" si="145">SUM(HD102:HD103)</f>
        <v>44782</v>
      </c>
      <c r="HE101" s="406">
        <f t="shared" si="145"/>
        <v>2965</v>
      </c>
      <c r="HF101" s="406">
        <f t="shared" si="145"/>
        <v>44725</v>
      </c>
      <c r="HG101" s="406">
        <f t="shared" si="145"/>
        <v>110507</v>
      </c>
      <c r="HH101" s="406">
        <f t="shared" si="145"/>
        <v>25621</v>
      </c>
      <c r="HI101" s="406">
        <f t="shared" si="145"/>
        <v>10852</v>
      </c>
      <c r="HJ101" s="406">
        <f t="shared" si="145"/>
        <v>54122</v>
      </c>
      <c r="HK101" s="406">
        <f t="shared" si="145"/>
        <v>18828</v>
      </c>
      <c r="HL101" s="406">
        <f>SUM(HL102:HL103)</f>
        <v>172</v>
      </c>
      <c r="HM101" s="407">
        <f>SUM(HM102:HM103)</f>
        <v>1381</v>
      </c>
      <c r="HN101" s="393">
        <f>SUM(HC101:HM101)</f>
        <v>343336</v>
      </c>
      <c r="HO101" s="349"/>
      <c r="HS101" s="306"/>
      <c r="HT101" s="306"/>
      <c r="HU101" s="306"/>
      <c r="HV101" s="306"/>
    </row>
    <row r="102" spans="1:256" s="301" customFormat="1" ht="13.5" hidden="1" customHeight="1">
      <c r="A102" s="909"/>
      <c r="B102" s="408" t="s">
        <v>175</v>
      </c>
      <c r="C102" s="378" t="s">
        <v>230</v>
      </c>
      <c r="D102" s="409" t="s">
        <v>223</v>
      </c>
      <c r="E102" s="301" t="e">
        <f>SUM(E103:E104)</f>
        <v>#REF!</v>
      </c>
      <c r="F102" s="301" t="e">
        <f>SUM(F103:F104)</f>
        <v>#REF!</v>
      </c>
      <c r="G102" s="301" t="e">
        <f>SUM(G103:G104)</f>
        <v>#REF!</v>
      </c>
      <c r="H102" s="301" t="e">
        <f>SUM(H103:H104)</f>
        <v>#REF!</v>
      </c>
      <c r="L102" s="301">
        <f t="shared" ref="L102:L148" si="146">K102-J102</f>
        <v>0</v>
      </c>
      <c r="M102" s="301">
        <f t="shared" ref="M102:S102" si="147">M103+M104</f>
        <v>0</v>
      </c>
      <c r="N102" s="301">
        <f t="shared" si="147"/>
        <v>0</v>
      </c>
      <c r="O102" s="301">
        <f t="shared" si="147"/>
        <v>0</v>
      </c>
      <c r="P102" s="301">
        <f t="shared" si="126"/>
        <v>0</v>
      </c>
      <c r="Q102" s="301">
        <f t="shared" si="147"/>
        <v>0</v>
      </c>
      <c r="R102" s="301">
        <f t="shared" si="147"/>
        <v>0</v>
      </c>
      <c r="S102" s="301">
        <f t="shared" si="147"/>
        <v>0</v>
      </c>
      <c r="T102" s="301">
        <f t="shared" ref="T102:T148" si="148">S102-R102</f>
        <v>0</v>
      </c>
      <c r="U102" s="301">
        <f>U103+U104</f>
        <v>15705</v>
      </c>
      <c r="V102" s="301">
        <f>V103+V104</f>
        <v>2710.80323</v>
      </c>
      <c r="W102" s="301">
        <f>W103+W104</f>
        <v>2710.80323</v>
      </c>
      <c r="X102" s="301">
        <f>W102-V102</f>
        <v>0</v>
      </c>
      <c r="AB102" s="301">
        <f t="shared" si="127"/>
        <v>0</v>
      </c>
      <c r="AC102" s="301">
        <f>AC103+AC104</f>
        <v>344</v>
      </c>
      <c r="AD102" s="301">
        <f>AD103+AD104</f>
        <v>35.108006400000001</v>
      </c>
      <c r="AE102" s="301">
        <f>AE103+AE104</f>
        <v>35.108006400000001</v>
      </c>
      <c r="AF102" s="300">
        <f>AE102-AD102</f>
        <v>0</v>
      </c>
      <c r="AJ102" s="300">
        <f t="shared" si="128"/>
        <v>0</v>
      </c>
      <c r="AN102" s="301">
        <f t="shared" si="129"/>
        <v>0</v>
      </c>
      <c r="AO102" s="301">
        <f>AO103+AO104</f>
        <v>0</v>
      </c>
      <c r="AP102" s="301">
        <f>AP103+AP104</f>
        <v>0</v>
      </c>
      <c r="AQ102" s="301">
        <f>AQ103+AQ104</f>
        <v>0</v>
      </c>
      <c r="AR102" s="300">
        <f t="shared" si="120"/>
        <v>0</v>
      </c>
      <c r="AV102" s="301">
        <f t="shared" si="130"/>
        <v>0</v>
      </c>
      <c r="AW102" s="301">
        <f>AW103+AW104</f>
        <v>0</v>
      </c>
      <c r="AX102" s="301">
        <f>AX103+AX104</f>
        <v>0</v>
      </c>
      <c r="AY102" s="301">
        <f>AY103+AY104</f>
        <v>0</v>
      </c>
      <c r="AZ102" s="301">
        <f t="shared" si="131"/>
        <v>0</v>
      </c>
      <c r="BA102" s="301">
        <f>BA103+BA104</f>
        <v>0</v>
      </c>
      <c r="BB102" s="301">
        <f>BB103+BB104</f>
        <v>0</v>
      </c>
      <c r="BC102" s="301">
        <f>BC103+BC104</f>
        <v>0</v>
      </c>
      <c r="BD102" s="301">
        <f t="shared" si="132"/>
        <v>0</v>
      </c>
      <c r="BH102" s="301">
        <f t="shared" ref="BH102:BH148" si="149">BG102-BF102</f>
        <v>0</v>
      </c>
      <c r="BI102" s="301">
        <f>BI103+BI104</f>
        <v>10347</v>
      </c>
      <c r="BJ102" s="301">
        <f>BJ103+BJ104</f>
        <v>1764.7312248000001</v>
      </c>
      <c r="BK102" s="301">
        <f>BK103+BK104</f>
        <v>1764.7312248000001</v>
      </c>
      <c r="BL102" s="301">
        <f t="shared" si="133"/>
        <v>0</v>
      </c>
      <c r="BM102" s="301">
        <f>BM103+BM104</f>
        <v>904</v>
      </c>
      <c r="BN102" s="301">
        <f>BN103+BN104</f>
        <v>139.3561608</v>
      </c>
      <c r="BO102" s="301">
        <f>BO103+BO104</f>
        <v>139.3561608</v>
      </c>
      <c r="BP102" s="301">
        <f t="shared" si="134"/>
        <v>0</v>
      </c>
      <c r="BQ102" s="301">
        <f>BQ103+BQ104</f>
        <v>84</v>
      </c>
      <c r="BR102" s="301">
        <f>BR103+BR104</f>
        <v>20.981110000000001</v>
      </c>
      <c r="BS102" s="301">
        <f>BS103+BS104</f>
        <v>20.981110000000001</v>
      </c>
      <c r="BT102" s="301">
        <f t="shared" si="135"/>
        <v>0</v>
      </c>
      <c r="BU102" s="301">
        <f>BU103+BU104</f>
        <v>3684</v>
      </c>
      <c r="BV102" s="301">
        <f>BV103+BV104</f>
        <v>806.53460799999993</v>
      </c>
      <c r="BW102" s="301">
        <f>BW103+BW104</f>
        <v>806.53460799999993</v>
      </c>
      <c r="BX102" s="301">
        <f t="shared" si="137"/>
        <v>0</v>
      </c>
      <c r="BY102" s="301">
        <f>BY103+BY104</f>
        <v>873</v>
      </c>
      <c r="BZ102" s="301">
        <f>BZ103+BZ104</f>
        <v>148.73164000000003</v>
      </c>
      <c r="CA102" s="301">
        <f>CA103+CA104</f>
        <v>148.73164000000003</v>
      </c>
      <c r="CB102" s="301">
        <f t="shared" si="138"/>
        <v>0</v>
      </c>
      <c r="CF102" s="300">
        <f t="shared" si="107"/>
        <v>0</v>
      </c>
      <c r="CJ102" s="301">
        <f t="shared" si="122"/>
        <v>0</v>
      </c>
      <c r="CN102" s="301">
        <f t="shared" si="84"/>
        <v>0</v>
      </c>
      <c r="CO102" s="301" t="e">
        <f>CO103+CO104</f>
        <v>#REF!</v>
      </c>
      <c r="CP102" s="301" t="e">
        <f>CP103+CP104</f>
        <v>#REF!</v>
      </c>
      <c r="CQ102" s="301" t="e">
        <f>CQ103+CQ104</f>
        <v>#REF!</v>
      </c>
      <c r="CR102" s="301" t="e">
        <f t="shared" si="85"/>
        <v>#REF!</v>
      </c>
      <c r="CS102" s="301" t="e">
        <f>CS103+CS104</f>
        <v>#REF!</v>
      </c>
      <c r="CT102" s="301" t="e">
        <f>CT103+CT104</f>
        <v>#REF!</v>
      </c>
      <c r="CU102" s="301" t="e">
        <f>CU103+CU104</f>
        <v>#REF!</v>
      </c>
      <c r="CV102" s="301" t="e">
        <f t="shared" si="86"/>
        <v>#REF!</v>
      </c>
      <c r="CW102" s="301">
        <f>CW103+CW104</f>
        <v>202</v>
      </c>
      <c r="CX102" s="301">
        <f>CX103+CX104</f>
        <v>24.999155999999999</v>
      </c>
      <c r="CY102" s="301">
        <f>CY103+CY104</f>
        <v>24.999155999999999</v>
      </c>
      <c r="CZ102" s="301">
        <f t="shared" si="87"/>
        <v>0</v>
      </c>
      <c r="DA102" s="301">
        <f>DA103+DA104</f>
        <v>0</v>
      </c>
      <c r="DB102" s="301">
        <f>DB103+DB104</f>
        <v>0</v>
      </c>
      <c r="DC102" s="301">
        <f>DC103+DC104</f>
        <v>0</v>
      </c>
      <c r="DD102" s="300">
        <f t="shared" si="115"/>
        <v>0</v>
      </c>
      <c r="DE102" s="301">
        <f>DE103+DE104</f>
        <v>0</v>
      </c>
      <c r="DF102" s="301">
        <f>DF103+DF104</f>
        <v>0</v>
      </c>
      <c r="DG102" s="301">
        <f>DG103+DG104</f>
        <v>0</v>
      </c>
      <c r="DH102" s="301">
        <f>DG102-DF102</f>
        <v>0</v>
      </c>
      <c r="DI102" s="301">
        <f>DI103+DI104</f>
        <v>0</v>
      </c>
      <c r="DJ102" s="301">
        <f>DJ103+DJ104</f>
        <v>0</v>
      </c>
      <c r="DK102" s="301">
        <f>DK103+DK104</f>
        <v>0</v>
      </c>
      <c r="DL102" s="301">
        <f t="shared" si="139"/>
        <v>0</v>
      </c>
      <c r="DM102" s="301">
        <f>DM103+DM104</f>
        <v>1</v>
      </c>
      <c r="DN102" s="301">
        <f>DN103+DN104</f>
        <v>0.32971</v>
      </c>
      <c r="DO102" s="301">
        <f>DO103+DO104</f>
        <v>0.32971</v>
      </c>
      <c r="DP102" s="301">
        <f t="shared" si="82"/>
        <v>0</v>
      </c>
      <c r="DT102" s="300">
        <f t="shared" si="89"/>
        <v>0</v>
      </c>
      <c r="DU102" s="301">
        <f>DU103+DU104</f>
        <v>0</v>
      </c>
      <c r="DV102" s="301">
        <f>DV103+DV104</f>
        <v>0</v>
      </c>
      <c r="DW102" s="301">
        <f>DW103+DW104</f>
        <v>0</v>
      </c>
      <c r="DX102" s="301">
        <f t="shared" si="112"/>
        <v>0</v>
      </c>
      <c r="EB102" s="301">
        <f t="shared" si="90"/>
        <v>0</v>
      </c>
      <c r="EC102" s="301">
        <f>EC103+EC104</f>
        <v>0</v>
      </c>
      <c r="ED102" s="301">
        <f>ED103+ED104</f>
        <v>0</v>
      </c>
      <c r="EE102" s="301">
        <f>EE103+EE104</f>
        <v>0</v>
      </c>
      <c r="EF102" s="301">
        <f t="shared" si="91"/>
        <v>0</v>
      </c>
      <c r="EG102" s="301">
        <f>EG103+EG104</f>
        <v>3974</v>
      </c>
      <c r="EH102" s="301">
        <f>EH103+EH104</f>
        <v>665.22069199999999</v>
      </c>
      <c r="EI102" s="301">
        <f>EI103+EI104</f>
        <v>665.22069199999999</v>
      </c>
      <c r="EJ102" s="301">
        <f t="shared" si="92"/>
        <v>0</v>
      </c>
      <c r="EK102" s="301">
        <f>EK103+EK104</f>
        <v>0</v>
      </c>
      <c r="EL102" s="301">
        <f>EL103+EL104</f>
        <v>0</v>
      </c>
      <c r="EM102" s="301">
        <f>EM103+EM104</f>
        <v>0</v>
      </c>
      <c r="EN102" s="301">
        <f t="shared" si="93"/>
        <v>0</v>
      </c>
      <c r="ER102" s="300">
        <f t="shared" si="94"/>
        <v>0</v>
      </c>
      <c r="ES102" s="301">
        <f>ES103+ES104</f>
        <v>133</v>
      </c>
      <c r="ET102" s="301">
        <f>ET103+ET104</f>
        <v>31.498729999999995</v>
      </c>
      <c r="EU102" s="301">
        <f>EU103+EU104</f>
        <v>31.498729999999995</v>
      </c>
      <c r="EV102" s="300">
        <f t="shared" si="95"/>
        <v>0</v>
      </c>
      <c r="EW102" s="301">
        <f>EW103+EW104</f>
        <v>0</v>
      </c>
      <c r="EX102" s="301">
        <f>EX103+EX104</f>
        <v>0</v>
      </c>
      <c r="EY102" s="301">
        <f>EY103+EY104</f>
        <v>0</v>
      </c>
      <c r="EZ102" s="301">
        <f t="shared" si="96"/>
        <v>0</v>
      </c>
      <c r="FA102" s="301">
        <f>FA103+FA104</f>
        <v>0</v>
      </c>
      <c r="FB102" s="301">
        <f>FB103+FB104</f>
        <v>0</v>
      </c>
      <c r="FC102" s="301">
        <f>FC103+FC104</f>
        <v>0</v>
      </c>
      <c r="FD102" s="301">
        <f t="shared" si="97"/>
        <v>0</v>
      </c>
      <c r="FE102" s="301">
        <f>FE103+FE104</f>
        <v>0</v>
      </c>
      <c r="FF102" s="301">
        <f>FF103+FF104</f>
        <v>0</v>
      </c>
      <c r="FG102" s="301">
        <f>FG103+FG104</f>
        <v>0</v>
      </c>
      <c r="FH102" s="300">
        <f t="shared" si="98"/>
        <v>0</v>
      </c>
      <c r="FI102" s="301">
        <f>FI103+FI104</f>
        <v>288</v>
      </c>
      <c r="FJ102" s="301">
        <f>FJ103+FJ104</f>
        <v>43.679973000000004</v>
      </c>
      <c r="FK102" s="301">
        <f>FK103+FK104</f>
        <v>43.679973000000004</v>
      </c>
      <c r="FL102" s="301">
        <f t="shared" si="113"/>
        <v>0</v>
      </c>
      <c r="FM102" s="301">
        <f>FM103+FM104</f>
        <v>0</v>
      </c>
      <c r="FN102" s="301">
        <f>FN103+FN104</f>
        <v>0</v>
      </c>
      <c r="FO102" s="301">
        <f>FO103+FO104</f>
        <v>0</v>
      </c>
      <c r="FP102" s="301">
        <f t="shared" si="108"/>
        <v>0</v>
      </c>
      <c r="FQ102" s="301">
        <f>FQ103+FQ104</f>
        <v>0</v>
      </c>
      <c r="FR102" s="301">
        <f>FR103+FR104</f>
        <v>0</v>
      </c>
      <c r="FS102" s="301">
        <f>FS103+FS104</f>
        <v>0</v>
      </c>
      <c r="FT102" s="301">
        <f t="shared" si="99"/>
        <v>0</v>
      </c>
      <c r="FX102" s="301">
        <f t="shared" si="100"/>
        <v>0</v>
      </c>
      <c r="FY102" s="301">
        <f>FY103+FY104</f>
        <v>13</v>
      </c>
      <c r="FZ102" s="301">
        <f>FZ103+FZ104</f>
        <v>1.3201499999999999</v>
      </c>
      <c r="GA102" s="301">
        <f>GA103+GA104</f>
        <v>1.3201499999999999</v>
      </c>
      <c r="GB102" s="301">
        <f t="shared" si="101"/>
        <v>0</v>
      </c>
      <c r="GF102" s="301">
        <f t="shared" si="109"/>
        <v>0</v>
      </c>
      <c r="GG102" s="301">
        <f>GG103+GG104</f>
        <v>0</v>
      </c>
      <c r="GH102" s="301">
        <f>GH103+GH104</f>
        <v>0</v>
      </c>
      <c r="GI102" s="301">
        <f>GI103+GI104</f>
        <v>0</v>
      </c>
      <c r="GJ102" s="301">
        <f t="shared" si="110"/>
        <v>0</v>
      </c>
      <c r="GK102" s="301">
        <f>GK103+GK104</f>
        <v>0</v>
      </c>
      <c r="GL102" s="301">
        <f>GL103+GL104</f>
        <v>0</v>
      </c>
      <c r="GM102" s="301">
        <f>GM103+GM104</f>
        <v>0</v>
      </c>
      <c r="GN102" s="301">
        <f t="shared" si="103"/>
        <v>0</v>
      </c>
      <c r="GO102" s="301">
        <f>GO103+GO104</f>
        <v>0</v>
      </c>
      <c r="GP102" s="301">
        <f>GP103+GP104</f>
        <v>0</v>
      </c>
      <c r="GQ102" s="301">
        <f>GQ103+GQ104</f>
        <v>0</v>
      </c>
      <c r="GR102" s="301">
        <f t="shared" si="104"/>
        <v>0</v>
      </c>
      <c r="GV102" s="301">
        <f t="shared" si="105"/>
        <v>0</v>
      </c>
      <c r="GZ102" s="301">
        <f t="shared" ref="GZ102:GZ148" si="150">GY102-GX102</f>
        <v>0</v>
      </c>
      <c r="HA102" s="410"/>
      <c r="HB102" s="398" t="s">
        <v>247</v>
      </c>
      <c r="HC102" s="399">
        <v>13132</v>
      </c>
      <c r="HD102" s="399">
        <v>21111</v>
      </c>
      <c r="HE102" s="399">
        <v>2400</v>
      </c>
      <c r="HF102" s="399">
        <v>12895</v>
      </c>
      <c r="HG102" s="399">
        <v>16635</v>
      </c>
      <c r="HH102" s="399">
        <v>11374</v>
      </c>
      <c r="HI102" s="399">
        <v>2698</v>
      </c>
      <c r="HJ102" s="399">
        <v>16504</v>
      </c>
      <c r="HK102" s="399">
        <v>7705</v>
      </c>
      <c r="HL102" s="399">
        <v>0</v>
      </c>
      <c r="HM102" s="399">
        <v>22</v>
      </c>
      <c r="HN102" s="411"/>
      <c r="HO102" s="305"/>
      <c r="HP102" s="305"/>
      <c r="HQ102" s="305"/>
      <c r="HR102" s="305"/>
      <c r="HS102" s="306"/>
      <c r="HT102" s="306"/>
      <c r="HU102" s="306"/>
      <c r="HV102" s="306"/>
      <c r="HW102" s="305"/>
      <c r="HX102" s="305"/>
      <c r="HY102" s="305"/>
      <c r="HZ102" s="305"/>
      <c r="IA102" s="305"/>
      <c r="IB102" s="305"/>
      <c r="IC102" s="305"/>
      <c r="ID102" s="305"/>
      <c r="IE102" s="305"/>
      <c r="IF102" s="305"/>
      <c r="IG102" s="305"/>
      <c r="IH102" s="305"/>
      <c r="II102" s="305"/>
      <c r="IJ102" s="305"/>
      <c r="IK102" s="305"/>
      <c r="IL102" s="305"/>
      <c r="IM102" s="305"/>
      <c r="IN102" s="305"/>
      <c r="IO102" s="305"/>
      <c r="IP102" s="305"/>
      <c r="IQ102" s="305"/>
      <c r="IR102" s="305"/>
      <c r="IS102" s="305"/>
      <c r="IT102" s="305"/>
      <c r="IU102" s="305"/>
      <c r="IV102" s="305"/>
    </row>
    <row r="103" spans="1:256" s="338" customFormat="1" ht="13.5" hidden="1" customHeight="1">
      <c r="A103" s="909"/>
      <c r="B103" s="352"/>
      <c r="C103" s="380" t="s">
        <v>248</v>
      </c>
      <c r="D103" s="381" t="s">
        <v>223</v>
      </c>
      <c r="E103" s="299" t="e">
        <f t="shared" ref="E103:H104" si="151">I103+M103+Q103+U103+Y103+AC103+AG103+AK103+AO103+AS103+AW103+BA103+BE103+BI103+BM103+BQ103+BU103+BY103+CC103+CG103+CK103+CO103+CS103+CW103+DA103+DE103+DI103+DM103+DQ103+DU103+DY103+EC103+EG103+EK103+EO103+ES103+EW103+FA103+FE103+FI103+FM103+FQ103+FU103+FY103+GC103+GK103+GG103+GO103+GS103+GW103</f>
        <v>#REF!</v>
      </c>
      <c r="F103" s="299" t="e">
        <f t="shared" si="151"/>
        <v>#REF!</v>
      </c>
      <c r="G103" s="299" t="e">
        <f t="shared" si="151"/>
        <v>#REF!</v>
      </c>
      <c r="H103" s="299" t="e">
        <f t="shared" si="151"/>
        <v>#REF!</v>
      </c>
      <c r="L103" s="301">
        <f t="shared" si="146"/>
        <v>0</v>
      </c>
      <c r="M103" s="338">
        <f>('[1]УМУП УК ЖКХ г.Ульяновска'!K186+'[1]УМУП УК ЖКХ г.Ульяновска'!K188+'[1]УМУП УК ЖКХ г.Ульяновска'!K190)</f>
        <v>0</v>
      </c>
      <c r="N103" s="338">
        <f>('[1]УМУП УК ЖКХ г.Ульяновска'!L186+'[1]УМУП УК ЖКХ г.Ульяновска'!L188+'[1]УМУП УК ЖКХ г.Ульяновска'!L190)/1000</f>
        <v>0</v>
      </c>
      <c r="O103" s="338">
        <f>('[1]УМУП УК ЖКХ г.Ульяновска'!M186+'[1]УМУП УК ЖКХ г.Ульяновска'!M188+'[1]УМУП УК ЖКХ г.Ульяновска'!M190)/1000</f>
        <v>0</v>
      </c>
      <c r="P103" s="301">
        <f t="shared" si="126"/>
        <v>0</v>
      </c>
      <c r="Q103" s="338">
        <f>'[1]ОАО ДК Засвияжье 1'!K222</f>
        <v>0</v>
      </c>
      <c r="R103" s="338">
        <f>'[1]ОАО ДК Засвияжье 1'!L222/1000</f>
        <v>0</v>
      </c>
      <c r="S103" s="338">
        <f>'[1]ОАО ДК Засвияжье 1'!M222/1000</f>
        <v>0</v>
      </c>
      <c r="T103" s="301">
        <f t="shared" si="148"/>
        <v>0</v>
      </c>
      <c r="U103" s="338">
        <f>'[1]ОАО ДК Заволж р-на'!K303</f>
        <v>5990</v>
      </c>
      <c r="V103" s="338">
        <f>'[1]ОАО ДК Заволж р-на'!L303/1000</f>
        <v>1818.57763</v>
      </c>
      <c r="W103" s="338">
        <f>'[1]ОАО ДК Заволж р-на'!M303/1000</f>
        <v>1818.57763</v>
      </c>
      <c r="X103" s="301">
        <f>W103-V103</f>
        <v>0</v>
      </c>
      <c r="AB103" s="301">
        <f t="shared" si="127"/>
        <v>0</v>
      </c>
      <c r="AC103" s="338">
        <f>[1]МегаЛинк!K107</f>
        <v>15</v>
      </c>
      <c r="AD103" s="338">
        <f>[1]МегаЛинк!L107/1000</f>
        <v>5.1947999999999999</v>
      </c>
      <c r="AE103" s="338">
        <f>[1]МегаЛинк!M107/1000</f>
        <v>5.1947999999999999</v>
      </c>
      <c r="AF103" s="300">
        <f t="shared" ref="AF103:AF148" si="152">AE103-AD103</f>
        <v>0</v>
      </c>
      <c r="AJ103" s="300">
        <f t="shared" si="128"/>
        <v>0</v>
      </c>
      <c r="AN103" s="301">
        <f t="shared" si="129"/>
        <v>0</v>
      </c>
      <c r="AO103" s="338">
        <f>'[1]ЗАО ГК Аметист'!K285</f>
        <v>0</v>
      </c>
      <c r="AP103" s="338">
        <f>'[1]ЗАО ГК Аметист'!L285/1000</f>
        <v>0</v>
      </c>
      <c r="AQ103" s="338">
        <f>'[1]ЗАО ГК Аметист'!M285/1000</f>
        <v>0</v>
      </c>
      <c r="AR103" s="300">
        <f t="shared" si="120"/>
        <v>0</v>
      </c>
      <c r="AV103" s="301">
        <f t="shared" si="130"/>
        <v>0</v>
      </c>
      <c r="AZ103" s="301">
        <f t="shared" si="131"/>
        <v>0</v>
      </c>
      <c r="BD103" s="301">
        <f t="shared" si="132"/>
        <v>0</v>
      </c>
      <c r="BH103" s="301">
        <f t="shared" si="149"/>
        <v>0</v>
      </c>
      <c r="BI103" s="338">
        <f>[1]СМУ!K206</f>
        <v>3211</v>
      </c>
      <c r="BJ103" s="338">
        <f>[1]СМУ!L206/1000</f>
        <v>1088.7607800000001</v>
      </c>
      <c r="BK103" s="338">
        <f>[1]СМУ!M206/1000</f>
        <v>1088.7607800000001</v>
      </c>
      <c r="BL103" s="301">
        <f t="shared" si="133"/>
        <v>0</v>
      </c>
      <c r="BM103" s="338">
        <f>'[1]Евро-Строй-Сервис'!K95</f>
        <v>250</v>
      </c>
      <c r="BN103" s="338">
        <f>'[1]Евро-Строй-Сервис'!L95/1000</f>
        <v>84.030900000000003</v>
      </c>
      <c r="BO103" s="338">
        <f>'[1]Евро-Строй-Сервис'!M95/1000</f>
        <v>84.030900000000003</v>
      </c>
      <c r="BP103" s="301">
        <f t="shared" si="134"/>
        <v>0</v>
      </c>
      <c r="BQ103" s="338">
        <f>'[1]ОАО ДК Засвияжье 2'!K196</f>
        <v>84</v>
      </c>
      <c r="BR103" s="338">
        <f>'[1]ОАО ДК Засвияжье 2'!L196/1000</f>
        <v>20.981110000000001</v>
      </c>
      <c r="BS103" s="338">
        <f>'[1]ОАО ДК Засвияжье 2'!M196/1000</f>
        <v>20.981110000000001</v>
      </c>
      <c r="BT103" s="301">
        <f t="shared" si="135"/>
        <v>0</v>
      </c>
      <c r="BU103" s="338">
        <f>('[1]ОАО ДК Лен р-на'!K424+'[1]ООО Технология'!K182+'[1]ООО Технология'!K185+'[1]ООО Технология'!K187)</f>
        <v>1992</v>
      </c>
      <c r="BV103" s="338">
        <f>('[1]ОАО ДК Лен р-на'!L424+'[1]ООО Технология'!L182+'[1]ООО Технология'!L185+'[1]ООО Технология'!L187)/1000</f>
        <v>635.60199999999986</v>
      </c>
      <c r="BW103" s="338">
        <f>('[1]ОАО ДК Лен р-на'!M424+'[1]ООО Технология'!M182+'[1]ООО Технология'!M185+'[1]ООО Технология'!M187)/1000</f>
        <v>635.60199999999986</v>
      </c>
      <c r="BX103" s="301">
        <f t="shared" si="137"/>
        <v>0</v>
      </c>
      <c r="BY103" s="338">
        <f>'[1]ОАО ДК ЖД р-на'!K514</f>
        <v>453</v>
      </c>
      <c r="BZ103" s="338">
        <f>'[1]ОАО ДК ЖД р-на'!L514/1000</f>
        <v>106.30156000000001</v>
      </c>
      <c r="CA103" s="338">
        <f>'[1]ОАО ДК ЖД р-на'!M514/1000</f>
        <v>106.30156000000001</v>
      </c>
      <c r="CB103" s="301">
        <f t="shared" si="138"/>
        <v>0</v>
      </c>
      <c r="CF103" s="300">
        <f t="shared" si="107"/>
        <v>0</v>
      </c>
      <c r="CJ103" s="301">
        <f t="shared" si="122"/>
        <v>0</v>
      </c>
      <c r="CN103" s="301">
        <f t="shared" si="84"/>
        <v>0</v>
      </c>
      <c r="CO103" s="338" t="e">
        <f>'[3]народ. контр.'!O56</f>
        <v>#REF!</v>
      </c>
      <c r="CP103" s="338" t="e">
        <f>'[3]народ. контр.'!P56/1000</f>
        <v>#REF!</v>
      </c>
      <c r="CQ103" s="338" t="e">
        <f>'[3]народ. контр.'!Q56/1000</f>
        <v>#REF!</v>
      </c>
      <c r="CR103" s="301" t="e">
        <f t="shared" si="85"/>
        <v>#REF!</v>
      </c>
      <c r="CS103" s="338" t="e">
        <f>'[3]народ. контр.'!S56</f>
        <v>#REF!</v>
      </c>
      <c r="CT103" s="338" t="e">
        <f>'[3]народ. контр.'!T56/1000</f>
        <v>#REF!</v>
      </c>
      <c r="CU103" s="338" t="e">
        <f>'[3]народ. контр.'!U56/1000</f>
        <v>#REF!</v>
      </c>
      <c r="CV103" s="301" t="e">
        <f t="shared" si="86"/>
        <v>#REF!</v>
      </c>
      <c r="CW103" s="338">
        <f>'[1]Пр-т Гая'!K217</f>
        <v>198</v>
      </c>
      <c r="CX103" s="338">
        <f>'[1]Пр-т Гая'!L217/1000</f>
        <v>24.656939999999999</v>
      </c>
      <c r="CY103" s="338">
        <f>'[1]Пр-т Гая'!M217/1000</f>
        <v>24.656939999999999</v>
      </c>
      <c r="CZ103" s="301">
        <f t="shared" si="87"/>
        <v>0</v>
      </c>
      <c r="DA103" s="338">
        <f>[1]Стасова!K132</f>
        <v>0</v>
      </c>
      <c r="DB103" s="338">
        <f>[1]Стасова!L132/1000</f>
        <v>0</v>
      </c>
      <c r="DC103" s="338">
        <f>[1]Стасова!M132/1000</f>
        <v>0</v>
      </c>
      <c r="DD103" s="300">
        <f t="shared" si="115"/>
        <v>0</v>
      </c>
      <c r="DH103" s="301">
        <f>DG103-DF103</f>
        <v>0</v>
      </c>
      <c r="DL103" s="301">
        <f t="shared" si="139"/>
        <v>0</v>
      </c>
      <c r="DM103" s="338">
        <f>'[1]Альфаком-У'!K157</f>
        <v>1</v>
      </c>
      <c r="DN103" s="338">
        <f>'[1]Альфаком-У'!L157/1000</f>
        <v>0.32971</v>
      </c>
      <c r="DO103" s="338">
        <f>'[1]Альфаком-У'!M157/1000</f>
        <v>0.32971</v>
      </c>
      <c r="DP103" s="301">
        <f t="shared" si="82"/>
        <v>0</v>
      </c>
      <c r="DT103" s="300">
        <f t="shared" si="89"/>
        <v>0</v>
      </c>
      <c r="DU103" s="338">
        <f>'[1]Альфаком-У-ТСЖ З-2'!K142</f>
        <v>0</v>
      </c>
      <c r="DV103" s="338">
        <f>'[1]Альфаком-У-ТСЖ З-2'!L142/1000</f>
        <v>0</v>
      </c>
      <c r="DW103" s="338">
        <f>'[1]Альфаком-У-ТСЖ З-2'!M142/1000</f>
        <v>0</v>
      </c>
      <c r="DX103" s="301">
        <f t="shared" si="112"/>
        <v>0</v>
      </c>
      <c r="EB103" s="301">
        <f t="shared" si="90"/>
        <v>0</v>
      </c>
      <c r="EF103" s="301">
        <f t="shared" si="91"/>
        <v>0</v>
      </c>
      <c r="EG103" s="338">
        <f>'[1]ООО ЦЭТ'!K272</f>
        <v>1202</v>
      </c>
      <c r="EH103" s="338">
        <f>'[1]ООО ЦЭТ'!L272/1000</f>
        <v>436.09825999999998</v>
      </c>
      <c r="EI103" s="338">
        <f>'[1]ООО ЦЭТ'!M272/1000</f>
        <v>436.09825999999998</v>
      </c>
      <c r="EJ103" s="301">
        <f t="shared" si="92"/>
        <v>0</v>
      </c>
      <c r="EK103" s="338">
        <f>'[1]ТСЖ Форт'!K56</f>
        <v>0</v>
      </c>
      <c r="EL103" s="338">
        <f>'[1]ТСЖ Форт'!L56/1000</f>
        <v>0</v>
      </c>
      <c r="EM103" s="338">
        <f>'[1]ТСЖ Форт'!M56/1000</f>
        <v>0</v>
      </c>
      <c r="EN103" s="301">
        <f t="shared" si="93"/>
        <v>0</v>
      </c>
      <c r="ER103" s="300">
        <f t="shared" si="94"/>
        <v>0</v>
      </c>
      <c r="ES103" s="338">
        <f>'[1]УК ЖКХ Симбирск'!K292</f>
        <v>83</v>
      </c>
      <c r="ET103" s="338">
        <f>'[1]УК ЖКХ Симбирск'!L292/1000</f>
        <v>27.365929999999995</v>
      </c>
      <c r="EU103" s="338">
        <f>'[1]УК ЖКХ Симбирск'!M292/1000</f>
        <v>27.365929999999995</v>
      </c>
      <c r="EV103" s="300">
        <f t="shared" si="95"/>
        <v>0</v>
      </c>
      <c r="EW103" s="338">
        <f>'[1]ООО Наш Дом 010212'!K138</f>
        <v>0</v>
      </c>
      <c r="EX103" s="338">
        <f>'[1]ООО Наш Дом 010212'!L138/1000</f>
        <v>0</v>
      </c>
      <c r="EY103" s="338">
        <f>'[1]ООО Наш Дом 010212'!M138/1000</f>
        <v>0</v>
      </c>
      <c r="EZ103" s="301">
        <f t="shared" si="96"/>
        <v>0</v>
      </c>
      <c r="FD103" s="301">
        <f t="shared" si="97"/>
        <v>0</v>
      </c>
      <c r="FE103" s="338">
        <f>'[1]ООО ЖКиСР УправДом'!K162</f>
        <v>0</v>
      </c>
      <c r="FF103" s="338">
        <f>'[1]ООО ЖКиСР УправДом'!L162/1000</f>
        <v>0</v>
      </c>
      <c r="FG103" s="338">
        <f>'[1]ООО ЖКиСР УправДом'!M162/1000</f>
        <v>0</v>
      </c>
      <c r="FH103" s="300">
        <f t="shared" si="98"/>
        <v>0</v>
      </c>
      <c r="FI103" s="338">
        <f>'[1]ТСЖ Малахит'!K49</f>
        <v>47</v>
      </c>
      <c r="FJ103" s="338">
        <f>'[1]ТСЖ Малахит'!L49/1000</f>
        <v>16.200430000000001</v>
      </c>
      <c r="FK103" s="338">
        <f>'[1]ТСЖ Малахит'!M49/1000</f>
        <v>16.200430000000001</v>
      </c>
      <c r="FL103" s="301">
        <f t="shared" si="113"/>
        <v>0</v>
      </c>
      <c r="FM103" s="338">
        <v>0</v>
      </c>
      <c r="FN103" s="338">
        <v>0</v>
      </c>
      <c r="FO103" s="338">
        <v>0</v>
      </c>
      <c r="FP103" s="301">
        <f t="shared" si="108"/>
        <v>0</v>
      </c>
      <c r="FQ103" s="338">
        <f>'[1]ООО ЖКХ Лен-го района'!K237</f>
        <v>0</v>
      </c>
      <c r="FR103" s="338">
        <f>'[1]ООО ЖКХ Лен-го района'!L237/1000</f>
        <v>0</v>
      </c>
      <c r="FS103" s="338">
        <f>'[1]ООО ЖКХ Лен-го района'!M237/1000</f>
        <v>0</v>
      </c>
      <c r="FT103" s="301">
        <f t="shared" si="99"/>
        <v>0</v>
      </c>
      <c r="FX103" s="301">
        <f t="shared" si="100"/>
        <v>0</v>
      </c>
      <c r="FY103" s="338">
        <f>'[1]ООО КПД-2 Жилсервис'!K64</f>
        <v>13</v>
      </c>
      <c r="FZ103" s="338">
        <f>'[1]ООО КПД-2 Жилсервис'!L64/1000</f>
        <v>1.3201499999999999</v>
      </c>
      <c r="GA103" s="338">
        <f>'[1]ООО КПД-2 Жилсервис'!M64/1000</f>
        <v>1.3201499999999999</v>
      </c>
      <c r="GB103" s="301">
        <f t="shared" si="101"/>
        <v>0</v>
      </c>
      <c r="GF103" s="301">
        <f t="shared" si="109"/>
        <v>0</v>
      </c>
      <c r="GG103" s="338">
        <f>'[1]ЖСК пер Рылеева-14'!K292</f>
        <v>0</v>
      </c>
      <c r="GH103" s="338">
        <f>'[1]ЖСК пер Рылеева-14'!L292/1000</f>
        <v>0</v>
      </c>
      <c r="GI103" s="338">
        <f>'[1]ЖСК пер Рылеева-14'!M292/1000</f>
        <v>0</v>
      </c>
      <c r="GJ103" s="301">
        <f t="shared" si="110"/>
        <v>0</v>
      </c>
      <c r="GK103" s="338">
        <f>'[1]ЖСК пер Рылеева-14'!O292</f>
        <v>0</v>
      </c>
      <c r="GL103" s="338">
        <f>'[1]ЖСК пер Рылеева-14'!P292/1000</f>
        <v>0</v>
      </c>
      <c r="GM103" s="338">
        <f>'[1]ЖСК пер Рылеева-14'!Q292/1000</f>
        <v>0</v>
      </c>
      <c r="GN103" s="301">
        <f t="shared" si="103"/>
        <v>0</v>
      </c>
      <c r="GO103" s="338">
        <f>'[1]ООО УК КПД-1'!AE74</f>
        <v>0</v>
      </c>
      <c r="GP103" s="338">
        <f>'[1]ООО УК КПД-1'!AF74/1000</f>
        <v>0</v>
      </c>
      <c r="GQ103" s="338">
        <f>'[1]ООО УК КПД-1'!AG74/1000</f>
        <v>0</v>
      </c>
      <c r="GR103" s="301">
        <f t="shared" si="104"/>
        <v>0</v>
      </c>
      <c r="GV103" s="301">
        <f t="shared" si="105"/>
        <v>0</v>
      </c>
      <c r="GZ103" s="301">
        <f t="shared" si="150"/>
        <v>0</v>
      </c>
      <c r="HA103" s="339"/>
      <c r="HB103" s="412" t="s">
        <v>249</v>
      </c>
      <c r="HC103" s="404">
        <v>16249</v>
      </c>
      <c r="HD103" s="404">
        <v>23671</v>
      </c>
      <c r="HE103" s="404">
        <v>565</v>
      </c>
      <c r="HF103" s="404">
        <v>31830</v>
      </c>
      <c r="HG103" s="404">
        <v>93872</v>
      </c>
      <c r="HH103" s="404">
        <v>14247</v>
      </c>
      <c r="HI103" s="404">
        <v>8154</v>
      </c>
      <c r="HJ103" s="404">
        <v>37618</v>
      </c>
      <c r="HK103" s="404">
        <v>11123</v>
      </c>
      <c r="HL103" s="404">
        <v>172</v>
      </c>
      <c r="HM103" s="404">
        <v>1359</v>
      </c>
      <c r="HN103" s="411"/>
      <c r="HO103" s="286"/>
      <c r="HP103" s="286"/>
      <c r="HQ103" s="286"/>
      <c r="HR103" s="286"/>
      <c r="HS103" s="306"/>
      <c r="HT103" s="306"/>
      <c r="HU103" s="306"/>
      <c r="HV103" s="306"/>
      <c r="HW103" s="286"/>
      <c r="HX103" s="286"/>
      <c r="HY103" s="286"/>
      <c r="HZ103" s="286"/>
      <c r="IA103" s="286"/>
      <c r="IB103" s="286"/>
      <c r="IC103" s="286"/>
      <c r="ID103" s="286"/>
      <c r="IE103" s="286"/>
      <c r="IF103" s="286"/>
      <c r="IG103" s="286"/>
      <c r="IH103" s="286"/>
      <c r="II103" s="286"/>
      <c r="IJ103" s="286"/>
      <c r="IK103" s="286"/>
      <c r="IL103" s="286"/>
      <c r="IM103" s="286"/>
      <c r="IN103" s="286"/>
      <c r="IO103" s="286"/>
      <c r="IP103" s="286"/>
      <c r="IQ103" s="286"/>
      <c r="IR103" s="286"/>
      <c r="IS103" s="286"/>
      <c r="IT103" s="286"/>
      <c r="IU103" s="286"/>
      <c r="IV103" s="286"/>
    </row>
    <row r="104" spans="1:256" s="338" customFormat="1" ht="13.5" hidden="1" customHeight="1">
      <c r="A104" s="909"/>
      <c r="B104" s="352"/>
      <c r="C104" s="380" t="s">
        <v>250</v>
      </c>
      <c r="D104" s="381" t="s">
        <v>223</v>
      </c>
      <c r="E104" s="299">
        <f t="shared" si="151"/>
        <v>23013</v>
      </c>
      <c r="F104" s="299">
        <f t="shared" si="151"/>
        <v>2127.8741909999999</v>
      </c>
      <c r="G104" s="299">
        <f t="shared" si="151"/>
        <v>2127.8741909999999</v>
      </c>
      <c r="H104" s="299">
        <f t="shared" si="151"/>
        <v>0</v>
      </c>
      <c r="L104" s="301">
        <f t="shared" si="146"/>
        <v>0</v>
      </c>
      <c r="N104" s="338">
        <f>M104*91.84*1/1000</f>
        <v>0</v>
      </c>
      <c r="O104" s="338">
        <f>N104</f>
        <v>0</v>
      </c>
      <c r="P104" s="301">
        <f t="shared" si="126"/>
        <v>0</v>
      </c>
      <c r="R104" s="338">
        <f>Q104*1*91.84/1000</f>
        <v>0</v>
      </c>
      <c r="S104" s="338">
        <f>R104</f>
        <v>0</v>
      </c>
      <c r="T104" s="301">
        <f t="shared" si="148"/>
        <v>0</v>
      </c>
      <c r="U104" s="338">
        <f>8229+1486</f>
        <v>9715</v>
      </c>
      <c r="V104" s="338">
        <f>U104*91.84*1/1000</f>
        <v>892.22559999999999</v>
      </c>
      <c r="W104" s="338">
        <f>V104</f>
        <v>892.22559999999999</v>
      </c>
      <c r="X104" s="301">
        <f>W104-V104</f>
        <v>0</v>
      </c>
      <c r="AB104" s="301">
        <f t="shared" si="127"/>
        <v>0</v>
      </c>
      <c r="AC104" s="338">
        <v>329</v>
      </c>
      <c r="AD104" s="338">
        <f>AC104*91.84*1.1*0.9/1000</f>
        <v>29.913206400000004</v>
      </c>
      <c r="AE104" s="338">
        <f>AD104</f>
        <v>29.913206400000004</v>
      </c>
      <c r="AF104" s="300">
        <f t="shared" si="152"/>
        <v>0</v>
      </c>
      <c r="AJ104" s="300">
        <f t="shared" si="128"/>
        <v>0</v>
      </c>
      <c r="AN104" s="301">
        <f t="shared" si="129"/>
        <v>0</v>
      </c>
      <c r="AP104" s="338">
        <f>AO104*1.06*91.84/1000</f>
        <v>0</v>
      </c>
      <c r="AQ104" s="338">
        <f>AP104</f>
        <v>0</v>
      </c>
      <c r="AR104" s="300">
        <f t="shared" si="120"/>
        <v>0</v>
      </c>
      <c r="AV104" s="301">
        <f t="shared" si="130"/>
        <v>0</v>
      </c>
      <c r="AZ104" s="301">
        <f t="shared" si="131"/>
        <v>0</v>
      </c>
      <c r="BD104" s="301">
        <f t="shared" si="132"/>
        <v>0</v>
      </c>
      <c r="BH104" s="301">
        <f t="shared" si="149"/>
        <v>0</v>
      </c>
      <c r="BI104" s="338">
        <v>7136</v>
      </c>
      <c r="BJ104" s="338">
        <f>BI104*87.71*1.08/1000</f>
        <v>675.9704448</v>
      </c>
      <c r="BK104" s="338">
        <f>BJ104</f>
        <v>675.9704448</v>
      </c>
      <c r="BL104" s="301">
        <f t="shared" si="133"/>
        <v>0</v>
      </c>
      <c r="BM104" s="338">
        <v>654</v>
      </c>
      <c r="BN104" s="338">
        <f>BM104*88.12*0.96/1000</f>
        <v>55.325260800000002</v>
      </c>
      <c r="BO104" s="338">
        <f>BN104</f>
        <v>55.325260800000002</v>
      </c>
      <c r="BP104" s="301">
        <f t="shared" si="134"/>
        <v>0</v>
      </c>
      <c r="BR104" s="338">
        <f>BQ104*0.85*91.83/1000</f>
        <v>0</v>
      </c>
      <c r="BS104" s="338">
        <f>BR104</f>
        <v>0</v>
      </c>
      <c r="BT104" s="301">
        <f t="shared" si="135"/>
        <v>0</v>
      </c>
      <c r="BU104" s="338">
        <f>448+103+1141</f>
        <v>1692</v>
      </c>
      <c r="BV104" s="338">
        <f>BU104*91.84*1.1/1000</f>
        <v>170.93260800000002</v>
      </c>
      <c r="BW104" s="338">
        <f>BV104</f>
        <v>170.93260800000002</v>
      </c>
      <c r="BX104" s="301">
        <f t="shared" si="137"/>
        <v>0</v>
      </c>
      <c r="BY104" s="338">
        <f>260+160</f>
        <v>420</v>
      </c>
      <c r="BZ104" s="338">
        <f>BY104*91.84*1.1/1000</f>
        <v>42.430080000000011</v>
      </c>
      <c r="CA104" s="338">
        <f>BZ104</f>
        <v>42.430080000000011</v>
      </c>
      <c r="CB104" s="301">
        <f t="shared" si="138"/>
        <v>0</v>
      </c>
      <c r="CF104" s="300">
        <f t="shared" si="107"/>
        <v>0</v>
      </c>
      <c r="CJ104" s="301">
        <f t="shared" si="122"/>
        <v>0</v>
      </c>
      <c r="CN104" s="301">
        <f t="shared" si="84"/>
        <v>0</v>
      </c>
      <c r="CR104" s="301">
        <f t="shared" si="85"/>
        <v>0</v>
      </c>
      <c r="CV104" s="301">
        <f t="shared" si="86"/>
        <v>0</v>
      </c>
      <c r="CW104" s="338">
        <f>4</f>
        <v>4</v>
      </c>
      <c r="CX104" s="310">
        <f>CW104*0.9*95.06/1000</f>
        <v>0.34221600000000002</v>
      </c>
      <c r="CY104" s="338">
        <f>CX104</f>
        <v>0.34221600000000002</v>
      </c>
      <c r="CZ104" s="301">
        <f t="shared" si="87"/>
        <v>0</v>
      </c>
      <c r="DA104" s="338">
        <v>0</v>
      </c>
      <c r="DB104" s="338">
        <f>DA104*1*91.84*0.9/1000</f>
        <v>0</v>
      </c>
      <c r="DC104" s="338">
        <f>DB104</f>
        <v>0</v>
      </c>
      <c r="DD104" s="300">
        <f t="shared" si="115"/>
        <v>0</v>
      </c>
      <c r="DH104" s="301">
        <f>DG104-DF104</f>
        <v>0</v>
      </c>
      <c r="DL104" s="301">
        <f t="shared" si="139"/>
        <v>0</v>
      </c>
      <c r="DN104" s="338">
        <f>DM104*1*91.84/1000</f>
        <v>0</v>
      </c>
      <c r="DO104" s="338">
        <f>DN104</f>
        <v>0</v>
      </c>
      <c r="DP104" s="301">
        <f t="shared" si="82"/>
        <v>0</v>
      </c>
      <c r="DT104" s="300">
        <f t="shared" si="89"/>
        <v>0</v>
      </c>
      <c r="DV104" s="338">
        <f>DU104*1.2*91.84/1000</f>
        <v>0</v>
      </c>
      <c r="DW104" s="338">
        <f>DV104</f>
        <v>0</v>
      </c>
      <c r="DX104" s="301">
        <f t="shared" si="112"/>
        <v>0</v>
      </c>
      <c r="EB104" s="301">
        <f t="shared" si="90"/>
        <v>0</v>
      </c>
      <c r="EF104" s="301">
        <f t="shared" si="91"/>
        <v>0</v>
      </c>
      <c r="EG104" s="338">
        <f>20+2752</f>
        <v>2772</v>
      </c>
      <c r="EH104" s="338">
        <f>EG104*91.84*0.9/1000</f>
        <v>229.122432</v>
      </c>
      <c r="EI104" s="338">
        <f>EH104</f>
        <v>229.122432</v>
      </c>
      <c r="EJ104" s="301">
        <f t="shared" si="92"/>
        <v>0</v>
      </c>
      <c r="EL104" s="338">
        <f>EK104*91.84*1*0.9/1000</f>
        <v>0</v>
      </c>
      <c r="EM104" s="338">
        <f>EL104</f>
        <v>0</v>
      </c>
      <c r="EN104" s="301">
        <f t="shared" si="93"/>
        <v>0</v>
      </c>
      <c r="ER104" s="300">
        <f t="shared" si="94"/>
        <v>0</v>
      </c>
      <c r="ES104" s="338">
        <v>50</v>
      </c>
      <c r="ET104" s="338">
        <f>ES104*91.84*0.9/1000</f>
        <v>4.1328000000000005</v>
      </c>
      <c r="EU104" s="338">
        <f>ET104</f>
        <v>4.1328000000000005</v>
      </c>
      <c r="EV104" s="300">
        <f t="shared" si="95"/>
        <v>0</v>
      </c>
      <c r="EX104" s="338">
        <f>EW104*1*91.84*0.9/1000</f>
        <v>0</v>
      </c>
      <c r="EY104" s="338">
        <f>EX104</f>
        <v>0</v>
      </c>
      <c r="EZ104" s="301">
        <f t="shared" si="96"/>
        <v>0</v>
      </c>
      <c r="FB104" s="338">
        <f>FA104*1.5*91.84/1000</f>
        <v>0</v>
      </c>
      <c r="FC104" s="338">
        <f>FB104</f>
        <v>0</v>
      </c>
      <c r="FD104" s="301">
        <f t="shared" si="97"/>
        <v>0</v>
      </c>
      <c r="FF104" s="310">
        <f>FE104*1.2*91.84*0.9/1000</f>
        <v>0</v>
      </c>
      <c r="FG104" s="338">
        <f>FF104</f>
        <v>0</v>
      </c>
      <c r="FH104" s="300">
        <f t="shared" si="98"/>
        <v>0</v>
      </c>
      <c r="FI104" s="338">
        <v>241</v>
      </c>
      <c r="FJ104" s="338">
        <f>FI104*1.3*87.71/1000</f>
        <v>27.479543</v>
      </c>
      <c r="FK104" s="338">
        <f>FJ104</f>
        <v>27.479543</v>
      </c>
      <c r="FL104" s="301">
        <f t="shared" si="113"/>
        <v>0</v>
      </c>
      <c r="FN104" s="338">
        <f>FM104*1*91.84/1000</f>
        <v>0</v>
      </c>
      <c r="FO104" s="338">
        <f>FN104</f>
        <v>0</v>
      </c>
      <c r="FP104" s="301">
        <f t="shared" si="108"/>
        <v>0</v>
      </c>
      <c r="FR104" s="338">
        <f>FQ104*1*91.84/1000</f>
        <v>0</v>
      </c>
      <c r="FS104" s="338">
        <f>FR104</f>
        <v>0</v>
      </c>
      <c r="FT104" s="301">
        <f t="shared" si="99"/>
        <v>0</v>
      </c>
      <c r="FX104" s="301">
        <f t="shared" si="100"/>
        <v>0</v>
      </c>
      <c r="FZ104" s="338">
        <f>FY104*1.5*25.95/1000</f>
        <v>0</v>
      </c>
      <c r="GA104" s="338">
        <f>FZ104</f>
        <v>0</v>
      </c>
      <c r="GB104" s="301">
        <f t="shared" si="101"/>
        <v>0</v>
      </c>
      <c r="GF104" s="301">
        <f t="shared" si="109"/>
        <v>0</v>
      </c>
      <c r="GH104" s="338">
        <f>GG104*1*91.84/1000</f>
        <v>0</v>
      </c>
      <c r="GI104" s="338">
        <f>GH104</f>
        <v>0</v>
      </c>
      <c r="GJ104" s="301">
        <f t="shared" si="110"/>
        <v>0</v>
      </c>
      <c r="GL104" s="338">
        <f>GK104*1*91.84/1000</f>
        <v>0</v>
      </c>
      <c r="GM104" s="338">
        <f>GL104</f>
        <v>0</v>
      </c>
      <c r="GN104" s="301">
        <f t="shared" si="103"/>
        <v>0</v>
      </c>
      <c r="GP104" s="338">
        <f>GO104*1*69.57/1000</f>
        <v>0</v>
      </c>
      <c r="GQ104" s="338">
        <f>GP104</f>
        <v>0</v>
      </c>
      <c r="GR104" s="301">
        <f t="shared" si="104"/>
        <v>0</v>
      </c>
      <c r="GV104" s="301">
        <f t="shared" si="105"/>
        <v>0</v>
      </c>
      <c r="GZ104" s="301">
        <f t="shared" si="150"/>
        <v>0</v>
      </c>
      <c r="HA104" s="413" t="s">
        <v>183</v>
      </c>
      <c r="HB104" s="405" t="s">
        <v>245</v>
      </c>
      <c r="HC104" s="414">
        <f t="shared" ref="HC104:HM104" si="153">SUM(HC105:HC106)</f>
        <v>-397</v>
      </c>
      <c r="HD104" s="414">
        <f t="shared" si="153"/>
        <v>-82</v>
      </c>
      <c r="HE104" s="414">
        <f t="shared" si="153"/>
        <v>-5</v>
      </c>
      <c r="HF104" s="414">
        <f t="shared" si="153"/>
        <v>26</v>
      </c>
      <c r="HG104" s="414">
        <f t="shared" si="153"/>
        <v>-12</v>
      </c>
      <c r="HH104" s="414">
        <f t="shared" si="153"/>
        <v>-425</v>
      </c>
      <c r="HI104" s="414">
        <f t="shared" si="153"/>
        <v>20</v>
      </c>
      <c r="HJ104" s="414">
        <f t="shared" si="153"/>
        <v>-18</v>
      </c>
      <c r="HK104" s="414" t="e">
        <f t="shared" si="153"/>
        <v>#REF!</v>
      </c>
      <c r="HL104" s="414">
        <f t="shared" si="153"/>
        <v>-2</v>
      </c>
      <c r="HM104" s="414">
        <f t="shared" si="153"/>
        <v>-36</v>
      </c>
      <c r="HN104" s="414" t="e">
        <f>SUM(HD104:HM104)</f>
        <v>#REF!</v>
      </c>
      <c r="HO104" s="340" t="e">
        <f>HN101-HN98</f>
        <v>#REF!</v>
      </c>
      <c r="HP104" s="286"/>
      <c r="HQ104" s="286"/>
      <c r="HR104" s="286"/>
      <c r="HS104" s="306"/>
      <c r="HT104" s="306"/>
      <c r="HU104" s="306"/>
      <c r="HV104" s="306"/>
      <c r="HW104" s="286"/>
      <c r="HX104" s="286"/>
      <c r="HY104" s="286"/>
      <c r="HZ104" s="286"/>
      <c r="IA104" s="286"/>
      <c r="IB104" s="286"/>
      <c r="IC104" s="286"/>
      <c r="ID104" s="286"/>
      <c r="IE104" s="286"/>
      <c r="IF104" s="286"/>
      <c r="IG104" s="286"/>
      <c r="IH104" s="286"/>
      <c r="II104" s="286"/>
      <c r="IJ104" s="286"/>
      <c r="IK104" s="286"/>
      <c r="IL104" s="286"/>
      <c r="IM104" s="286"/>
      <c r="IN104" s="286"/>
      <c r="IO104" s="286"/>
      <c r="IP104" s="286"/>
      <c r="IQ104" s="286"/>
      <c r="IR104" s="286"/>
      <c r="IS104" s="286"/>
      <c r="IT104" s="286"/>
      <c r="IU104" s="286"/>
      <c r="IV104" s="286"/>
    </row>
    <row r="105" spans="1:256" s="301" customFormat="1" ht="13.5" hidden="1" customHeight="1">
      <c r="A105" s="909"/>
      <c r="B105" s="415"/>
      <c r="C105" s="382" t="s">
        <v>231</v>
      </c>
      <c r="D105" s="416" t="s">
        <v>223</v>
      </c>
      <c r="E105" s="301">
        <f>SUM(E106:E107)</f>
        <v>21453</v>
      </c>
      <c r="F105" s="301">
        <f>SUM(F106:F107)</f>
        <v>3946.2751500000004</v>
      </c>
      <c r="G105" s="301">
        <f>SUM(G106:G107)</f>
        <v>3946.2751500000004</v>
      </c>
      <c r="H105" s="301">
        <f>SUM(H106:H107)</f>
        <v>0</v>
      </c>
      <c r="L105" s="301">
        <f t="shared" si="146"/>
        <v>0</v>
      </c>
      <c r="P105" s="301">
        <f t="shared" si="126"/>
        <v>0</v>
      </c>
      <c r="T105" s="301">
        <f t="shared" si="148"/>
        <v>0</v>
      </c>
      <c r="U105" s="301">
        <f>U106+U107</f>
        <v>775</v>
      </c>
      <c r="V105" s="301">
        <f>V106+V107</f>
        <v>114.00765000000001</v>
      </c>
      <c r="W105" s="301">
        <f>W106+W107</f>
        <v>114.00765000000001</v>
      </c>
      <c r="X105" s="301">
        <f t="shared" ref="X105:X148" si="154">W105-V105</f>
        <v>0</v>
      </c>
      <c r="AB105" s="301">
        <f t="shared" si="127"/>
        <v>0</v>
      </c>
      <c r="AF105" s="300">
        <f t="shared" si="152"/>
        <v>0</v>
      </c>
      <c r="AJ105" s="300">
        <f t="shared" si="128"/>
        <v>0</v>
      </c>
      <c r="AN105" s="301">
        <f t="shared" si="129"/>
        <v>0</v>
      </c>
      <c r="AO105" s="301">
        <f>AO106+AO107</f>
        <v>309</v>
      </c>
      <c r="AP105" s="301">
        <f>AP106+AP107</f>
        <v>62.530274999999996</v>
      </c>
      <c r="AQ105" s="301">
        <f>AQ106+AQ107</f>
        <v>62.530274999999996</v>
      </c>
      <c r="AR105" s="300">
        <f t="shared" si="120"/>
        <v>0</v>
      </c>
      <c r="AV105" s="301">
        <f t="shared" si="130"/>
        <v>0</v>
      </c>
      <c r="AZ105" s="301">
        <f t="shared" si="131"/>
        <v>0</v>
      </c>
      <c r="BD105" s="301">
        <f t="shared" si="132"/>
        <v>0</v>
      </c>
      <c r="BH105" s="301">
        <f t="shared" si="149"/>
        <v>0</v>
      </c>
      <c r="BL105" s="301">
        <f t="shared" si="133"/>
        <v>0</v>
      </c>
      <c r="BP105" s="301">
        <f t="shared" si="134"/>
        <v>0</v>
      </c>
      <c r="BQ105" s="301">
        <f>BQ106+BQ107</f>
        <v>409</v>
      </c>
      <c r="BR105" s="301">
        <f>BR106+BR107</f>
        <v>60.267510000000001</v>
      </c>
      <c r="BS105" s="301">
        <f>BS106+BS107</f>
        <v>60.267510000000001</v>
      </c>
      <c r="BT105" s="301">
        <f t="shared" si="135"/>
        <v>0</v>
      </c>
      <c r="BU105" s="301">
        <f>BU106+BU107</f>
        <v>3580</v>
      </c>
      <c r="BV105" s="301">
        <f>BV106+BV107</f>
        <v>714.94176199999993</v>
      </c>
      <c r="BW105" s="301">
        <f>BW106+BW107</f>
        <v>714.94176199999993</v>
      </c>
      <c r="BX105" s="301">
        <f t="shared" si="137"/>
        <v>0</v>
      </c>
      <c r="BY105" s="301">
        <f>BY106+BY107</f>
        <v>14878</v>
      </c>
      <c r="BZ105" s="301">
        <f>BZ106+BZ107</f>
        <v>2710.7047420000004</v>
      </c>
      <c r="CA105" s="301">
        <f>CA106+CA107</f>
        <v>2710.7047420000004</v>
      </c>
      <c r="CB105" s="301">
        <f t="shared" si="138"/>
        <v>0</v>
      </c>
      <c r="CF105" s="300">
        <f t="shared" si="107"/>
        <v>0</v>
      </c>
      <c r="CJ105" s="301">
        <f t="shared" si="122"/>
        <v>0</v>
      </c>
      <c r="CN105" s="301">
        <f t="shared" si="84"/>
        <v>0</v>
      </c>
      <c r="CR105" s="301">
        <f t="shared" si="85"/>
        <v>0</v>
      </c>
      <c r="CV105" s="301">
        <f t="shared" si="86"/>
        <v>0</v>
      </c>
      <c r="CZ105" s="301">
        <f t="shared" si="87"/>
        <v>0</v>
      </c>
      <c r="DD105" s="300">
        <f t="shared" si="115"/>
        <v>0</v>
      </c>
      <c r="DH105" s="301">
        <f>DG105-DF105</f>
        <v>0</v>
      </c>
      <c r="DL105" s="301">
        <f t="shared" si="139"/>
        <v>0</v>
      </c>
      <c r="DM105" s="301">
        <f>DM106+DM107</f>
        <v>627</v>
      </c>
      <c r="DN105" s="301">
        <f>DN106+DN107</f>
        <v>117.13166999999999</v>
      </c>
      <c r="DO105" s="301">
        <f>DO106+DO107</f>
        <v>117.13166999999999</v>
      </c>
      <c r="DP105" s="301">
        <f t="shared" si="82"/>
        <v>0</v>
      </c>
      <c r="DT105" s="300">
        <f t="shared" si="89"/>
        <v>0</v>
      </c>
      <c r="DU105" s="301">
        <f>DU106+DU107</f>
        <v>0</v>
      </c>
      <c r="DV105" s="301">
        <f>DV106+DV107</f>
        <v>0</v>
      </c>
      <c r="DW105" s="301">
        <f>DW106+DW107</f>
        <v>0</v>
      </c>
      <c r="DX105" s="301">
        <f t="shared" si="112"/>
        <v>0</v>
      </c>
      <c r="EB105" s="301">
        <f t="shared" si="90"/>
        <v>0</v>
      </c>
      <c r="EF105" s="301">
        <f t="shared" si="91"/>
        <v>0</v>
      </c>
      <c r="EG105" s="301">
        <f t="shared" ref="EG105:EU105" si="155">SUM(EG106:EG107)</f>
        <v>105</v>
      </c>
      <c r="EH105" s="301">
        <f t="shared" si="155"/>
        <v>16.823793000000002</v>
      </c>
      <c r="EI105" s="301">
        <f t="shared" si="155"/>
        <v>16.823793000000002</v>
      </c>
      <c r="EJ105" s="301">
        <f t="shared" si="92"/>
        <v>0</v>
      </c>
      <c r="EK105" s="301">
        <f t="shared" si="155"/>
        <v>0</v>
      </c>
      <c r="EL105" s="301">
        <f t="shared" si="155"/>
        <v>0</v>
      </c>
      <c r="EM105" s="301">
        <f t="shared" si="155"/>
        <v>0</v>
      </c>
      <c r="EN105" s="301">
        <f t="shared" si="93"/>
        <v>0</v>
      </c>
      <c r="ER105" s="300">
        <f t="shared" si="94"/>
        <v>0</v>
      </c>
      <c r="ES105" s="301">
        <f t="shared" si="155"/>
        <v>0</v>
      </c>
      <c r="ET105" s="301">
        <f t="shared" si="155"/>
        <v>0</v>
      </c>
      <c r="EU105" s="301">
        <f t="shared" si="155"/>
        <v>0</v>
      </c>
      <c r="EV105" s="300">
        <f t="shared" si="95"/>
        <v>0</v>
      </c>
      <c r="EW105" s="301">
        <f>EW106+EW107</f>
        <v>0</v>
      </c>
      <c r="EX105" s="301">
        <f>EX106+EX107</f>
        <v>0</v>
      </c>
      <c r="EY105" s="301">
        <f>EY106+EY107</f>
        <v>0</v>
      </c>
      <c r="EZ105" s="301">
        <f t="shared" si="96"/>
        <v>0</v>
      </c>
      <c r="FA105" s="301">
        <f t="shared" ref="FA105:FG105" si="156">SUM(FA106:FA107)</f>
        <v>0</v>
      </c>
      <c r="FB105" s="301">
        <f t="shared" si="156"/>
        <v>0</v>
      </c>
      <c r="FC105" s="301">
        <f t="shared" si="156"/>
        <v>0</v>
      </c>
      <c r="FD105" s="301">
        <f t="shared" si="97"/>
        <v>0</v>
      </c>
      <c r="FE105" s="301">
        <f t="shared" si="156"/>
        <v>520</v>
      </c>
      <c r="FF105" s="301">
        <f t="shared" si="156"/>
        <v>95.927748000000008</v>
      </c>
      <c r="FG105" s="301">
        <f t="shared" si="156"/>
        <v>95.927748000000008</v>
      </c>
      <c r="FH105" s="300">
        <f t="shared" si="98"/>
        <v>0</v>
      </c>
      <c r="FL105" s="301">
        <f t="shared" si="113"/>
        <v>0</v>
      </c>
      <c r="FM105" s="301">
        <f>FM106+FM107</f>
        <v>0</v>
      </c>
      <c r="FN105" s="301">
        <f>FN106+FN107</f>
        <v>0</v>
      </c>
      <c r="FO105" s="301">
        <f>FO106+FO107</f>
        <v>0</v>
      </c>
      <c r="FP105" s="301">
        <f t="shared" si="108"/>
        <v>0</v>
      </c>
      <c r="FQ105" s="301">
        <f>FQ106+FQ107</f>
        <v>250</v>
      </c>
      <c r="FR105" s="301">
        <f>FR106+FR107</f>
        <v>53.94</v>
      </c>
      <c r="FS105" s="301">
        <f>FS106+FS107</f>
        <v>53.94</v>
      </c>
      <c r="FT105" s="301">
        <f t="shared" si="99"/>
        <v>0</v>
      </c>
      <c r="FX105" s="301">
        <f>SUM(FX106:FX107)</f>
        <v>0</v>
      </c>
      <c r="GB105" s="301">
        <f t="shared" si="101"/>
        <v>0</v>
      </c>
      <c r="GF105" s="301">
        <f>SUM(GF106:GF107)</f>
        <v>0</v>
      </c>
      <c r="GJ105" s="301">
        <f t="shared" si="110"/>
        <v>0</v>
      </c>
      <c r="GN105" s="301">
        <f t="shared" si="103"/>
        <v>0</v>
      </c>
      <c r="GR105" s="301">
        <f>SUM(GR106:GR107)</f>
        <v>0</v>
      </c>
      <c r="GV105" s="301">
        <f t="shared" si="105"/>
        <v>0</v>
      </c>
      <c r="GZ105" s="301">
        <f t="shared" si="150"/>
        <v>0</v>
      </c>
      <c r="HA105" s="410" t="s">
        <v>251</v>
      </c>
      <c r="HB105" s="398" t="s">
        <v>247</v>
      </c>
      <c r="HC105" s="417">
        <f>HC102-HC99</f>
        <v>-270</v>
      </c>
      <c r="HD105" s="417">
        <f t="shared" ref="HD105:HM106" si="157">HD102-HD99</f>
        <v>125</v>
      </c>
      <c r="HE105" s="417">
        <f t="shared" si="157"/>
        <v>32</v>
      </c>
      <c r="HF105" s="417">
        <f t="shared" si="157"/>
        <v>140</v>
      </c>
      <c r="HG105" s="417">
        <f t="shared" si="157"/>
        <v>-1125</v>
      </c>
      <c r="HH105" s="417">
        <f t="shared" si="157"/>
        <v>-347</v>
      </c>
      <c r="HI105" s="417">
        <f t="shared" si="157"/>
        <v>64</v>
      </c>
      <c r="HJ105" s="417">
        <f t="shared" si="157"/>
        <v>307</v>
      </c>
      <c r="HK105" s="417" t="e">
        <f t="shared" si="157"/>
        <v>#REF!</v>
      </c>
      <c r="HL105" s="417">
        <f t="shared" si="157"/>
        <v>0</v>
      </c>
      <c r="HM105" s="417">
        <f t="shared" si="157"/>
        <v>0</v>
      </c>
      <c r="HN105" s="357"/>
      <c r="HO105" s="305"/>
      <c r="HP105" s="305"/>
      <c r="HQ105" s="305"/>
      <c r="HR105" s="305"/>
      <c r="HS105" s="306"/>
      <c r="HT105" s="306"/>
      <c r="HU105" s="306"/>
      <c r="HV105" s="306"/>
      <c r="HW105" s="305"/>
      <c r="HX105" s="305"/>
      <c r="HY105" s="305"/>
      <c r="HZ105" s="305"/>
      <c r="IA105" s="305"/>
      <c r="IB105" s="305"/>
      <c r="IC105" s="305"/>
      <c r="ID105" s="305"/>
      <c r="IE105" s="305"/>
      <c r="IF105" s="305"/>
      <c r="IG105" s="305"/>
      <c r="IH105" s="305"/>
      <c r="II105" s="305"/>
      <c r="IJ105" s="305"/>
      <c r="IK105" s="305"/>
      <c r="IL105" s="305"/>
      <c r="IM105" s="305"/>
      <c r="IN105" s="305"/>
      <c r="IO105" s="305"/>
      <c r="IP105" s="305"/>
      <c r="IQ105" s="305"/>
      <c r="IR105" s="305"/>
      <c r="IS105" s="305"/>
      <c r="IT105" s="305"/>
      <c r="IU105" s="305"/>
      <c r="IV105" s="305"/>
    </row>
    <row r="106" spans="1:256" s="338" customFormat="1" ht="13.5" hidden="1" customHeight="1">
      <c r="A106" s="909"/>
      <c r="B106" s="418"/>
      <c r="C106" s="380" t="s">
        <v>248</v>
      </c>
      <c r="D106" s="381" t="s">
        <v>223</v>
      </c>
      <c r="E106" s="299">
        <f t="shared" ref="E106:H107" si="158">I106+M106+Q106+U106+Y106+AC106+AG106+AK106+AO106+AS106+AW106+BA106+BE106+BI106+BM106+BQ106+BU106+BY106+CC106+CG106+CK106+CO106+CS106+CW106+DA106+DE106+DI106+DM106+DQ106+DU106+DY106+EC106+EG106+EK106+EO106+ES106+EW106+FA106+FE106+FI106+FM106+FQ106+FU106+FY106+GC106+GK106+GG106+GO106+GS106+GW106</f>
        <v>9981</v>
      </c>
      <c r="F106" s="299">
        <f t="shared" si="158"/>
        <v>2777.4025500000002</v>
      </c>
      <c r="G106" s="299">
        <f t="shared" si="158"/>
        <v>2777.4025500000002</v>
      </c>
      <c r="H106" s="299">
        <f t="shared" si="158"/>
        <v>0</v>
      </c>
      <c r="L106" s="301">
        <f t="shared" si="146"/>
        <v>0</v>
      </c>
      <c r="P106" s="301">
        <f t="shared" si="126"/>
        <v>0</v>
      </c>
      <c r="T106" s="301">
        <f t="shared" si="148"/>
        <v>0</v>
      </c>
      <c r="U106" s="338">
        <f>'[1]ОАО ДК Заволж р-на'!K342</f>
        <v>170</v>
      </c>
      <c r="V106" s="338">
        <f>'[1]ОАО ДК Заволж р-на'!L342/1000</f>
        <v>57.252600000000001</v>
      </c>
      <c r="W106" s="338">
        <f>'[1]ОАО ДК Заволж р-на'!M342/1000</f>
        <v>57.252600000000001</v>
      </c>
      <c r="X106" s="301">
        <f t="shared" si="154"/>
        <v>0</v>
      </c>
      <c r="AB106" s="301">
        <f t="shared" si="127"/>
        <v>0</v>
      </c>
      <c r="AF106" s="300">
        <f t="shared" si="152"/>
        <v>0</v>
      </c>
      <c r="AJ106" s="300">
        <f t="shared" si="128"/>
        <v>0</v>
      </c>
      <c r="AN106" s="301">
        <f t="shared" si="129"/>
        <v>0</v>
      </c>
      <c r="AO106" s="338">
        <f>'[1]ЗАО ГК Аметист'!K314</f>
        <v>134</v>
      </c>
      <c r="AP106" s="338">
        <f>'[1]ЗАО ГК Аметист'!L314/1000</f>
        <v>45.128519999999995</v>
      </c>
      <c r="AQ106" s="338">
        <f>'[1]ЗАО ГК Аметист'!M314/1000</f>
        <v>45.128519999999995</v>
      </c>
      <c r="AR106" s="300">
        <f t="shared" si="120"/>
        <v>0</v>
      </c>
      <c r="AV106" s="301">
        <f t="shared" si="130"/>
        <v>0</v>
      </c>
      <c r="AZ106" s="301">
        <f t="shared" si="131"/>
        <v>0</v>
      </c>
      <c r="BD106" s="301">
        <f t="shared" si="132"/>
        <v>0</v>
      </c>
      <c r="BH106" s="301">
        <f t="shared" si="149"/>
        <v>0</v>
      </c>
      <c r="BL106" s="301">
        <f t="shared" si="133"/>
        <v>0</v>
      </c>
      <c r="BP106" s="301">
        <f t="shared" si="134"/>
        <v>0</v>
      </c>
      <c r="BQ106" s="338">
        <f>'[1]ОАО ДК Засвияжье 2'!K231</f>
        <v>109</v>
      </c>
      <c r="BR106" s="338">
        <f>'[1]ОАО ДК Засвияжье 2'!L231/1000</f>
        <v>36.345959999999998</v>
      </c>
      <c r="BS106" s="338">
        <f>'[1]ОАО ДК Засвияжье 2'!M231/1000</f>
        <v>36.345959999999998</v>
      </c>
      <c r="BT106" s="301">
        <f t="shared" si="135"/>
        <v>0</v>
      </c>
      <c r="BU106" s="338">
        <f>'[1]ОАО ДК Лен р-на'!K432</f>
        <v>1528</v>
      </c>
      <c r="BV106" s="338">
        <f>'[1]ОАО ДК Лен р-на'!L432/1000</f>
        <v>503.19382999999993</v>
      </c>
      <c r="BW106" s="338">
        <f>'[1]ОАО ДК Лен р-на'!M432/1000</f>
        <v>503.19382999999993</v>
      </c>
      <c r="BX106" s="301">
        <f t="shared" si="137"/>
        <v>0</v>
      </c>
      <c r="BY106" s="338">
        <f>'[1]ОАО ДК ЖД р-на'!K542</f>
        <v>7376</v>
      </c>
      <c r="BZ106" s="338">
        <f>'[1]ОАО ДК ЖД р-на'!L542/1000</f>
        <v>1936.5658600000002</v>
      </c>
      <c r="CA106" s="338">
        <f>'[1]ОАО ДК ЖД р-на'!M542/1000</f>
        <v>1936.5658600000002</v>
      </c>
      <c r="CB106" s="301">
        <f t="shared" si="138"/>
        <v>0</v>
      </c>
      <c r="CF106" s="300">
        <f t="shared" si="107"/>
        <v>0</v>
      </c>
      <c r="CJ106" s="301">
        <f t="shared" si="122"/>
        <v>0</v>
      </c>
      <c r="CN106" s="301">
        <f t="shared" si="84"/>
        <v>0</v>
      </c>
      <c r="CR106" s="301">
        <f t="shared" si="85"/>
        <v>0</v>
      </c>
      <c r="CV106" s="301">
        <f t="shared" si="86"/>
        <v>0</v>
      </c>
      <c r="CZ106" s="301">
        <f t="shared" si="87"/>
        <v>0</v>
      </c>
      <c r="DD106" s="300">
        <f t="shared" si="115"/>
        <v>0</v>
      </c>
      <c r="DH106" s="301">
        <f t="shared" ref="DH106:DH148" si="159">DG106-DF106</f>
        <v>0</v>
      </c>
      <c r="DL106" s="301">
        <f t="shared" si="139"/>
        <v>0</v>
      </c>
      <c r="DM106" s="338">
        <f>'[1]Альфаком-У'!K159</f>
        <v>240</v>
      </c>
      <c r="DN106" s="338">
        <f>'[1]Альфаком-У'!L159/1000</f>
        <v>80.827199999999991</v>
      </c>
      <c r="DO106" s="338">
        <f>'[1]Альфаком-У'!M159/1000</f>
        <v>80.827199999999991</v>
      </c>
      <c r="DP106" s="301">
        <f t="shared" si="82"/>
        <v>0</v>
      </c>
      <c r="DT106" s="300">
        <f t="shared" si="89"/>
        <v>0</v>
      </c>
      <c r="DU106" s="338">
        <f>'[2]альфаком-У-ТСЖ З-2'!K134</f>
        <v>0</v>
      </c>
      <c r="DV106" s="338">
        <f>'[2]альфаком-У-ТСЖ З-2'!L134/1000</f>
        <v>0</v>
      </c>
      <c r="DW106" s="338">
        <f>'[2]альфаком-У-ТСЖ З-2'!M134/1000</f>
        <v>0</v>
      </c>
      <c r="DX106" s="301">
        <f t="shared" si="112"/>
        <v>0</v>
      </c>
      <c r="EB106" s="301">
        <f t="shared" si="90"/>
        <v>0</v>
      </c>
      <c r="EF106" s="301">
        <f t="shared" si="91"/>
        <v>0</v>
      </c>
      <c r="EG106" s="338">
        <f>'[1]ООО ЦЭТ'!K282</f>
        <v>28</v>
      </c>
      <c r="EH106" s="338">
        <f>'[1]ООО ЦЭТ'!L282/1000</f>
        <v>10.322760000000001</v>
      </c>
      <c r="EI106" s="338">
        <f>'[1]ООО ЦЭТ'!M282/1000</f>
        <v>10.322760000000001</v>
      </c>
      <c r="EJ106" s="301">
        <f t="shared" si="92"/>
        <v>0</v>
      </c>
      <c r="EN106" s="301">
        <f t="shared" si="93"/>
        <v>0</v>
      </c>
      <c r="ER106" s="300">
        <f t="shared" si="94"/>
        <v>0</v>
      </c>
      <c r="EV106" s="300">
        <f t="shared" si="95"/>
        <v>0</v>
      </c>
      <c r="EW106" s="338">
        <f>'[1]ООО Наш Дом 010212'!K146</f>
        <v>0</v>
      </c>
      <c r="EX106" s="338">
        <f>'[1]ООО Наш Дом 010212'!L146/1000</f>
        <v>0</v>
      </c>
      <c r="EY106" s="338">
        <f>'[1]ООО Наш Дом 010212'!M146/1000</f>
        <v>0</v>
      </c>
      <c r="EZ106" s="301">
        <f t="shared" si="96"/>
        <v>0</v>
      </c>
      <c r="FA106" s="338">
        <f>'[1]ООО Истоки+'!K143</f>
        <v>0</v>
      </c>
      <c r="FB106" s="338">
        <f>'[1]ООО Истоки+'!L143/1000</f>
        <v>0</v>
      </c>
      <c r="FC106" s="338">
        <f>'[1]ООО Истоки+'!M143/1000</f>
        <v>0</v>
      </c>
      <c r="FD106" s="301">
        <f t="shared" si="97"/>
        <v>0</v>
      </c>
      <c r="FE106" s="338">
        <f>'[1]ООО ЖКиСР УправДом'!K178</f>
        <v>146</v>
      </c>
      <c r="FF106" s="338">
        <f>'[1]ООО ЖКиСР УправДом'!L178/1000</f>
        <v>53.82582</v>
      </c>
      <c r="FG106" s="338">
        <f>'[1]ООО ЖКиСР УправДом'!M178/1000</f>
        <v>53.82582</v>
      </c>
      <c r="FH106" s="300">
        <f t="shared" si="98"/>
        <v>0</v>
      </c>
      <c r="FL106" s="301">
        <f t="shared" si="113"/>
        <v>0</v>
      </c>
      <c r="FM106" s="338">
        <f>'[1]ООО Технология'!K201</f>
        <v>0</v>
      </c>
      <c r="FN106" s="338">
        <f>'[1]ООО Технология'!L201/1000</f>
        <v>0</v>
      </c>
      <c r="FO106" s="338">
        <f>'[1]ООО Технология'!M201/1000</f>
        <v>0</v>
      </c>
      <c r="FP106" s="301">
        <f t="shared" si="108"/>
        <v>0</v>
      </c>
      <c r="FQ106" s="338">
        <f>'[1]ООО ЖКХ Лен-го района'!K245</f>
        <v>250</v>
      </c>
      <c r="FR106" s="338">
        <f>'[1]ООО ЖКХ Лен-го района'!L245/1000</f>
        <v>53.94</v>
      </c>
      <c r="FS106" s="338">
        <f>'[1]ООО ЖКХ Лен-го района'!M245/1000</f>
        <v>53.94</v>
      </c>
      <c r="FT106" s="301">
        <f t="shared" si="99"/>
        <v>0</v>
      </c>
      <c r="FX106" s="301">
        <f t="shared" ref="FX106:FX116" si="160">FW106-FV106</f>
        <v>0</v>
      </c>
      <c r="GB106" s="301">
        <f t="shared" si="101"/>
        <v>0</v>
      </c>
      <c r="GF106" s="301">
        <f t="shared" ref="GF106:GF116" si="161">GE106-GD106</f>
        <v>0</v>
      </c>
      <c r="GJ106" s="301">
        <f t="shared" si="110"/>
        <v>0</v>
      </c>
      <c r="GN106" s="301">
        <f t="shared" si="103"/>
        <v>0</v>
      </c>
      <c r="GR106" s="301">
        <f t="shared" ref="GR106:GR116" si="162">GQ106-GP106</f>
        <v>0</v>
      </c>
      <c r="GV106" s="301">
        <f t="shared" si="105"/>
        <v>0</v>
      </c>
      <c r="GZ106" s="301">
        <f t="shared" si="150"/>
        <v>0</v>
      </c>
      <c r="HA106" s="328"/>
      <c r="HB106" s="412" t="s">
        <v>249</v>
      </c>
      <c r="HC106" s="417">
        <f>HC103-HC100</f>
        <v>-127</v>
      </c>
      <c r="HD106" s="417">
        <f t="shared" si="157"/>
        <v>-207</v>
      </c>
      <c r="HE106" s="417">
        <f t="shared" si="157"/>
        <v>-37</v>
      </c>
      <c r="HF106" s="417">
        <f t="shared" si="157"/>
        <v>-114</v>
      </c>
      <c r="HG106" s="417">
        <f t="shared" si="157"/>
        <v>1113</v>
      </c>
      <c r="HH106" s="417">
        <f t="shared" si="157"/>
        <v>-78</v>
      </c>
      <c r="HI106" s="417">
        <f t="shared" si="157"/>
        <v>-44</v>
      </c>
      <c r="HJ106" s="417">
        <f t="shared" si="157"/>
        <v>-325</v>
      </c>
      <c r="HK106" s="417">
        <f t="shared" si="157"/>
        <v>45</v>
      </c>
      <c r="HL106" s="417">
        <f t="shared" si="157"/>
        <v>-2</v>
      </c>
      <c r="HM106" s="417">
        <f t="shared" si="157"/>
        <v>-36</v>
      </c>
      <c r="HN106" s="357"/>
      <c r="HO106" s="286"/>
      <c r="HP106" s="286"/>
      <c r="HQ106" s="286"/>
      <c r="HR106" s="286"/>
      <c r="HS106" s="306"/>
      <c r="HT106" s="306"/>
      <c r="HU106" s="306"/>
      <c r="HV106" s="306"/>
      <c r="HW106" s="286"/>
      <c r="HX106" s="286"/>
      <c r="HY106" s="286"/>
      <c r="HZ106" s="286"/>
      <c r="IA106" s="286"/>
      <c r="IB106" s="286"/>
      <c r="IC106" s="286"/>
      <c r="ID106" s="286"/>
      <c r="IE106" s="286"/>
      <c r="IF106" s="286"/>
      <c r="IG106" s="286"/>
      <c r="IH106" s="286"/>
      <c r="II106" s="286"/>
      <c r="IJ106" s="286"/>
      <c r="IK106" s="286"/>
      <c r="IL106" s="286"/>
      <c r="IM106" s="286"/>
      <c r="IN106" s="286"/>
      <c r="IO106" s="286"/>
      <c r="IP106" s="286"/>
      <c r="IQ106" s="286"/>
      <c r="IR106" s="286"/>
      <c r="IS106" s="286"/>
      <c r="IT106" s="286"/>
      <c r="IU106" s="286"/>
      <c r="IV106" s="286"/>
    </row>
    <row r="107" spans="1:256" s="338" customFormat="1" ht="13.5" hidden="1" customHeight="1">
      <c r="A107" s="909"/>
      <c r="B107" s="341"/>
      <c r="C107" s="380" t="s">
        <v>250</v>
      </c>
      <c r="D107" s="381" t="s">
        <v>223</v>
      </c>
      <c r="E107" s="299">
        <f t="shared" si="158"/>
        <v>11472</v>
      </c>
      <c r="F107" s="299">
        <f t="shared" si="158"/>
        <v>1168.8726000000001</v>
      </c>
      <c r="G107" s="299">
        <f t="shared" si="158"/>
        <v>1168.8726000000001</v>
      </c>
      <c r="H107" s="299">
        <f t="shared" si="158"/>
        <v>0</v>
      </c>
      <c r="L107" s="301">
        <f t="shared" si="146"/>
        <v>0</v>
      </c>
      <c r="P107" s="301">
        <f t="shared" si="126"/>
        <v>0</v>
      </c>
      <c r="T107" s="301">
        <f t="shared" si="148"/>
        <v>0</v>
      </c>
      <c r="U107" s="338">
        <v>605</v>
      </c>
      <c r="V107" s="338">
        <f>U107*1*93.81/1000</f>
        <v>56.755050000000004</v>
      </c>
      <c r="W107" s="338">
        <f>V107</f>
        <v>56.755050000000004</v>
      </c>
      <c r="X107" s="301">
        <f t="shared" si="154"/>
        <v>0</v>
      </c>
      <c r="AB107" s="301">
        <f t="shared" si="127"/>
        <v>0</v>
      </c>
      <c r="AF107" s="300">
        <f t="shared" si="152"/>
        <v>0</v>
      </c>
      <c r="AJ107" s="300">
        <f t="shared" si="128"/>
        <v>0</v>
      </c>
      <c r="AN107" s="301">
        <f t="shared" si="129"/>
        <v>0</v>
      </c>
      <c r="AO107" s="338">
        <v>175</v>
      </c>
      <c r="AP107" s="338">
        <f>AO107*1.06*93.81/1000</f>
        <v>17.401755000000001</v>
      </c>
      <c r="AQ107" s="338">
        <f>AP107</f>
        <v>17.401755000000001</v>
      </c>
      <c r="AR107" s="300">
        <f t="shared" si="120"/>
        <v>0</v>
      </c>
      <c r="AV107" s="301">
        <f t="shared" si="130"/>
        <v>0</v>
      </c>
      <c r="AZ107" s="301">
        <f t="shared" si="131"/>
        <v>0</v>
      </c>
      <c r="BD107" s="301">
        <f t="shared" si="132"/>
        <v>0</v>
      </c>
      <c r="BH107" s="301">
        <f t="shared" si="149"/>
        <v>0</v>
      </c>
      <c r="BL107" s="301">
        <f t="shared" si="133"/>
        <v>0</v>
      </c>
      <c r="BP107" s="301">
        <f t="shared" si="134"/>
        <v>0</v>
      </c>
      <c r="BQ107" s="338">
        <v>300</v>
      </c>
      <c r="BR107" s="338">
        <f>BQ107*0.85*93.81/1000</f>
        <v>23.92155</v>
      </c>
      <c r="BS107" s="338">
        <f>BR107</f>
        <v>23.92155</v>
      </c>
      <c r="BT107" s="301">
        <f t="shared" si="135"/>
        <v>0</v>
      </c>
      <c r="BU107" s="338">
        <f>166+1886</f>
        <v>2052</v>
      </c>
      <c r="BV107" s="338">
        <f>BU107*1.1*93.81/1000</f>
        <v>211.74793200000002</v>
      </c>
      <c r="BW107" s="338">
        <f>BV107</f>
        <v>211.74793200000002</v>
      </c>
      <c r="BX107" s="301">
        <f t="shared" si="137"/>
        <v>0</v>
      </c>
      <c r="BY107" s="338">
        <f>1209+5710+583</f>
        <v>7502</v>
      </c>
      <c r="BZ107" s="338">
        <f>BY107*1.1*93.81/1000</f>
        <v>774.13888200000008</v>
      </c>
      <c r="CA107" s="338">
        <f>BZ107</f>
        <v>774.13888200000008</v>
      </c>
      <c r="CB107" s="301">
        <f t="shared" si="138"/>
        <v>0</v>
      </c>
      <c r="CF107" s="300">
        <f t="shared" si="107"/>
        <v>0</v>
      </c>
      <c r="CJ107" s="301">
        <f t="shared" si="122"/>
        <v>0</v>
      </c>
      <c r="CN107" s="301">
        <f t="shared" si="84"/>
        <v>0</v>
      </c>
      <c r="CR107" s="301">
        <f t="shared" si="85"/>
        <v>0</v>
      </c>
      <c r="CV107" s="301">
        <f t="shared" si="86"/>
        <v>0</v>
      </c>
      <c r="CZ107" s="301">
        <f t="shared" si="87"/>
        <v>0</v>
      </c>
      <c r="DD107" s="300">
        <f t="shared" si="115"/>
        <v>0</v>
      </c>
      <c r="DH107" s="301">
        <f t="shared" si="159"/>
        <v>0</v>
      </c>
      <c r="DL107" s="301">
        <f t="shared" si="139"/>
        <v>0</v>
      </c>
      <c r="DM107" s="338">
        <v>387</v>
      </c>
      <c r="DN107" s="310">
        <f>DM107*1*93.81/1000</f>
        <v>36.304470000000002</v>
      </c>
      <c r="DO107" s="338">
        <f>DN107</f>
        <v>36.304470000000002</v>
      </c>
      <c r="DP107" s="301">
        <f t="shared" si="82"/>
        <v>0</v>
      </c>
      <c r="DT107" s="300">
        <f t="shared" si="89"/>
        <v>0</v>
      </c>
      <c r="DX107" s="301">
        <f t="shared" si="112"/>
        <v>0</v>
      </c>
      <c r="EB107" s="301">
        <f t="shared" si="90"/>
        <v>0</v>
      </c>
      <c r="EF107" s="301">
        <f t="shared" si="91"/>
        <v>0</v>
      </c>
      <c r="EG107" s="338">
        <v>77</v>
      </c>
      <c r="EH107" s="338">
        <f>EG107*0.9*93.81/1000</f>
        <v>6.5010329999999996</v>
      </c>
      <c r="EI107" s="338">
        <f>EH107</f>
        <v>6.5010329999999996</v>
      </c>
      <c r="EJ107" s="301">
        <f t="shared" si="92"/>
        <v>0</v>
      </c>
      <c r="EN107" s="301">
        <f t="shared" si="93"/>
        <v>0</v>
      </c>
      <c r="ER107" s="300">
        <f t="shared" si="94"/>
        <v>0</v>
      </c>
      <c r="EV107" s="300">
        <f t="shared" si="95"/>
        <v>0</v>
      </c>
      <c r="EX107" s="338">
        <f>EW107*1*93.81*0.9/1000</f>
        <v>0</v>
      </c>
      <c r="EY107" s="338">
        <f>EX107</f>
        <v>0</v>
      </c>
      <c r="EZ107" s="301">
        <f t="shared" si="96"/>
        <v>0</v>
      </c>
      <c r="FB107" s="310">
        <f>FA107*1.5*67.43/1000</f>
        <v>0</v>
      </c>
      <c r="FC107" s="338">
        <f>FB107</f>
        <v>0</v>
      </c>
      <c r="FD107" s="301">
        <f t="shared" si="97"/>
        <v>0</v>
      </c>
      <c r="FE107" s="338">
        <v>374</v>
      </c>
      <c r="FF107" s="310">
        <f>FE107*1.2*93.81/1000</f>
        <v>42.101928000000001</v>
      </c>
      <c r="FG107" s="338">
        <f>FF107</f>
        <v>42.101928000000001</v>
      </c>
      <c r="FH107" s="300">
        <f t="shared" si="98"/>
        <v>0</v>
      </c>
      <c r="FL107" s="301">
        <f t="shared" si="113"/>
        <v>0</v>
      </c>
      <c r="FN107" s="338">
        <f>FM107*1*93.81/1000</f>
        <v>0</v>
      </c>
      <c r="FO107" s="338">
        <f>FN107</f>
        <v>0</v>
      </c>
      <c r="FP107" s="301">
        <f t="shared" si="108"/>
        <v>0</v>
      </c>
      <c r="FT107" s="301">
        <f t="shared" si="99"/>
        <v>0</v>
      </c>
      <c r="FX107" s="301">
        <f t="shared" si="160"/>
        <v>0</v>
      </c>
      <c r="GB107" s="301">
        <f t="shared" si="101"/>
        <v>0</v>
      </c>
      <c r="GF107" s="301">
        <f t="shared" si="161"/>
        <v>0</v>
      </c>
      <c r="GJ107" s="301">
        <f t="shared" si="110"/>
        <v>0</v>
      </c>
      <c r="GN107" s="301">
        <f t="shared" si="103"/>
        <v>0</v>
      </c>
      <c r="GR107" s="301">
        <f t="shared" si="162"/>
        <v>0</v>
      </c>
      <c r="GV107" s="301">
        <f t="shared" si="105"/>
        <v>0</v>
      </c>
      <c r="GZ107" s="301">
        <f t="shared" si="150"/>
        <v>0</v>
      </c>
      <c r="HA107" s="328"/>
      <c r="HB107" s="419"/>
      <c r="HC107" s="420"/>
      <c r="HD107" s="420"/>
      <c r="HE107" s="421"/>
      <c r="HF107" s="422"/>
      <c r="HG107" s="423"/>
      <c r="HH107" s="423"/>
      <c r="HI107" s="424"/>
      <c r="HJ107" s="423"/>
      <c r="HK107" s="423"/>
      <c r="HL107" s="423"/>
      <c r="HM107" s="423"/>
      <c r="HN107" s="425"/>
      <c r="HO107" s="286"/>
      <c r="HP107" s="286"/>
      <c r="HQ107" s="286"/>
      <c r="HR107" s="286"/>
      <c r="HS107" s="306"/>
      <c r="HT107" s="306"/>
      <c r="HU107" s="306"/>
      <c r="HV107" s="306"/>
      <c r="HW107" s="286"/>
      <c r="HX107" s="286"/>
      <c r="HY107" s="286"/>
      <c r="HZ107" s="286"/>
      <c r="IA107" s="286"/>
      <c r="IB107" s="286"/>
      <c r="IC107" s="286"/>
      <c r="ID107" s="286"/>
      <c r="IE107" s="286"/>
      <c r="IF107" s="286"/>
      <c r="IG107" s="286"/>
      <c r="IH107" s="286"/>
      <c r="II107" s="286"/>
      <c r="IJ107" s="286"/>
      <c r="IK107" s="286"/>
      <c r="IL107" s="286"/>
      <c r="IM107" s="286"/>
      <c r="IN107" s="286"/>
      <c r="IO107" s="286"/>
      <c r="IP107" s="286"/>
      <c r="IQ107" s="286"/>
      <c r="IR107" s="286"/>
      <c r="IS107" s="286"/>
      <c r="IT107" s="286"/>
      <c r="IU107" s="286"/>
      <c r="IV107" s="286"/>
    </row>
    <row r="108" spans="1:256" s="301" customFormat="1" ht="13.5" hidden="1" customHeight="1">
      <c r="A108" s="909"/>
      <c r="B108" s="415"/>
      <c r="C108" s="382" t="s">
        <v>232</v>
      </c>
      <c r="D108" s="416" t="s">
        <v>223</v>
      </c>
      <c r="E108" s="301">
        <f>SUM(E109:E110)</f>
        <v>17177</v>
      </c>
      <c r="F108" s="301">
        <f>SUM(F109:F110)</f>
        <v>2273.713636</v>
      </c>
      <c r="G108" s="301">
        <f>SUM(G109:G110)</f>
        <v>2273.713636</v>
      </c>
      <c r="H108" s="301">
        <f>SUM(H109:H110)</f>
        <v>0</v>
      </c>
      <c r="L108" s="301">
        <f t="shared" si="146"/>
        <v>0</v>
      </c>
      <c r="M108" s="301">
        <f>SUM(M109:M110)</f>
        <v>0</v>
      </c>
      <c r="N108" s="301">
        <f>SUM(N109:N110)</f>
        <v>0</v>
      </c>
      <c r="O108" s="301">
        <f>SUM(O109:O110)</f>
        <v>0</v>
      </c>
      <c r="P108" s="301">
        <f t="shared" si="126"/>
        <v>0</v>
      </c>
      <c r="T108" s="301">
        <f t="shared" si="148"/>
        <v>0</v>
      </c>
      <c r="U108" s="301">
        <f t="shared" ref="U108:AI108" si="163">U109+U110</f>
        <v>0</v>
      </c>
      <c r="V108" s="301">
        <f t="shared" si="163"/>
        <v>0</v>
      </c>
      <c r="W108" s="301">
        <f t="shared" si="163"/>
        <v>0</v>
      </c>
      <c r="X108" s="301">
        <f t="shared" si="154"/>
        <v>0</v>
      </c>
      <c r="Y108" s="301">
        <f t="shared" si="163"/>
        <v>4</v>
      </c>
      <c r="Z108" s="301">
        <f t="shared" si="163"/>
        <v>1.4421600000000001</v>
      </c>
      <c r="AA108" s="301">
        <f t="shared" si="163"/>
        <v>1.4421600000000001</v>
      </c>
      <c r="AB108" s="301">
        <f t="shared" si="127"/>
        <v>0</v>
      </c>
      <c r="AC108" s="301">
        <f>AC109+AC110</f>
        <v>12524</v>
      </c>
      <c r="AD108" s="301">
        <f t="shared" si="163"/>
        <v>1651.8943760000002</v>
      </c>
      <c r="AE108" s="301">
        <f t="shared" si="163"/>
        <v>1651.8943760000002</v>
      </c>
      <c r="AF108" s="300">
        <f t="shared" si="152"/>
        <v>0</v>
      </c>
      <c r="AG108" s="301">
        <f t="shared" si="163"/>
        <v>2194</v>
      </c>
      <c r="AH108" s="301">
        <f t="shared" si="163"/>
        <v>306.64589520000004</v>
      </c>
      <c r="AI108" s="301">
        <f t="shared" si="163"/>
        <v>306.64589520000004</v>
      </c>
      <c r="AJ108" s="300">
        <f t="shared" si="128"/>
        <v>0</v>
      </c>
      <c r="AN108" s="301">
        <f t="shared" si="129"/>
        <v>0</v>
      </c>
      <c r="AR108" s="300">
        <f t="shared" si="120"/>
        <v>0</v>
      </c>
      <c r="AV108" s="301">
        <f t="shared" si="130"/>
        <v>0</v>
      </c>
      <c r="AW108" s="301">
        <f>AW109+AW110</f>
        <v>2001</v>
      </c>
      <c r="AX108" s="301">
        <f>AX109+AX110</f>
        <v>257.25039720000001</v>
      </c>
      <c r="AY108" s="301">
        <f>AY109+AY110</f>
        <v>257.25039720000001</v>
      </c>
      <c r="AZ108" s="301">
        <f t="shared" si="131"/>
        <v>0</v>
      </c>
      <c r="BD108" s="301">
        <f t="shared" si="132"/>
        <v>0</v>
      </c>
      <c r="BH108" s="301">
        <f t="shared" si="149"/>
        <v>0</v>
      </c>
      <c r="BL108" s="301">
        <f t="shared" si="133"/>
        <v>0</v>
      </c>
      <c r="BP108" s="301">
        <f t="shared" si="134"/>
        <v>0</v>
      </c>
      <c r="BT108" s="301">
        <f t="shared" si="135"/>
        <v>0</v>
      </c>
      <c r="BX108" s="301">
        <f t="shared" si="137"/>
        <v>0</v>
      </c>
      <c r="CB108" s="301">
        <f t="shared" si="138"/>
        <v>0</v>
      </c>
      <c r="CC108" s="301">
        <f>CC109+CC110</f>
        <v>162</v>
      </c>
      <c r="CD108" s="301">
        <f>CD109+CD110</f>
        <v>24.0350976</v>
      </c>
      <c r="CE108" s="301">
        <f>CE109+CE110</f>
        <v>24.0350976</v>
      </c>
      <c r="CF108" s="300">
        <f t="shared" si="107"/>
        <v>0</v>
      </c>
      <c r="CG108" s="301">
        <f>SUM(CG109:CG110)</f>
        <v>10</v>
      </c>
      <c r="CH108" s="301">
        <f>SUM(CH109:CH110)</f>
        <v>3.6053999999999999</v>
      </c>
      <c r="CI108" s="301">
        <f>SUM(CI109:CI110)</f>
        <v>3.6053999999999999</v>
      </c>
      <c r="CJ108" s="301">
        <f t="shared" si="122"/>
        <v>0</v>
      </c>
      <c r="CN108" s="301">
        <f t="shared" si="84"/>
        <v>0</v>
      </c>
      <c r="CR108" s="301">
        <f t="shared" si="85"/>
        <v>0</v>
      </c>
      <c r="CV108" s="301">
        <f t="shared" si="86"/>
        <v>0</v>
      </c>
      <c r="CZ108" s="301">
        <f t="shared" si="87"/>
        <v>0</v>
      </c>
      <c r="DD108" s="300">
        <f t="shared" si="115"/>
        <v>0</v>
      </c>
      <c r="DH108" s="301">
        <f t="shared" si="159"/>
        <v>0</v>
      </c>
      <c r="DL108" s="301">
        <f t="shared" si="139"/>
        <v>0</v>
      </c>
      <c r="DP108" s="301">
        <f t="shared" si="82"/>
        <v>0</v>
      </c>
      <c r="DT108" s="300">
        <f t="shared" si="89"/>
        <v>0</v>
      </c>
      <c r="DX108" s="301">
        <f t="shared" si="112"/>
        <v>0</v>
      </c>
      <c r="EB108" s="301">
        <f t="shared" si="90"/>
        <v>0</v>
      </c>
      <c r="EC108" s="301">
        <f>EC109+EC110</f>
        <v>277</v>
      </c>
      <c r="ED108" s="301">
        <f>ED109+ED110</f>
        <v>28.278559999999999</v>
      </c>
      <c r="EE108" s="301">
        <f>EE109+EE110</f>
        <v>28.278559999999999</v>
      </c>
      <c r="EF108" s="301">
        <f t="shared" si="91"/>
        <v>0</v>
      </c>
      <c r="EJ108" s="301">
        <f t="shared" si="92"/>
        <v>0</v>
      </c>
      <c r="EN108" s="301">
        <f t="shared" si="93"/>
        <v>0</v>
      </c>
      <c r="ER108" s="300">
        <f t="shared" si="94"/>
        <v>0</v>
      </c>
      <c r="EV108" s="300">
        <f t="shared" si="95"/>
        <v>0</v>
      </c>
      <c r="EZ108" s="301">
        <f t="shared" si="96"/>
        <v>0</v>
      </c>
      <c r="FD108" s="301">
        <f t="shared" si="97"/>
        <v>0</v>
      </c>
      <c r="FH108" s="300">
        <f t="shared" si="98"/>
        <v>0</v>
      </c>
      <c r="FL108" s="301">
        <f t="shared" si="113"/>
        <v>0</v>
      </c>
      <c r="FP108" s="301">
        <f t="shared" si="108"/>
        <v>0</v>
      </c>
      <c r="FT108" s="301">
        <f t="shared" si="99"/>
        <v>0</v>
      </c>
      <c r="FX108" s="301">
        <f t="shared" si="160"/>
        <v>0</v>
      </c>
      <c r="GB108" s="301">
        <f t="shared" si="101"/>
        <v>0</v>
      </c>
      <c r="GF108" s="301">
        <f t="shared" si="161"/>
        <v>0</v>
      </c>
      <c r="GJ108" s="301">
        <f t="shared" si="110"/>
        <v>0</v>
      </c>
      <c r="GN108" s="301">
        <f t="shared" si="103"/>
        <v>0</v>
      </c>
      <c r="GO108" s="301">
        <f>SUM(GO109:GO110)</f>
        <v>5</v>
      </c>
      <c r="GP108" s="301">
        <f>SUM(GP109:GP110)</f>
        <v>0.56174999999999997</v>
      </c>
      <c r="GQ108" s="301">
        <f>SUM(GQ109:GQ110)</f>
        <v>0.56174999999999997</v>
      </c>
      <c r="GR108" s="301">
        <f t="shared" si="162"/>
        <v>0</v>
      </c>
      <c r="GV108" s="301">
        <f t="shared" si="105"/>
        <v>0</v>
      </c>
      <c r="GZ108" s="301">
        <f t="shared" si="150"/>
        <v>0</v>
      </c>
      <c r="HA108" s="328"/>
      <c r="HB108" s="339"/>
      <c r="HC108" s="305" t="s">
        <v>252</v>
      </c>
      <c r="HD108" s="305"/>
      <c r="HE108" s="286"/>
      <c r="HF108" s="286"/>
      <c r="HG108" s="286"/>
      <c r="HH108" s="286"/>
      <c r="HI108" s="286"/>
      <c r="HJ108" s="286"/>
      <c r="HK108" s="286"/>
      <c r="HL108" s="286"/>
      <c r="HM108" s="286"/>
      <c r="HN108" s="357"/>
      <c r="HO108" s="305"/>
      <c r="HP108" s="305"/>
      <c r="HQ108" s="305"/>
      <c r="HR108" s="305"/>
      <c r="HS108" s="306"/>
      <c r="HT108" s="306"/>
      <c r="HU108" s="306"/>
      <c r="HV108" s="306"/>
      <c r="HW108" s="305"/>
      <c r="HX108" s="305"/>
      <c r="HY108" s="305"/>
      <c r="HZ108" s="305"/>
      <c r="IA108" s="305"/>
      <c r="IB108" s="305"/>
      <c r="IC108" s="305"/>
      <c r="ID108" s="305"/>
      <c r="IE108" s="305"/>
      <c r="IF108" s="305"/>
      <c r="IG108" s="305"/>
      <c r="IH108" s="305"/>
      <c r="II108" s="305"/>
      <c r="IJ108" s="305"/>
      <c r="IK108" s="305"/>
      <c r="IL108" s="305"/>
      <c r="IM108" s="305"/>
      <c r="IN108" s="305"/>
      <c r="IO108" s="305"/>
      <c r="IP108" s="305"/>
      <c r="IQ108" s="305"/>
      <c r="IR108" s="305"/>
      <c r="IS108" s="305"/>
      <c r="IT108" s="305"/>
      <c r="IU108" s="305"/>
      <c r="IV108" s="305"/>
    </row>
    <row r="109" spans="1:256" s="338" customFormat="1" ht="13.5" hidden="1" customHeight="1">
      <c r="A109" s="909"/>
      <c r="B109" s="341"/>
      <c r="C109" s="380" t="s">
        <v>248</v>
      </c>
      <c r="D109" s="381" t="s">
        <v>223</v>
      </c>
      <c r="E109" s="299">
        <f t="shared" ref="E109:H110" si="164">I109+M109+Q109+U109+Y109+AC109+AG109+AK109+AO109+AS109+AW109+BA109+BE109+BI109+BM109+BQ109+BU109+BY109+CC109+CG109+CK109+CO109+CS109+CW109+DA109+DE109+DI109+DM109+DQ109+DU109+DY109+EC109+EG109+EK109+EO109+ES109+EW109+FA109+FE109+FI109+FM109+FQ109+FU109+FY109+GC109+GK109+GG109+GO109+GS109+GW109</f>
        <v>2611</v>
      </c>
      <c r="F109" s="299">
        <f t="shared" si="164"/>
        <v>884.87597000000005</v>
      </c>
      <c r="G109" s="299">
        <f t="shared" si="164"/>
        <v>884.87597000000005</v>
      </c>
      <c r="H109" s="299">
        <f t="shared" si="164"/>
        <v>0</v>
      </c>
      <c r="L109" s="301">
        <f t="shared" si="146"/>
        <v>0</v>
      </c>
      <c r="M109" s="338">
        <f>'[1]УМУП УК ЖКХ г.Ульяновска'!K195</f>
        <v>0</v>
      </c>
      <c r="N109" s="338">
        <f>'[1]УМУП УК ЖКХ г.Ульяновска'!L195/1000</f>
        <v>0</v>
      </c>
      <c r="O109" s="338">
        <f>'[1]УМУП УК ЖКХ г.Ульяновска'!M195/1000</f>
        <v>0</v>
      </c>
      <c r="P109" s="301">
        <f t="shared" si="126"/>
        <v>0</v>
      </c>
      <c r="T109" s="301">
        <f t="shared" si="148"/>
        <v>0</v>
      </c>
      <c r="U109" s="338">
        <f>'[1]ОАО ДК Заволж р-на'!K317</f>
        <v>0</v>
      </c>
      <c r="V109" s="338">
        <f>'[1]ОАО ДК Заволж р-на'!L317/1000</f>
        <v>0</v>
      </c>
      <c r="W109" s="338">
        <f>'[1]ОАО ДК Заволж р-на'!M317/1000</f>
        <v>0</v>
      </c>
      <c r="X109" s="301">
        <f t="shared" si="154"/>
        <v>0</v>
      </c>
      <c r="Y109" s="338">
        <f>'[1]ООО ЖСС'!K104</f>
        <v>4</v>
      </c>
      <c r="Z109" s="338">
        <f>'[1]ООО ЖСС'!L104/1000</f>
        <v>1.4421600000000001</v>
      </c>
      <c r="AA109" s="338">
        <f>'[1]ООО ЖСС'!M104/1000</f>
        <v>1.4421600000000001</v>
      </c>
      <c r="AB109" s="301">
        <f t="shared" si="127"/>
        <v>0</v>
      </c>
      <c r="AC109" s="338">
        <f>[1]МегаЛинк!K99</f>
        <v>1938</v>
      </c>
      <c r="AD109" s="338">
        <f>[1]МегаЛинк!L99/1000</f>
        <v>653.25347999999997</v>
      </c>
      <c r="AE109" s="338">
        <f>[1]МегаЛинк!M99/1000</f>
        <v>653.25347999999997</v>
      </c>
      <c r="AF109" s="300">
        <f t="shared" si="152"/>
        <v>0</v>
      </c>
      <c r="AG109" s="338">
        <f>[1]Вымпел!K56</f>
        <v>398</v>
      </c>
      <c r="AH109" s="338">
        <f>[1]Вымпел!L56/1000</f>
        <v>134.13794000000001</v>
      </c>
      <c r="AI109" s="338">
        <f>[1]Вымпел!M56/1000</f>
        <v>134.13794000000001</v>
      </c>
      <c r="AJ109" s="300">
        <f t="shared" si="128"/>
        <v>0</v>
      </c>
      <c r="AN109" s="301">
        <f t="shared" si="129"/>
        <v>0</v>
      </c>
      <c r="AR109" s="300">
        <f t="shared" si="120"/>
        <v>0</v>
      </c>
      <c r="AV109" s="301">
        <f t="shared" si="130"/>
        <v>0</v>
      </c>
      <c r="AW109" s="338">
        <f>'[1]Ульяновский _2 ТСЖ'!K55</f>
        <v>238</v>
      </c>
      <c r="AX109" s="338">
        <f>'[1]Ульяновский _2 ТСЖ'!L55/1000</f>
        <v>85.808520000000001</v>
      </c>
      <c r="AY109" s="338">
        <f>'[1]Ульяновский _2 ТСЖ'!M55/1000</f>
        <v>85.808520000000001</v>
      </c>
      <c r="AZ109" s="301">
        <f t="shared" si="131"/>
        <v>0</v>
      </c>
      <c r="BD109" s="301">
        <f t="shared" si="132"/>
        <v>0</v>
      </c>
      <c r="BH109" s="301">
        <f t="shared" si="149"/>
        <v>0</v>
      </c>
      <c r="BL109" s="301">
        <f t="shared" si="133"/>
        <v>0</v>
      </c>
      <c r="BP109" s="301">
        <f t="shared" si="134"/>
        <v>0</v>
      </c>
      <c r="BT109" s="301">
        <f t="shared" si="135"/>
        <v>0</v>
      </c>
      <c r="BX109" s="301">
        <f t="shared" si="137"/>
        <v>0</v>
      </c>
      <c r="CB109" s="301">
        <f t="shared" si="138"/>
        <v>0</v>
      </c>
      <c r="CC109" s="338">
        <f>[1]СУК!K56</f>
        <v>0</v>
      </c>
      <c r="CD109" s="338">
        <f>[1]СУК!L56/1000</f>
        <v>0</v>
      </c>
      <c r="CE109" s="338">
        <f>[1]СУК!M56/1000</f>
        <v>0</v>
      </c>
      <c r="CF109" s="300">
        <f t="shared" si="107"/>
        <v>0</v>
      </c>
      <c r="CG109" s="338">
        <f>'[1]УК ЖСС'!K131</f>
        <v>10</v>
      </c>
      <c r="CH109" s="338">
        <f>'[1]УК ЖСС'!L131/1000</f>
        <v>3.6053999999999999</v>
      </c>
      <c r="CI109" s="338">
        <f>'[1]УК ЖСС'!M131/1000</f>
        <v>3.6053999999999999</v>
      </c>
      <c r="CJ109" s="301">
        <f t="shared" si="122"/>
        <v>0</v>
      </c>
      <c r="CN109" s="301">
        <f t="shared" si="84"/>
        <v>0</v>
      </c>
      <c r="CR109" s="301">
        <f t="shared" si="85"/>
        <v>0</v>
      </c>
      <c r="CV109" s="301">
        <f t="shared" si="86"/>
        <v>0</v>
      </c>
      <c r="CZ109" s="301">
        <f t="shared" si="87"/>
        <v>0</v>
      </c>
      <c r="DD109" s="300">
        <f t="shared" si="115"/>
        <v>0</v>
      </c>
      <c r="DH109" s="301">
        <f t="shared" si="159"/>
        <v>0</v>
      </c>
      <c r="DL109" s="301">
        <f t="shared" si="139"/>
        <v>0</v>
      </c>
      <c r="DP109" s="301">
        <f t="shared" si="82"/>
        <v>0</v>
      </c>
      <c r="DT109" s="300">
        <f t="shared" si="89"/>
        <v>0</v>
      </c>
      <c r="DX109" s="301">
        <f t="shared" si="112"/>
        <v>0</v>
      </c>
      <c r="EB109" s="301">
        <f t="shared" si="90"/>
        <v>0</v>
      </c>
      <c r="EC109" s="338">
        <f>'[1]ЗАО Авиастар-СП'!K56</f>
        <v>18</v>
      </c>
      <c r="ED109" s="338">
        <f>'[1]ЗАО Авиастар-СП'!L56/1000</f>
        <v>6.0667200000000001</v>
      </c>
      <c r="EE109" s="338">
        <f>'[1]ЗАО Авиастар-СП'!M56/1000</f>
        <v>6.0667200000000001</v>
      </c>
      <c r="EF109" s="301">
        <f t="shared" si="91"/>
        <v>0</v>
      </c>
      <c r="EJ109" s="301">
        <f t="shared" si="92"/>
        <v>0</v>
      </c>
      <c r="EN109" s="301">
        <f t="shared" si="93"/>
        <v>0</v>
      </c>
      <c r="ER109" s="300">
        <f t="shared" si="94"/>
        <v>0</v>
      </c>
      <c r="EV109" s="300">
        <f t="shared" si="95"/>
        <v>0</v>
      </c>
      <c r="EZ109" s="301">
        <f t="shared" si="96"/>
        <v>0</v>
      </c>
      <c r="FD109" s="301">
        <f t="shared" si="97"/>
        <v>0</v>
      </c>
      <c r="FH109" s="300">
        <f t="shared" si="98"/>
        <v>0</v>
      </c>
      <c r="FL109" s="301">
        <f t="shared" si="113"/>
        <v>0</v>
      </c>
      <c r="FP109" s="301">
        <f t="shared" si="108"/>
        <v>0</v>
      </c>
      <c r="FT109" s="301">
        <f t="shared" si="99"/>
        <v>0</v>
      </c>
      <c r="FX109" s="301">
        <f t="shared" si="160"/>
        <v>0</v>
      </c>
      <c r="GB109" s="301">
        <f t="shared" si="101"/>
        <v>0</v>
      </c>
      <c r="GF109" s="301">
        <f t="shared" si="161"/>
        <v>0</v>
      </c>
      <c r="GJ109" s="301">
        <f t="shared" si="110"/>
        <v>0</v>
      </c>
      <c r="GN109" s="301">
        <f t="shared" si="103"/>
        <v>0</v>
      </c>
      <c r="GO109" s="338">
        <f>'[1]ООО УО Партнер'!K102</f>
        <v>5</v>
      </c>
      <c r="GP109" s="338">
        <f>'[1]ООО УО Партнер'!L102/1000</f>
        <v>0.56174999999999997</v>
      </c>
      <c r="GQ109" s="338">
        <f>'[1]ООО УО Партнер'!M102/1000</f>
        <v>0.56174999999999997</v>
      </c>
      <c r="GR109" s="301">
        <f t="shared" si="162"/>
        <v>0</v>
      </c>
      <c r="GV109" s="301">
        <f t="shared" si="105"/>
        <v>0</v>
      </c>
      <c r="GZ109" s="301">
        <f t="shared" si="150"/>
        <v>0</v>
      </c>
      <c r="HA109" s="386"/>
      <c r="HB109" s="386"/>
      <c r="HC109" s="387" t="s">
        <v>164</v>
      </c>
      <c r="HD109" s="387" t="s">
        <v>165</v>
      </c>
      <c r="HE109" s="387" t="s">
        <v>166</v>
      </c>
      <c r="HF109" s="387" t="s">
        <v>167</v>
      </c>
      <c r="HG109" s="387" t="s">
        <v>168</v>
      </c>
      <c r="HH109" s="387" t="s">
        <v>169</v>
      </c>
      <c r="HI109" s="387" t="s">
        <v>170</v>
      </c>
      <c r="HJ109" s="387" t="s">
        <v>171</v>
      </c>
      <c r="HK109" s="387" t="s">
        <v>172</v>
      </c>
      <c r="HL109" s="387" t="s">
        <v>173</v>
      </c>
      <c r="HM109" s="387" t="s">
        <v>174</v>
      </c>
      <c r="HN109" s="286"/>
      <c r="HO109" s="286"/>
      <c r="HP109" s="286"/>
      <c r="HQ109" s="286"/>
      <c r="HR109" s="286"/>
      <c r="HS109" s="306"/>
      <c r="HT109" s="306"/>
      <c r="HU109" s="306"/>
      <c r="HV109" s="306"/>
      <c r="HW109" s="286"/>
      <c r="HX109" s="286"/>
      <c r="HY109" s="286"/>
      <c r="HZ109" s="286"/>
      <c r="IA109" s="286"/>
      <c r="IB109" s="286"/>
      <c r="IC109" s="286"/>
      <c r="ID109" s="286"/>
      <c r="IE109" s="286"/>
      <c r="IF109" s="286"/>
      <c r="IG109" s="286"/>
      <c r="IH109" s="286"/>
      <c r="II109" s="286"/>
      <c r="IJ109" s="286"/>
      <c r="IK109" s="286"/>
      <c r="IL109" s="286"/>
      <c r="IM109" s="286"/>
      <c r="IN109" s="286"/>
      <c r="IO109" s="286"/>
      <c r="IP109" s="286"/>
      <c r="IQ109" s="286"/>
      <c r="IR109" s="286"/>
      <c r="IS109" s="286"/>
      <c r="IT109" s="286"/>
      <c r="IU109" s="286"/>
      <c r="IV109" s="286"/>
    </row>
    <row r="110" spans="1:256" s="338" customFormat="1" ht="13.5" hidden="1" customHeight="1">
      <c r="A110" s="909"/>
      <c r="B110" s="341"/>
      <c r="C110" s="380" t="s">
        <v>250</v>
      </c>
      <c r="D110" s="381" t="s">
        <v>223</v>
      </c>
      <c r="E110" s="299">
        <f t="shared" si="164"/>
        <v>14566</v>
      </c>
      <c r="F110" s="299">
        <f t="shared" si="164"/>
        <v>1388.8376659999999</v>
      </c>
      <c r="G110" s="299">
        <f t="shared" si="164"/>
        <v>1388.8376659999999</v>
      </c>
      <c r="H110" s="299">
        <f t="shared" si="164"/>
        <v>0</v>
      </c>
      <c r="L110" s="301">
        <f t="shared" si="146"/>
        <v>0</v>
      </c>
      <c r="N110" s="338">
        <f>M110*1*85.76/1000</f>
        <v>0</v>
      </c>
      <c r="O110" s="338">
        <f>N110</f>
        <v>0</v>
      </c>
      <c r="P110" s="301">
        <f t="shared" si="126"/>
        <v>0</v>
      </c>
      <c r="T110" s="301">
        <f t="shared" si="148"/>
        <v>0</v>
      </c>
      <c r="V110" s="338">
        <f>U110*1*85.76/1000</f>
        <v>0</v>
      </c>
      <c r="W110" s="338">
        <f>V110</f>
        <v>0</v>
      </c>
      <c r="X110" s="301">
        <f t="shared" si="154"/>
        <v>0</v>
      </c>
      <c r="Y110" s="338">
        <v>0</v>
      </c>
      <c r="Z110" s="338">
        <v>0</v>
      </c>
      <c r="AA110" s="338">
        <v>0</v>
      </c>
      <c r="AB110" s="301">
        <f t="shared" si="127"/>
        <v>0</v>
      </c>
      <c r="AC110" s="338">
        <f>168+10418</f>
        <v>10586</v>
      </c>
      <c r="AD110" s="338">
        <f>AC110*1.1*85.76/1000</f>
        <v>998.64089600000011</v>
      </c>
      <c r="AE110" s="338">
        <f>AD110</f>
        <v>998.64089600000011</v>
      </c>
      <c r="AF110" s="300">
        <f t="shared" si="152"/>
        <v>0</v>
      </c>
      <c r="AG110" s="338">
        <v>1796</v>
      </c>
      <c r="AH110" s="338">
        <f>AG110*1.12*85.76/1000</f>
        <v>172.50795520000003</v>
      </c>
      <c r="AI110" s="338">
        <f>AH110</f>
        <v>172.50795520000003</v>
      </c>
      <c r="AJ110" s="300">
        <f t="shared" si="128"/>
        <v>0</v>
      </c>
      <c r="AN110" s="301">
        <f t="shared" si="129"/>
        <v>0</v>
      </c>
      <c r="AR110" s="300">
        <f t="shared" si="120"/>
        <v>0</v>
      </c>
      <c r="AV110" s="301">
        <f t="shared" si="130"/>
        <v>0</v>
      </c>
      <c r="AW110" s="338">
        <v>1763</v>
      </c>
      <c r="AX110" s="338">
        <f>AW110*1.06*91.74/1000</f>
        <v>171.44187720000002</v>
      </c>
      <c r="AY110" s="338">
        <f>AX110</f>
        <v>171.44187720000002</v>
      </c>
      <c r="AZ110" s="301">
        <f t="shared" si="131"/>
        <v>0</v>
      </c>
      <c r="BD110" s="301">
        <f t="shared" si="132"/>
        <v>0</v>
      </c>
      <c r="BH110" s="301">
        <f t="shared" si="149"/>
        <v>0</v>
      </c>
      <c r="BL110" s="301">
        <f t="shared" si="133"/>
        <v>0</v>
      </c>
      <c r="BP110" s="301">
        <f t="shared" si="134"/>
        <v>0</v>
      </c>
      <c r="BT110" s="301">
        <f t="shared" si="135"/>
        <v>0</v>
      </c>
      <c r="BX110" s="301">
        <f t="shared" si="137"/>
        <v>0</v>
      </c>
      <c r="CB110" s="301">
        <f t="shared" si="138"/>
        <v>0</v>
      </c>
      <c r="CC110" s="338">
        <v>162</v>
      </c>
      <c r="CD110" s="338">
        <f>CC110*1.73*85.76/1000</f>
        <v>24.0350976</v>
      </c>
      <c r="CE110" s="338">
        <f>CD110</f>
        <v>24.0350976</v>
      </c>
      <c r="CF110" s="300">
        <f t="shared" si="107"/>
        <v>0</v>
      </c>
      <c r="CG110" s="338">
        <v>0</v>
      </c>
      <c r="CH110" s="338">
        <v>0</v>
      </c>
      <c r="CI110" s="338">
        <v>0</v>
      </c>
      <c r="CJ110" s="301">
        <f t="shared" si="122"/>
        <v>0</v>
      </c>
      <c r="CN110" s="301">
        <f t="shared" si="84"/>
        <v>0</v>
      </c>
      <c r="CR110" s="301">
        <f t="shared" si="85"/>
        <v>0</v>
      </c>
      <c r="CV110" s="301">
        <f t="shared" si="86"/>
        <v>0</v>
      </c>
      <c r="CZ110" s="301">
        <f t="shared" si="87"/>
        <v>0</v>
      </c>
      <c r="DD110" s="300">
        <f t="shared" si="115"/>
        <v>0</v>
      </c>
      <c r="DH110" s="301">
        <f t="shared" si="159"/>
        <v>0</v>
      </c>
      <c r="DL110" s="301">
        <f t="shared" si="139"/>
        <v>0</v>
      </c>
      <c r="DP110" s="301">
        <f t="shared" si="82"/>
        <v>0</v>
      </c>
      <c r="DT110" s="300">
        <f t="shared" si="89"/>
        <v>0</v>
      </c>
      <c r="DX110" s="301">
        <f t="shared" si="112"/>
        <v>0</v>
      </c>
      <c r="EB110" s="301">
        <f t="shared" si="90"/>
        <v>0</v>
      </c>
      <c r="EC110" s="338">
        <v>259</v>
      </c>
      <c r="ED110" s="338">
        <f>EC110*1*85.76/1000</f>
        <v>22.211839999999999</v>
      </c>
      <c r="EE110" s="338">
        <f>ED110</f>
        <v>22.211839999999999</v>
      </c>
      <c r="EF110" s="301">
        <f t="shared" si="91"/>
        <v>0</v>
      </c>
      <c r="EJ110" s="301">
        <f t="shared" si="92"/>
        <v>0</v>
      </c>
      <c r="EN110" s="301">
        <f t="shared" si="93"/>
        <v>0</v>
      </c>
      <c r="ER110" s="300">
        <f t="shared" si="94"/>
        <v>0</v>
      </c>
      <c r="EV110" s="300">
        <f t="shared" si="95"/>
        <v>0</v>
      </c>
      <c r="EZ110" s="301">
        <f t="shared" si="96"/>
        <v>0</v>
      </c>
      <c r="FD110" s="301">
        <f t="shared" si="97"/>
        <v>0</v>
      </c>
      <c r="FH110" s="300">
        <f t="shared" si="98"/>
        <v>0</v>
      </c>
      <c r="FL110" s="301">
        <f t="shared" si="113"/>
        <v>0</v>
      </c>
      <c r="FP110" s="301">
        <f t="shared" si="108"/>
        <v>0</v>
      </c>
      <c r="FT110" s="301">
        <f t="shared" si="99"/>
        <v>0</v>
      </c>
      <c r="FX110" s="301">
        <f t="shared" si="160"/>
        <v>0</v>
      </c>
      <c r="GB110" s="301">
        <f t="shared" si="101"/>
        <v>0</v>
      </c>
      <c r="GF110" s="301">
        <f t="shared" si="161"/>
        <v>0</v>
      </c>
      <c r="GJ110" s="301">
        <f t="shared" si="110"/>
        <v>0</v>
      </c>
      <c r="GN110" s="301">
        <f t="shared" si="103"/>
        <v>0</v>
      </c>
      <c r="GR110" s="301">
        <f t="shared" si="162"/>
        <v>0</v>
      </c>
      <c r="GV110" s="301">
        <f t="shared" si="105"/>
        <v>0</v>
      </c>
      <c r="GZ110" s="301">
        <f t="shared" si="150"/>
        <v>0</v>
      </c>
      <c r="HA110" s="397" t="s">
        <v>176</v>
      </c>
      <c r="HB110" s="390" t="s">
        <v>245</v>
      </c>
      <c r="HC110" s="406">
        <f>SUM(HC111:HC112)</f>
        <v>6008.0446455999991</v>
      </c>
      <c r="HD110" s="406">
        <f t="shared" ref="HD110:HK110" si="165">SUM(HD111:HD112)</f>
        <v>7163.4122900000002</v>
      </c>
      <c r="HE110" s="406">
        <f t="shared" si="165"/>
        <v>455.30731150000003</v>
      </c>
      <c r="HF110" s="406">
        <f t="shared" si="165"/>
        <v>6990.751203400001</v>
      </c>
      <c r="HG110" s="406">
        <f t="shared" si="165"/>
        <v>13316.272628000002</v>
      </c>
      <c r="HH110" s="406">
        <f t="shared" si="165"/>
        <v>4837.384481000001</v>
      </c>
      <c r="HI110" s="406">
        <f t="shared" si="165"/>
        <v>1782.8568576</v>
      </c>
      <c r="HJ110" s="406">
        <f t="shared" si="165"/>
        <v>8977.4071774000004</v>
      </c>
      <c r="HK110" s="406" t="e">
        <f t="shared" si="165"/>
        <v>#REF!</v>
      </c>
      <c r="HL110" s="406">
        <f>SUM(HL111:HL112)</f>
        <v>13.22748</v>
      </c>
      <c r="HM110" s="406">
        <f>SUM(HM111:HM112)</f>
        <v>113.83581000000001</v>
      </c>
      <c r="HN110" s="393" t="e">
        <f>SUM(HC110:HM110)</f>
        <v>#REF!</v>
      </c>
      <c r="HO110" s="286"/>
      <c r="HP110" s="286"/>
      <c r="HQ110" s="286"/>
      <c r="HR110" s="286"/>
      <c r="HS110" s="306"/>
      <c r="HT110" s="306"/>
      <c r="HU110" s="306"/>
      <c r="HV110" s="306"/>
      <c r="HW110" s="286"/>
      <c r="HX110" s="286"/>
      <c r="HY110" s="286"/>
      <c r="HZ110" s="286"/>
      <c r="IA110" s="286"/>
      <c r="IB110" s="286"/>
      <c r="IC110" s="286"/>
      <c r="ID110" s="286"/>
      <c r="IE110" s="286"/>
      <c r="IF110" s="286"/>
      <c r="IG110" s="286"/>
      <c r="IH110" s="286"/>
      <c r="II110" s="286"/>
      <c r="IJ110" s="286"/>
      <c r="IK110" s="286"/>
      <c r="IL110" s="286"/>
      <c r="IM110" s="286"/>
      <c r="IN110" s="286"/>
      <c r="IO110" s="286"/>
      <c r="IP110" s="286"/>
      <c r="IQ110" s="286"/>
      <c r="IR110" s="286"/>
      <c r="IS110" s="286"/>
      <c r="IT110" s="286"/>
      <c r="IU110" s="286"/>
      <c r="IV110" s="286"/>
    </row>
    <row r="111" spans="1:256" s="301" customFormat="1" ht="13.5" hidden="1" customHeight="1">
      <c r="A111" s="909"/>
      <c r="B111" s="415"/>
      <c r="C111" s="382" t="s">
        <v>235</v>
      </c>
      <c r="D111" s="416" t="s">
        <v>223</v>
      </c>
      <c r="E111" s="301">
        <f>SUM(E112:E113)</f>
        <v>267051</v>
      </c>
      <c r="F111" s="301">
        <f>SUM(F112:F113)</f>
        <v>40291.605325700002</v>
      </c>
      <c r="G111" s="301">
        <f>SUM(G112:G113)</f>
        <v>40291.605325700002</v>
      </c>
      <c r="H111" s="301">
        <f>SUM(H112:H113)</f>
        <v>0</v>
      </c>
      <c r="I111" s="301">
        <f>I112+I113</f>
        <v>2755</v>
      </c>
      <c r="J111" s="301">
        <f>J112+J113</f>
        <v>480.76424000000003</v>
      </c>
      <c r="K111" s="301">
        <f>K112+K113</f>
        <v>480.76424000000003</v>
      </c>
      <c r="L111" s="301">
        <f t="shared" si="146"/>
        <v>0</v>
      </c>
      <c r="M111" s="301">
        <f>SUM(M112:M113)</f>
        <v>174</v>
      </c>
      <c r="N111" s="301">
        <f>SUM(N112:N113)</f>
        <v>13.22748</v>
      </c>
      <c r="O111" s="301">
        <f>SUM(O112:O113)</f>
        <v>13.22748</v>
      </c>
      <c r="P111" s="301">
        <f t="shared" si="126"/>
        <v>0</v>
      </c>
      <c r="Q111" s="301">
        <f>Q112+Q113</f>
        <v>44864</v>
      </c>
      <c r="R111" s="301">
        <f>R112+R113</f>
        <v>7163.4122900000002</v>
      </c>
      <c r="S111" s="301">
        <f>S112+S113</f>
        <v>7163.4122900000002</v>
      </c>
      <c r="T111" s="301">
        <f t="shared" si="148"/>
        <v>0</v>
      </c>
      <c r="U111" s="301">
        <f>SUM(U112:U113)</f>
        <v>2394</v>
      </c>
      <c r="V111" s="301">
        <f>SUM(V112:V113)</f>
        <v>385.82940000000002</v>
      </c>
      <c r="W111" s="301">
        <f>SUM(W112:W113)</f>
        <v>385.82940000000002</v>
      </c>
      <c r="X111" s="301">
        <f t="shared" si="154"/>
        <v>0</v>
      </c>
      <c r="Y111" s="301">
        <f>SUM(Y112:Y113)</f>
        <v>22029</v>
      </c>
      <c r="Z111" s="301">
        <f>SUM(Z112:Z113)</f>
        <v>2710.3402800000003</v>
      </c>
      <c r="AA111" s="301">
        <f>SUM(AA112:AA113)</f>
        <v>2710.3402800000003</v>
      </c>
      <c r="AB111" s="301">
        <f t="shared" si="127"/>
        <v>0</v>
      </c>
      <c r="AF111" s="300">
        <f t="shared" si="152"/>
        <v>0</v>
      </c>
      <c r="AJ111" s="300">
        <f t="shared" si="128"/>
        <v>0</v>
      </c>
      <c r="AK111" s="301">
        <f>AK112+AK113</f>
        <v>22030</v>
      </c>
      <c r="AL111" s="301">
        <f>AL112+AL113</f>
        <v>2365.5077680000004</v>
      </c>
      <c r="AM111" s="301">
        <f>AM112+AM113</f>
        <v>2365.5077680000004</v>
      </c>
      <c r="AN111" s="301">
        <f t="shared" si="129"/>
        <v>0</v>
      </c>
      <c r="AO111" s="301">
        <f>SUM(AO112:AO113)</f>
        <v>53831</v>
      </c>
      <c r="AP111" s="301">
        <f>SUM(AP112:AP113)</f>
        <v>8914.8769024000012</v>
      </c>
      <c r="AQ111" s="301">
        <f>SUM(AQ112:AQ113)</f>
        <v>8914.8769024000012</v>
      </c>
      <c r="AR111" s="300">
        <f t="shared" si="120"/>
        <v>0</v>
      </c>
      <c r="AS111" s="301">
        <f>AS112+AS113</f>
        <v>10832</v>
      </c>
      <c r="AT111" s="301">
        <f>AT112+AT113</f>
        <v>1782.8568576</v>
      </c>
      <c r="AU111" s="301">
        <f>AU112+AU113</f>
        <v>1782.8568576</v>
      </c>
      <c r="AV111" s="301">
        <f t="shared" si="130"/>
        <v>0</v>
      </c>
      <c r="AZ111" s="301">
        <f t="shared" si="131"/>
        <v>0</v>
      </c>
      <c r="BA111" s="301">
        <f>BA112+BA113</f>
        <v>815</v>
      </c>
      <c r="BB111" s="301">
        <f>BB112+BB113</f>
        <v>95.152010000000004</v>
      </c>
      <c r="BC111" s="301">
        <f>BC112+BC113</f>
        <v>95.152010000000004</v>
      </c>
      <c r="BD111" s="301">
        <f t="shared" si="132"/>
        <v>0</v>
      </c>
      <c r="BE111" s="301">
        <f>SUM(BE112:BE113)</f>
        <v>569</v>
      </c>
      <c r="BF111" s="301">
        <f>SUM(BF112:BF113)</f>
        <v>62.617289999999997</v>
      </c>
      <c r="BG111" s="301">
        <f>SUM(BG112:BG113)</f>
        <v>62.617289999999997</v>
      </c>
      <c r="BH111" s="301">
        <f t="shared" si="149"/>
        <v>0</v>
      </c>
      <c r="BL111" s="301">
        <f t="shared" si="133"/>
        <v>0</v>
      </c>
      <c r="BM111" s="301">
        <f>SUM(BM112:BM113)</f>
        <v>575</v>
      </c>
      <c r="BN111" s="301">
        <f>SUM(BN112:BN113)</f>
        <v>145.34118239999998</v>
      </c>
      <c r="BO111" s="301">
        <f>SUM(BO112:BO113)</f>
        <v>145.34118239999998</v>
      </c>
      <c r="BP111" s="301">
        <f t="shared" si="134"/>
        <v>0</v>
      </c>
      <c r="BQ111" s="301">
        <f>SUM(BQ112:BQ113)</f>
        <v>2352</v>
      </c>
      <c r="BR111" s="301">
        <f>SUM(BR112:BR113)</f>
        <v>360.27915150000001</v>
      </c>
      <c r="BS111" s="301">
        <f>SUM(BS112:BS113)</f>
        <v>360.27915150000001</v>
      </c>
      <c r="BT111" s="301">
        <f t="shared" si="135"/>
        <v>0</v>
      </c>
      <c r="BU111" s="301">
        <f>SUM(BU112:BU113)</f>
        <v>10713</v>
      </c>
      <c r="BV111" s="301">
        <f>SUM(BV112:BV113)</f>
        <v>2332.2585999999997</v>
      </c>
      <c r="BW111" s="301">
        <f>SUM(BW112:BW113)</f>
        <v>2332.2585999999997</v>
      </c>
      <c r="BX111" s="301">
        <f t="shared" si="137"/>
        <v>0</v>
      </c>
      <c r="BY111" s="301">
        <f>SUM(BY112:BY113)</f>
        <v>9751</v>
      </c>
      <c r="BZ111" s="301">
        <f>SUM(BZ112:BZ113)</f>
        <v>1895.9419399999999</v>
      </c>
      <c r="CA111" s="301">
        <f>SUM(CA112:CA113)</f>
        <v>1895.9419399999999</v>
      </c>
      <c r="CB111" s="301">
        <f t="shared" si="138"/>
        <v>0</v>
      </c>
      <c r="CF111" s="300">
        <f t="shared" si="107"/>
        <v>0</v>
      </c>
      <c r="CG111" s="301">
        <f>CG112+CG113</f>
        <v>57869</v>
      </c>
      <c r="CH111" s="301">
        <f>CH112+CH113</f>
        <v>6906.2959580000006</v>
      </c>
      <c r="CI111" s="301">
        <f>CI112+CI113</f>
        <v>6906.2959580000006</v>
      </c>
      <c r="CJ111" s="301">
        <f t="shared" si="122"/>
        <v>0</v>
      </c>
      <c r="CK111" s="301">
        <f>SUM(CK112:CK113)</f>
        <v>2003</v>
      </c>
      <c r="CL111" s="301">
        <f>SUM(CL112:CL113)</f>
        <v>425.32925</v>
      </c>
      <c r="CM111" s="301">
        <f>SUM(CM112:CM113)</f>
        <v>425.32925</v>
      </c>
      <c r="CN111" s="301">
        <f t="shared" si="84"/>
        <v>0</v>
      </c>
      <c r="CR111" s="301">
        <f t="shared" si="85"/>
        <v>0</v>
      </c>
      <c r="CV111" s="301">
        <f t="shared" si="86"/>
        <v>0</v>
      </c>
      <c r="CZ111" s="301">
        <f t="shared" si="87"/>
        <v>0</v>
      </c>
      <c r="DA111" s="301">
        <f>SUM(DA112:DA113)</f>
        <v>992</v>
      </c>
      <c r="DB111" s="301">
        <f>SUM(DB112:DB113)</f>
        <v>124.38976699999999</v>
      </c>
      <c r="DC111" s="301">
        <f>SUM(DC112:DC113)</f>
        <v>124.38976699999999</v>
      </c>
      <c r="DD111" s="300">
        <f t="shared" si="115"/>
        <v>0</v>
      </c>
      <c r="DE111" s="301">
        <f>SUM(DE112:DE113)</f>
        <v>1195</v>
      </c>
      <c r="DF111" s="301">
        <f>SUM(DF112:DF113)</f>
        <v>240.0148432</v>
      </c>
      <c r="DG111" s="301">
        <f>SUM(DG112:DG113)</f>
        <v>240.0148432</v>
      </c>
      <c r="DH111" s="301">
        <f t="shared" si="159"/>
        <v>0</v>
      </c>
      <c r="DL111" s="301">
        <f t="shared" si="139"/>
        <v>0</v>
      </c>
      <c r="DM111" s="301">
        <f>DM112+DM113</f>
        <v>13065</v>
      </c>
      <c r="DN111" s="301">
        <f>DN112+DN113</f>
        <v>2425.14383</v>
      </c>
      <c r="DO111" s="301">
        <f>DO112+DO113</f>
        <v>2425.14383</v>
      </c>
      <c r="DP111" s="301">
        <f t="shared" si="82"/>
        <v>0</v>
      </c>
      <c r="DT111" s="300">
        <f t="shared" si="89"/>
        <v>0</v>
      </c>
      <c r="DU111" s="301">
        <f>SUM(DU112:DU113)</f>
        <v>2688</v>
      </c>
      <c r="DV111" s="301">
        <f>SUM(DV112:DV113)</f>
        <v>525.50826600000005</v>
      </c>
      <c r="DW111" s="301">
        <f>SUM(DW112:DW113)</f>
        <v>525.50826600000005</v>
      </c>
      <c r="DX111" s="301">
        <f t="shared" si="112"/>
        <v>0</v>
      </c>
      <c r="DY111" s="301">
        <f>DY112+DY113</f>
        <v>566</v>
      </c>
      <c r="DZ111" s="301">
        <f>DZ112+DZ113</f>
        <v>67.391012000000003</v>
      </c>
      <c r="EA111" s="301">
        <f>EA112+EA113</f>
        <v>67.391012000000003</v>
      </c>
      <c r="EB111" s="301">
        <f t="shared" si="90"/>
        <v>0</v>
      </c>
      <c r="EF111" s="301">
        <f t="shared" si="91"/>
        <v>0</v>
      </c>
      <c r="EG111" s="301">
        <f>EG112+EG113</f>
        <v>2073</v>
      </c>
      <c r="EH111" s="301">
        <f>EH112+EH113</f>
        <v>445.82635400000004</v>
      </c>
      <c r="EI111" s="301">
        <f>EI112+EI113</f>
        <v>445.82635400000004</v>
      </c>
      <c r="EJ111" s="301">
        <f t="shared" si="92"/>
        <v>0</v>
      </c>
      <c r="EN111" s="301">
        <f t="shared" si="93"/>
        <v>0</v>
      </c>
      <c r="EO111" s="301">
        <f>SUM(EO112:EO113)</f>
        <v>417</v>
      </c>
      <c r="EP111" s="301">
        <f>SUM(EP112:EP113)</f>
        <v>88.776161599999995</v>
      </c>
      <c r="EQ111" s="301">
        <f>SUM(EQ112:EQ113)</f>
        <v>88.776161599999995</v>
      </c>
      <c r="ER111" s="300">
        <f t="shared" si="94"/>
        <v>0</v>
      </c>
      <c r="EV111" s="300">
        <f t="shared" si="95"/>
        <v>0</v>
      </c>
      <c r="EZ111" s="301">
        <f t="shared" si="96"/>
        <v>0</v>
      </c>
      <c r="FA111" s="301">
        <f>SUM(FA112:FA113)</f>
        <v>791</v>
      </c>
      <c r="FB111" s="301">
        <f>SUM(FB112:FB113)</f>
        <v>140.95958999999999</v>
      </c>
      <c r="FC111" s="301">
        <f>SUM(FC112:FC113)</f>
        <v>140.95958999999999</v>
      </c>
      <c r="FD111" s="301">
        <f t="shared" si="97"/>
        <v>0</v>
      </c>
      <c r="FH111" s="300">
        <f t="shared" si="98"/>
        <v>0</v>
      </c>
      <c r="FL111" s="301">
        <f t="shared" si="113"/>
        <v>0</v>
      </c>
      <c r="FM111" s="301">
        <f>SUM(FM112:FM113)</f>
        <v>0</v>
      </c>
      <c r="FN111" s="301">
        <f>SUM(FN112:FN113)</f>
        <v>0</v>
      </c>
      <c r="FO111" s="301">
        <f>SUM(FO112:FO113)</f>
        <v>0</v>
      </c>
      <c r="FP111" s="301">
        <f t="shared" si="108"/>
        <v>0</v>
      </c>
      <c r="FQ111" s="301">
        <f>FQ112+FQ113</f>
        <v>53</v>
      </c>
      <c r="FR111" s="301">
        <f>FR112+FR113</f>
        <v>13.284030000000001</v>
      </c>
      <c r="FS111" s="301">
        <f>FS112+FS113</f>
        <v>13.284030000000001</v>
      </c>
      <c r="FT111" s="301">
        <f t="shared" si="99"/>
        <v>0</v>
      </c>
      <c r="FU111" s="301">
        <f>SUM(FU112:FU113)</f>
        <v>1157</v>
      </c>
      <c r="FV111" s="301">
        <f>SUM(FV112:FV113)</f>
        <v>86.902410000000003</v>
      </c>
      <c r="FW111" s="301">
        <f>SUM(FW112:FW113)</f>
        <v>86.902410000000003</v>
      </c>
      <c r="FX111" s="301">
        <f t="shared" si="160"/>
        <v>0</v>
      </c>
      <c r="GB111" s="301">
        <f t="shared" si="101"/>
        <v>0</v>
      </c>
      <c r="GC111" s="301">
        <f>SUM(GC112:GC113)</f>
        <v>373</v>
      </c>
      <c r="GD111" s="301">
        <f>SUM(GD112:GD113)</f>
        <v>76.976141999999996</v>
      </c>
      <c r="GE111" s="301">
        <f>SUM(GE112:GE113)</f>
        <v>76.976141999999996</v>
      </c>
      <c r="GF111" s="301">
        <f t="shared" si="161"/>
        <v>0</v>
      </c>
      <c r="GJ111" s="301">
        <f t="shared" si="110"/>
        <v>0</v>
      </c>
      <c r="GN111" s="301">
        <f t="shared" si="103"/>
        <v>0</v>
      </c>
      <c r="GO111" s="301">
        <f>SUM(GO112:GO113)</f>
        <v>44</v>
      </c>
      <c r="GP111" s="301">
        <f>SUM(GP112:GP113)</f>
        <v>9.4557599999999997</v>
      </c>
      <c r="GQ111" s="301">
        <f>SUM(GQ112:GQ113)</f>
        <v>9.4557599999999997</v>
      </c>
      <c r="GR111" s="301">
        <f t="shared" si="162"/>
        <v>0</v>
      </c>
      <c r="GS111" s="301">
        <f>SUM(GS112:GS113)</f>
        <v>81</v>
      </c>
      <c r="GT111" s="301">
        <f>SUM(GT112:GT113)</f>
        <v>6.9465600000000007</v>
      </c>
      <c r="GU111" s="301">
        <f>SUM(GU112:GU113)</f>
        <v>6.9465600000000007</v>
      </c>
      <c r="GV111" s="301">
        <f t="shared" si="105"/>
        <v>0</v>
      </c>
      <c r="GZ111" s="301">
        <f t="shared" si="150"/>
        <v>0</v>
      </c>
      <c r="HA111" s="398"/>
      <c r="HB111" s="398" t="s">
        <v>247</v>
      </c>
      <c r="HC111" s="426">
        <f>SUM(BV100,CL100,EH100,EL100,EP100,ET100,FB100,FF100,FN100,FR100,GD100,GH100,GL100)</f>
        <v>4481.0961799999995</v>
      </c>
      <c r="HD111" s="426">
        <f>SUM(R100)</f>
        <v>5348.2067300000008</v>
      </c>
      <c r="HE111" s="399">
        <f>SUM(BR100,FZ100,GP100)</f>
        <v>410.50924000000003</v>
      </c>
      <c r="HF111" s="399">
        <f>SUM(V100,AD100,BJ100,BN100,FJ100)</f>
        <v>4069.7235799999999</v>
      </c>
      <c r="HG111" s="399">
        <f>SUM(J100,Z100,AH100,AL100,AX100,BB100,BF100,CD100,CH100,DZ100,ED100,GT100)</f>
        <v>6293.4599100000005</v>
      </c>
      <c r="HH111" s="399">
        <f>SUM(BZ100,DJ100)</f>
        <v>3375.8344410000004</v>
      </c>
      <c r="HI111" s="399">
        <f>SUM(AT100)</f>
        <v>947.13306239999997</v>
      </c>
      <c r="HJ111" s="399">
        <f>AP100</f>
        <v>5716.043920000001</v>
      </c>
      <c r="HK111" s="399" t="e">
        <f>SUM(DF100,DB100,CX100,CT100,CP100,DN100,DR100,DV100,EX100)</f>
        <v>#REF!</v>
      </c>
      <c r="HL111" s="399">
        <f>N100</f>
        <v>0</v>
      </c>
      <c r="HM111" s="399">
        <f>FV100</f>
        <v>7.9404599999999999</v>
      </c>
      <c r="HN111" s="393"/>
      <c r="HO111" s="305"/>
      <c r="HP111" s="306"/>
      <c r="HQ111" s="305"/>
      <c r="HR111" s="305"/>
      <c r="HS111" s="306"/>
      <c r="HT111" s="306"/>
      <c r="HU111" s="306"/>
      <c r="HV111" s="306"/>
      <c r="HW111" s="305"/>
      <c r="HX111" s="305"/>
      <c r="HY111" s="305"/>
      <c r="HZ111" s="305"/>
      <c r="IA111" s="305"/>
      <c r="IB111" s="305"/>
      <c r="IC111" s="305"/>
      <c r="ID111" s="305"/>
      <c r="IE111" s="305"/>
      <c r="IF111" s="305"/>
      <c r="IG111" s="305"/>
      <c r="IH111" s="305"/>
      <c r="II111" s="305"/>
      <c r="IJ111" s="305"/>
      <c r="IK111" s="305"/>
      <c r="IL111" s="305"/>
      <c r="IM111" s="305"/>
      <c r="IN111" s="305"/>
      <c r="IO111" s="305"/>
      <c r="IP111" s="305"/>
      <c r="IQ111" s="305"/>
      <c r="IR111" s="305"/>
      <c r="IS111" s="305"/>
      <c r="IT111" s="305"/>
      <c r="IU111" s="305"/>
      <c r="IV111" s="305"/>
    </row>
    <row r="112" spans="1:256" s="338" customFormat="1" ht="13.5" hidden="1" customHeight="1">
      <c r="A112" s="909"/>
      <c r="B112" s="341"/>
      <c r="C112" s="380" t="s">
        <v>248</v>
      </c>
      <c r="D112" s="381" t="s">
        <v>223</v>
      </c>
      <c r="E112" s="299">
        <f t="shared" ref="E112:H113" si="166">I112+M112+Q112+U112+Y112+AC112+AG112+AK112+AO112+AS112+AW112+BA112+BE112+BI112+BM112+BQ112+BU112+BY112+CC112+CG112+CK112+CO112+CS112+CW112+DA112+DE112+DI112+DM112+DQ112+DU112+DY112+EC112+EG112+EK112+EO112+ES112+EW112+FA112+FE112+FI112+FM112+FQ112+FU112+FY112+GC112+GK112+GG112+GO112+GS112+GW112</f>
        <v>79096</v>
      </c>
      <c r="F112" s="299">
        <f t="shared" si="166"/>
        <v>25049.314762400001</v>
      </c>
      <c r="G112" s="299">
        <f t="shared" si="166"/>
        <v>25049.314762400001</v>
      </c>
      <c r="H112" s="299">
        <f t="shared" si="166"/>
        <v>0</v>
      </c>
      <c r="I112" s="338">
        <f>'[1]ГК РЭС'!K68</f>
        <v>973</v>
      </c>
      <c r="J112" s="338">
        <f>'[1]ГК РЭС'!L68/1000</f>
        <v>327.93992000000003</v>
      </c>
      <c r="K112" s="338">
        <f>'[1]ГК РЭС'!M68/1000</f>
        <v>327.93992000000003</v>
      </c>
      <c r="L112" s="301">
        <f t="shared" si="146"/>
        <v>0</v>
      </c>
      <c r="M112" s="338">
        <f>('[1]УМУП УК ЖКХ г.Ульяновска'!K162+'[1]УМУП УК ЖКХ г.Ульяновска'!K167+'[1]УМУП УК ЖКХ г.Ульяновска'!K172+'[1]УМУП УК ЖКХ г.Ульяновска'!K177+'[1]УМУП УК ЖКХ г.Ульяновска'!K182)</f>
        <v>0</v>
      </c>
      <c r="N112" s="338">
        <f>('[1]УМУП УК ЖКХ г.Ульяновска'!L162+'[1]УМУП УК ЖКХ г.Ульяновска'!L167+'[1]УМУП УК ЖКХ г.Ульяновска'!L172+'[1]УМУП УК ЖКХ г.Ульяновска'!L177+'[1]УМУП УК ЖКХ г.Ульяновска'!L182)/1000</f>
        <v>0</v>
      </c>
      <c r="O112" s="338">
        <f>('[1]УМУП УК ЖКХ г.Ульяновска'!M162+'[1]УМУП УК ЖКХ г.Ульяновска'!M167+'[1]УМУП УК ЖКХ г.Ульяновска'!M172+'[1]УМУП УК ЖКХ г.Ульяновска'!M177+'[1]УМУП УК ЖКХ г.Ульяновска'!M182)/1000</f>
        <v>0</v>
      </c>
      <c r="P112" s="301">
        <f t="shared" si="126"/>
        <v>0</v>
      </c>
      <c r="Q112" s="338">
        <f>'[1]ОАО ДК Засвияжье 1'!K203</f>
        <v>20986</v>
      </c>
      <c r="R112" s="338">
        <f>'[1]ОАО ДК Засвияжье 1'!L203/1000</f>
        <v>5348.2067300000008</v>
      </c>
      <c r="S112" s="338">
        <f>'[1]ОАО ДК Засвияжье 1'!M203/1000</f>
        <v>5348.2067300000008</v>
      </c>
      <c r="T112" s="301">
        <f t="shared" si="148"/>
        <v>0</v>
      </c>
      <c r="U112" s="338">
        <f>'[1]ОАО ДК Заволж р-на'!K331</f>
        <v>696</v>
      </c>
      <c r="V112" s="338">
        <f>'[1]ОАО ДК Заволж р-на'!L331/1000</f>
        <v>229.88508000000002</v>
      </c>
      <c r="W112" s="338">
        <f>'[1]ОАО ДК Заволж р-на'!M331/1000</f>
        <v>229.88508000000002</v>
      </c>
      <c r="X112" s="301">
        <f t="shared" si="154"/>
        <v>0</v>
      </c>
      <c r="Y112" s="338">
        <f>'[1]ООО ЖСС'!K110</f>
        <v>3008</v>
      </c>
      <c r="Z112" s="338">
        <f>'[1]ООО ЖСС'!L110/1000</f>
        <v>1079.09932</v>
      </c>
      <c r="AA112" s="338">
        <f>'[1]ООО ЖСС'!M110/1000</f>
        <v>1079.09932</v>
      </c>
      <c r="AB112" s="301">
        <f t="shared" si="127"/>
        <v>0</v>
      </c>
      <c r="AF112" s="300">
        <f t="shared" si="152"/>
        <v>0</v>
      </c>
      <c r="AJ112" s="300">
        <f t="shared" si="128"/>
        <v>0</v>
      </c>
      <c r="AK112" s="338">
        <f>'[1]ООО РЭС'!K118</f>
        <v>4322</v>
      </c>
      <c r="AL112" s="338">
        <f>'[1]ООО РЭС'!L118/1000</f>
        <v>1454.3249200000002</v>
      </c>
      <c r="AM112" s="338">
        <f>'[1]ООО РЭС'!M118/1000</f>
        <v>1454.3249200000002</v>
      </c>
      <c r="AN112" s="301">
        <f t="shared" si="129"/>
        <v>0</v>
      </c>
      <c r="AO112" s="338">
        <f>'[1]ЗАО ГК Аметист'!K307</f>
        <v>16063</v>
      </c>
      <c r="AP112" s="338">
        <f>'[1]ЗАО ГК Аметист'!L307/1000</f>
        <v>5670.9154000000008</v>
      </c>
      <c r="AQ112" s="338">
        <f>'[1]ЗАО ГК Аметист'!M307/1000</f>
        <v>5670.9154000000008</v>
      </c>
      <c r="AR112" s="300">
        <f t="shared" si="120"/>
        <v>0</v>
      </c>
      <c r="AS112" s="338">
        <f>'[1]Фундамент СК ООО'!K113</f>
        <v>2634</v>
      </c>
      <c r="AT112" s="338">
        <f>'[1]Фундамент СК ООО'!L113/1000</f>
        <v>947.13306239999997</v>
      </c>
      <c r="AU112" s="338">
        <f>'[1]Фундамент СК ООО'!M113/1000</f>
        <v>947.13306239999997</v>
      </c>
      <c r="AV112" s="301">
        <f t="shared" si="130"/>
        <v>0</v>
      </c>
      <c r="AZ112" s="301">
        <f t="shared" si="131"/>
        <v>0</v>
      </c>
      <c r="BA112" s="338">
        <f>'[1]ДоМ ТСЖ'!K55</f>
        <v>85</v>
      </c>
      <c r="BB112" s="338">
        <f>'[1]ДоМ ТСЖ'!L55/1000</f>
        <v>28.647549999999999</v>
      </c>
      <c r="BC112" s="338">
        <f>'[1]ДоМ ТСЖ'!M55/1000</f>
        <v>28.647549999999999</v>
      </c>
      <c r="BD112" s="301">
        <f t="shared" si="132"/>
        <v>0</v>
      </c>
      <c r="BE112" s="338">
        <f>'[1]ООО ТехноГрад'!K55</f>
        <v>55</v>
      </c>
      <c r="BF112" s="338">
        <f>'[1]ООО ТехноГрад'!L55/1000</f>
        <v>18.536649999999998</v>
      </c>
      <c r="BG112" s="338">
        <f>'[1]ООО ТехноГрад'!M55/1000</f>
        <v>18.536649999999998</v>
      </c>
      <c r="BH112" s="301">
        <f t="shared" si="149"/>
        <v>0</v>
      </c>
      <c r="BL112" s="301">
        <f t="shared" si="133"/>
        <v>0</v>
      </c>
      <c r="BM112" s="338">
        <f>'[1]Евро-Строй-Сервис'!K103</f>
        <v>286</v>
      </c>
      <c r="BN112" s="338">
        <f>'[1]Евро-Строй-Сервис'!L103/1000</f>
        <v>116.56787999999999</v>
      </c>
      <c r="BO112" s="338">
        <f>'[1]Евро-Строй-Сервис'!M103/1000</f>
        <v>116.56787999999999</v>
      </c>
      <c r="BP112" s="301">
        <f t="shared" si="134"/>
        <v>0</v>
      </c>
      <c r="BQ112" s="338">
        <f>'[1]ОАО ДК Засвияжье 2'!K223</f>
        <v>2139</v>
      </c>
      <c r="BR112" s="338">
        <f>'[1]ОАО ДК Засвияжье 2'!L223/1000</f>
        <v>343.65333000000004</v>
      </c>
      <c r="BS112" s="338">
        <f>'[1]ОАО ДК Засвияжье 2'!M223/1000</f>
        <v>343.65333000000004</v>
      </c>
      <c r="BT112" s="301">
        <f t="shared" si="135"/>
        <v>0</v>
      </c>
      <c r="BU112" s="338">
        <f>('[1]ОАО ДК Лен р-на'!K386+'[1]ООО Технология'!K191+'[1]ООО Технология'!K194+'[1]ООО Технология'!K196)</f>
        <v>5263</v>
      </c>
      <c r="BV112" s="338">
        <f>('[1]ОАО ДК Лен р-на'!L386+'[1]ООО Технология'!L191+'[1]ООО Технология'!L194+'[1]ООО Технология'!L196)/1000</f>
        <v>1781.6777999999997</v>
      </c>
      <c r="BW112" s="338">
        <f>('[1]ОАО ДК Лен р-на'!M386+'[1]ООО Технология'!M191+'[1]ООО Технология'!M194+'[1]ООО Технология'!M196)/1000</f>
        <v>1781.6777999999997</v>
      </c>
      <c r="BX112" s="301">
        <f t="shared" si="137"/>
        <v>0</v>
      </c>
      <c r="BY112" s="338">
        <f>'[1]ОАО ДК ЖД р-на'!K562</f>
        <v>3786</v>
      </c>
      <c r="BZ112" s="338">
        <f>'[1]ОАО ДК ЖД р-на'!L562/1000</f>
        <v>1293.3337799999999</v>
      </c>
      <c r="CA112" s="338">
        <f>'[1]ОАО ДК ЖД р-на'!M562/1000</f>
        <v>1293.3337799999999</v>
      </c>
      <c r="CB112" s="301">
        <f t="shared" si="138"/>
        <v>0</v>
      </c>
      <c r="CF112" s="300">
        <f t="shared" si="107"/>
        <v>0</v>
      </c>
      <c r="CG112" s="338">
        <f>'[1]УК ЖСС'!K139</f>
        <v>8667</v>
      </c>
      <c r="CH112" s="338">
        <f>'[1]УК ЖСС'!L139/1000</f>
        <v>3108.6887900000002</v>
      </c>
      <c r="CI112" s="338">
        <f>'[1]УК ЖСС'!M139/1000</f>
        <v>3108.6887900000002</v>
      </c>
      <c r="CJ112" s="301">
        <f t="shared" si="122"/>
        <v>0</v>
      </c>
      <c r="CK112" s="338">
        <f>'[1]ТСЖ Народ контроль R'!K56</f>
        <v>897</v>
      </c>
      <c r="CL112" s="338">
        <f>'[1]ТСЖ Народ контроль R'!L56/1000</f>
        <v>323.75421</v>
      </c>
      <c r="CM112" s="338">
        <f>'[1]ТСЖ Народ контроль R'!M56/1000</f>
        <v>323.75421</v>
      </c>
      <c r="CN112" s="301">
        <f t="shared" si="84"/>
        <v>0</v>
      </c>
      <c r="CR112" s="301">
        <f t="shared" si="85"/>
        <v>0</v>
      </c>
      <c r="CV112" s="301">
        <f t="shared" si="86"/>
        <v>0</v>
      </c>
      <c r="CZ112" s="301">
        <f t="shared" si="87"/>
        <v>0</v>
      </c>
      <c r="DA112" s="338">
        <f>[1]Стасова!K113</f>
        <v>658</v>
      </c>
      <c r="DB112" s="338">
        <f>[1]Стасова!L113/1000</f>
        <v>102.80484999999999</v>
      </c>
      <c r="DC112" s="338">
        <f>[1]Стасова!M113/1000</f>
        <v>102.80484999999999</v>
      </c>
      <c r="DD112" s="300">
        <f t="shared" si="115"/>
        <v>0</v>
      </c>
      <c r="DE112" s="338">
        <f>'[1]Мегаполис ТСЖ'!K56</f>
        <v>544</v>
      </c>
      <c r="DF112" s="338">
        <f>'[1]Мегаполис ТСЖ'!L56/1000</f>
        <v>181.42276000000001</v>
      </c>
      <c r="DG112" s="338">
        <f>'[1]Мегаполис ТСЖ'!M56/1000</f>
        <v>181.42276000000001</v>
      </c>
      <c r="DH112" s="301">
        <f t="shared" si="159"/>
        <v>0</v>
      </c>
      <c r="DL112" s="301">
        <f t="shared" si="139"/>
        <v>0</v>
      </c>
      <c r="DM112" s="338">
        <f>'[1]Альфаком-У'!K138</f>
        <v>5137</v>
      </c>
      <c r="DN112" s="338">
        <f>'[1]Альфаком-У'!L138/1000</f>
        <v>1697.03631</v>
      </c>
      <c r="DO112" s="338">
        <f>'[1]Альфаком-У'!M138/1000</f>
        <v>1697.03631</v>
      </c>
      <c r="DP112" s="301">
        <f t="shared" si="82"/>
        <v>0</v>
      </c>
      <c r="DT112" s="300">
        <f t="shared" si="89"/>
        <v>0</v>
      </c>
      <c r="DU112" s="338">
        <f>'[1]Альфаком-У-ТСЖ З-2'!K123</f>
        <v>967</v>
      </c>
      <c r="DV112" s="338">
        <f>'[1]Альфаком-У-ТСЖ З-2'!L123/1000</f>
        <v>343.74313000000001</v>
      </c>
      <c r="DW112" s="338">
        <f>'[1]Альфаком-У-ТСЖ З-2'!M123/1000</f>
        <v>343.74313000000001</v>
      </c>
      <c r="DX112" s="301">
        <f t="shared" si="112"/>
        <v>0</v>
      </c>
      <c r="DY112" s="338">
        <f>'[1]ЖСК Электромаш'!K56</f>
        <v>134</v>
      </c>
      <c r="DZ112" s="338">
        <f>'[1]ЖСК Электромаш'!L56/1000</f>
        <v>45.162019999999998</v>
      </c>
      <c r="EA112" s="338">
        <f>'[1]ЖСК Электромаш'!M56/1000</f>
        <v>45.162019999999998</v>
      </c>
      <c r="EB112" s="301">
        <f t="shared" si="90"/>
        <v>0</v>
      </c>
      <c r="EF112" s="301">
        <f t="shared" si="91"/>
        <v>0</v>
      </c>
      <c r="EG112" s="338">
        <f>'[1]ООО ЦЭТ'!K299</f>
        <v>1115</v>
      </c>
      <c r="EH112" s="338">
        <f>'[1]ООО ЦЭТ'!L299/1000</f>
        <v>380.28191000000004</v>
      </c>
      <c r="EI112" s="338">
        <f>'[1]ООО ЦЭТ'!M299/1000</f>
        <v>380.28191000000004</v>
      </c>
      <c r="EJ112" s="301">
        <f t="shared" si="92"/>
        <v>0</v>
      </c>
      <c r="EN112" s="301">
        <f t="shared" si="93"/>
        <v>0</v>
      </c>
      <c r="EO112" s="338">
        <f>'[1]ООО ЖЭК'!K107</f>
        <v>196</v>
      </c>
      <c r="EP112" s="338">
        <f>'[1]ООО ЖЭК'!L107/1000</f>
        <v>64.623159999999999</v>
      </c>
      <c r="EQ112" s="338">
        <f>'[1]ООО ЖЭК'!M107/1000</f>
        <v>64.623159999999999</v>
      </c>
      <c r="ER112" s="300">
        <f t="shared" si="94"/>
        <v>0</v>
      </c>
      <c r="EV112" s="300">
        <f t="shared" si="95"/>
        <v>0</v>
      </c>
      <c r="EZ112" s="301">
        <f t="shared" si="96"/>
        <v>0</v>
      </c>
      <c r="FA112" s="338">
        <f>'[1]ООО Истоки+'!K137</f>
        <v>240</v>
      </c>
      <c r="FB112" s="338">
        <f>'[1]ООО Истоки+'!L137/1000</f>
        <v>78.029880000000006</v>
      </c>
      <c r="FC112" s="338">
        <f>'[1]ООО Истоки+'!M137/1000</f>
        <v>78.029880000000006</v>
      </c>
      <c r="FD112" s="301">
        <f t="shared" si="97"/>
        <v>0</v>
      </c>
      <c r="FH112" s="300">
        <f t="shared" si="98"/>
        <v>0</v>
      </c>
      <c r="FL112" s="301">
        <f t="shared" si="113"/>
        <v>0</v>
      </c>
      <c r="FM112" s="338">
        <v>0</v>
      </c>
      <c r="FN112" s="338">
        <v>0</v>
      </c>
      <c r="FO112" s="338">
        <v>0</v>
      </c>
      <c r="FP112" s="301">
        <f t="shared" si="108"/>
        <v>0</v>
      </c>
      <c r="FQ112" s="338">
        <f>'[1]ООО ЖКХ Лен-го района'!K252</f>
        <v>40</v>
      </c>
      <c r="FR112" s="338">
        <f>'[1]ООО ЖКХ Лен-го района'!L252/1000</f>
        <v>12.295770000000001</v>
      </c>
      <c r="FS112" s="338">
        <f>'[1]ООО ЖКХ Лен-го района'!M252/1000</f>
        <v>12.295770000000001</v>
      </c>
      <c r="FT112" s="301">
        <f t="shared" si="99"/>
        <v>0</v>
      </c>
      <c r="FU112" s="338">
        <f>'[1]ООО УК КПД-1'!K74</f>
        <v>22</v>
      </c>
      <c r="FV112" s="338">
        <f>'[1]ООО УК КПД-1'!L74/1000</f>
        <v>7.9404599999999999</v>
      </c>
      <c r="FW112" s="338">
        <f>'[1]ООО УК КПД-1'!M74/1000</f>
        <v>7.9404599999999999</v>
      </c>
      <c r="FX112" s="301">
        <f t="shared" si="160"/>
        <v>0</v>
      </c>
      <c r="GB112" s="301">
        <f t="shared" si="101"/>
        <v>0</v>
      </c>
      <c r="GC112" s="338">
        <f>'[1]ООО УК ЦЭТ'!K260</f>
        <v>165</v>
      </c>
      <c r="GD112" s="338">
        <f>'[1]ООО УК ЦЭТ'!L260/1000</f>
        <v>55.963149999999992</v>
      </c>
      <c r="GE112" s="338">
        <f>'[1]ООО УК ЦЭТ'!M260/1000</f>
        <v>55.963149999999992</v>
      </c>
      <c r="GF112" s="301">
        <f t="shared" si="161"/>
        <v>0</v>
      </c>
      <c r="GJ112" s="301">
        <f t="shared" si="110"/>
        <v>0</v>
      </c>
      <c r="GN112" s="301">
        <f t="shared" si="103"/>
        <v>0</v>
      </c>
      <c r="GO112" s="338">
        <f>'[1]ООО УО Партнер'!K106</f>
        <v>18</v>
      </c>
      <c r="GP112" s="338">
        <f>'[1]ООО УО Партнер'!L106/1000</f>
        <v>7.6469399999999998</v>
      </c>
      <c r="GQ112" s="338">
        <f>'[1]ООО УО Партнер'!M106/1000</f>
        <v>7.6469399999999998</v>
      </c>
      <c r="GR112" s="301">
        <f t="shared" si="162"/>
        <v>0</v>
      </c>
      <c r="GS112" s="338">
        <f>'[1]ООО ТК Святогор'!K56</f>
        <v>0</v>
      </c>
      <c r="GT112" s="338">
        <f>'[1]ООО ТК Святогор'!L56/1000</f>
        <v>0</v>
      </c>
      <c r="GU112" s="338">
        <f>'[1]ООО ТК Святогор'!M56/1000</f>
        <v>0</v>
      </c>
      <c r="GV112" s="301">
        <f t="shared" si="105"/>
        <v>0</v>
      </c>
      <c r="GZ112" s="301">
        <f t="shared" si="150"/>
        <v>0</v>
      </c>
      <c r="HA112" s="412"/>
      <c r="HB112" s="398" t="s">
        <v>249</v>
      </c>
      <c r="HC112" s="426">
        <f>SUM(BV101,CL101,EH101,EL101,EP101,ET101,FB101,FF101,FN101,FR101,GD101,GH101,GL101)</f>
        <v>1526.9484656</v>
      </c>
      <c r="HD112" s="427">
        <f>SUM(R101)</f>
        <v>1815.2055599999999</v>
      </c>
      <c r="HE112" s="404">
        <f>SUM(BR101,FZ101,GP101)</f>
        <v>44.798071499999992</v>
      </c>
      <c r="HF112" s="404">
        <f>SUM(V101,AD101,BJ101,BN101,FJ101)</f>
        <v>2921.0276234000007</v>
      </c>
      <c r="HG112" s="404">
        <f>SUM(J101,Z101,AH101,AL101,AX101,BB101,BF101,CD101,CH101,DZ101:DZ101,ED101,GT101)</f>
        <v>7022.812718000001</v>
      </c>
      <c r="HH112" s="399">
        <f>SUM(BZ101,DJ101)</f>
        <v>1461.5500400000001</v>
      </c>
      <c r="HI112" s="404">
        <f>SUM(AT101)</f>
        <v>835.72379520000004</v>
      </c>
      <c r="HJ112" s="399">
        <f>AP101</f>
        <v>3261.3632573999998</v>
      </c>
      <c r="HK112" s="399">
        <f>SUM(DF101,DB101,CX101,CT101,CP101,DN101,DR101,DV101,EX101)</f>
        <v>1027.1433972</v>
      </c>
      <c r="HL112" s="404">
        <f>N101</f>
        <v>13.22748</v>
      </c>
      <c r="HM112" s="399">
        <f>FV101</f>
        <v>105.89535000000001</v>
      </c>
      <c r="HN112" s="393"/>
      <c r="HO112" s="286"/>
      <c r="HP112" s="286"/>
      <c r="HQ112" s="286"/>
      <c r="HR112" s="286"/>
      <c r="HS112" s="306"/>
      <c r="HT112" s="306"/>
      <c r="HU112" s="306"/>
      <c r="HV112" s="306"/>
      <c r="HW112" s="286"/>
      <c r="HX112" s="286"/>
      <c r="HY112" s="286"/>
      <c r="HZ112" s="286"/>
      <c r="IA112" s="286"/>
      <c r="IB112" s="286"/>
      <c r="IC112" s="286"/>
      <c r="ID112" s="286"/>
      <c r="IE112" s="286"/>
      <c r="IF112" s="286"/>
      <c r="IG112" s="286"/>
      <c r="IH112" s="286"/>
      <c r="II112" s="286"/>
      <c r="IJ112" s="286"/>
      <c r="IK112" s="286"/>
      <c r="IL112" s="286"/>
      <c r="IM112" s="286"/>
      <c r="IN112" s="286"/>
      <c r="IO112" s="286"/>
      <c r="IP112" s="286"/>
      <c r="IQ112" s="286"/>
      <c r="IR112" s="286"/>
      <c r="IS112" s="286"/>
      <c r="IT112" s="286"/>
      <c r="IU112" s="286"/>
      <c r="IV112" s="286"/>
    </row>
    <row r="113" spans="1:256" s="338" customFormat="1" ht="13.5" hidden="1" customHeight="1">
      <c r="A113" s="909"/>
      <c r="B113" s="341"/>
      <c r="C113" s="380" t="s">
        <v>250</v>
      </c>
      <c r="D113" s="381" t="s">
        <v>223</v>
      </c>
      <c r="E113" s="299">
        <f t="shared" si="166"/>
        <v>187955</v>
      </c>
      <c r="F113" s="299">
        <f t="shared" si="166"/>
        <v>15242.290563299999</v>
      </c>
      <c r="G113" s="299">
        <f t="shared" si="166"/>
        <v>15242.290563299999</v>
      </c>
      <c r="H113" s="299">
        <f t="shared" si="166"/>
        <v>0</v>
      </c>
      <c r="I113" s="338">
        <v>1782</v>
      </c>
      <c r="J113" s="338">
        <f>I113*1*85.76/1000</f>
        <v>152.82432</v>
      </c>
      <c r="K113" s="338">
        <f>J113</f>
        <v>152.82432</v>
      </c>
      <c r="L113" s="301">
        <f t="shared" si="146"/>
        <v>0</v>
      </c>
      <c r="M113" s="338">
        <v>174</v>
      </c>
      <c r="N113" s="338">
        <f>M113*76.02*1/1000</f>
        <v>13.22748</v>
      </c>
      <c r="O113" s="338">
        <f>N113</f>
        <v>13.22748</v>
      </c>
      <c r="P113" s="301">
        <f t="shared" si="126"/>
        <v>0</v>
      </c>
      <c r="Q113" s="338">
        <f>7318+151+10059+1594+686+2646+1424</f>
        <v>23878</v>
      </c>
      <c r="R113" s="338">
        <f>Q113*76.02*1/1000</f>
        <v>1815.2055599999999</v>
      </c>
      <c r="S113" s="338">
        <f>R113</f>
        <v>1815.2055599999999</v>
      </c>
      <c r="T113" s="301">
        <f t="shared" si="148"/>
        <v>0</v>
      </c>
      <c r="U113" s="338">
        <v>1698</v>
      </c>
      <c r="V113" s="338">
        <f>U113*91.84*1/1000</f>
        <v>155.94432</v>
      </c>
      <c r="W113" s="338">
        <f>V113</f>
        <v>155.94432</v>
      </c>
      <c r="X113" s="301">
        <f t="shared" si="154"/>
        <v>0</v>
      </c>
      <c r="Y113" s="338">
        <v>19021</v>
      </c>
      <c r="Z113" s="338">
        <f>Y113*1*85.76/1000</f>
        <v>1631.2409600000001</v>
      </c>
      <c r="AA113" s="338">
        <f>Z113</f>
        <v>1631.2409600000001</v>
      </c>
      <c r="AB113" s="301">
        <f t="shared" si="127"/>
        <v>0</v>
      </c>
      <c r="AF113" s="300">
        <f t="shared" si="152"/>
        <v>0</v>
      </c>
      <c r="AJ113" s="300">
        <f t="shared" si="128"/>
        <v>0</v>
      </c>
      <c r="AK113" s="338">
        <v>17708</v>
      </c>
      <c r="AL113" s="338">
        <f>AK113*0.6*85.76/1000</f>
        <v>911.18284800000004</v>
      </c>
      <c r="AM113" s="338">
        <f>AL113</f>
        <v>911.18284800000004</v>
      </c>
      <c r="AN113" s="301">
        <f t="shared" si="129"/>
        <v>0</v>
      </c>
      <c r="AO113" s="338">
        <f>6817+15631+14517+803</f>
        <v>37768</v>
      </c>
      <c r="AP113" s="338">
        <f>AO113*81.03*1.06/1000</f>
        <v>3243.9615024</v>
      </c>
      <c r="AQ113" s="338">
        <f>AP113</f>
        <v>3243.9615024</v>
      </c>
      <c r="AR113" s="300">
        <f t="shared" si="120"/>
        <v>0</v>
      </c>
      <c r="AS113" s="338">
        <f>931+257+7010</f>
        <v>8198</v>
      </c>
      <c r="AT113" s="338">
        <f>AS113*1.11*91.84/1000</f>
        <v>835.72379520000004</v>
      </c>
      <c r="AU113" s="338">
        <f>AT113</f>
        <v>835.72379520000004</v>
      </c>
      <c r="AV113" s="301">
        <f t="shared" si="130"/>
        <v>0</v>
      </c>
      <c r="AZ113" s="301">
        <f t="shared" si="131"/>
        <v>0</v>
      </c>
      <c r="BA113" s="338">
        <v>730</v>
      </c>
      <c r="BB113" s="338">
        <f>BA113*1.1*82.82/1000</f>
        <v>66.504460000000009</v>
      </c>
      <c r="BC113" s="338">
        <f>BB113</f>
        <v>66.504460000000009</v>
      </c>
      <c r="BD113" s="301">
        <f t="shared" si="132"/>
        <v>0</v>
      </c>
      <c r="BE113" s="338">
        <v>514</v>
      </c>
      <c r="BF113" s="338">
        <f>BE113*1*85.76/1000</f>
        <v>44.080640000000002</v>
      </c>
      <c r="BG113" s="338">
        <f>BF113</f>
        <v>44.080640000000002</v>
      </c>
      <c r="BH113" s="301">
        <f t="shared" si="149"/>
        <v>0</v>
      </c>
      <c r="BL113" s="301">
        <f t="shared" si="133"/>
        <v>0</v>
      </c>
      <c r="BM113" s="338">
        <v>289</v>
      </c>
      <c r="BN113" s="338">
        <f>BM113*0.96*103.71/1000</f>
        <v>28.773302399999999</v>
      </c>
      <c r="BO113" s="338">
        <f>BN113</f>
        <v>28.773302399999999</v>
      </c>
      <c r="BP113" s="301">
        <f t="shared" si="134"/>
        <v>0</v>
      </c>
      <c r="BQ113" s="338">
        <f>41+172</f>
        <v>213</v>
      </c>
      <c r="BR113" s="338">
        <f>BQ113*0.85*91.83/1000</f>
        <v>16.625821499999997</v>
      </c>
      <c r="BS113" s="338">
        <f>BR113</f>
        <v>16.625821499999997</v>
      </c>
      <c r="BT113" s="301">
        <f t="shared" si="135"/>
        <v>0</v>
      </c>
      <c r="BU113" s="338">
        <f>2009+267+2804+55+250+21+44</f>
        <v>5450</v>
      </c>
      <c r="BV113" s="338">
        <f>BU113*91.84*1.1/1000</f>
        <v>550.58080000000007</v>
      </c>
      <c r="BW113" s="338">
        <f>BV113</f>
        <v>550.58080000000007</v>
      </c>
      <c r="BX113" s="301">
        <f t="shared" si="137"/>
        <v>0</v>
      </c>
      <c r="BY113" s="338">
        <f>367+4601+997</f>
        <v>5965</v>
      </c>
      <c r="BZ113" s="338">
        <f>BY113*91.84*1.1/1000</f>
        <v>602.60816</v>
      </c>
      <c r="CA113" s="338">
        <f>BZ113</f>
        <v>602.60816</v>
      </c>
      <c r="CB113" s="301">
        <f t="shared" si="138"/>
        <v>0</v>
      </c>
      <c r="CF113" s="300">
        <f t="shared" si="107"/>
        <v>0</v>
      </c>
      <c r="CG113" s="338">
        <v>49202</v>
      </c>
      <c r="CH113" s="338">
        <f>CG113*0.9*85.76/1000</f>
        <v>3797.6071680000005</v>
      </c>
      <c r="CI113" s="338">
        <f>CH113</f>
        <v>3797.6071680000005</v>
      </c>
      <c r="CJ113" s="301">
        <f t="shared" si="122"/>
        <v>0</v>
      </c>
      <c r="CK113" s="338">
        <v>1106</v>
      </c>
      <c r="CL113" s="338">
        <f>CK113*1*91.84/1000</f>
        <v>101.57504</v>
      </c>
      <c r="CM113" s="338">
        <f>CL113</f>
        <v>101.57504</v>
      </c>
      <c r="CN113" s="301">
        <f t="shared" si="84"/>
        <v>0</v>
      </c>
      <c r="CR113" s="301">
        <f t="shared" si="85"/>
        <v>0</v>
      </c>
      <c r="CV113" s="301">
        <f t="shared" si="86"/>
        <v>0</v>
      </c>
      <c r="CZ113" s="301">
        <f t="shared" si="87"/>
        <v>0</v>
      </c>
      <c r="DA113" s="338">
        <v>334</v>
      </c>
      <c r="DB113" s="338">
        <f>DA113*76.03*0.85/1000</f>
        <v>21.584917000000001</v>
      </c>
      <c r="DC113" s="338">
        <f>DB113</f>
        <v>21.584917000000001</v>
      </c>
      <c r="DD113" s="300">
        <f t="shared" si="115"/>
        <v>0</v>
      </c>
      <c r="DE113" s="338">
        <v>651</v>
      </c>
      <c r="DF113" s="338">
        <f>DE113*91.84*0.98/1000</f>
        <v>58.592083199999998</v>
      </c>
      <c r="DG113" s="338">
        <f>DF113</f>
        <v>58.592083199999998</v>
      </c>
      <c r="DH113" s="301">
        <f t="shared" si="159"/>
        <v>0</v>
      </c>
      <c r="DL113" s="301">
        <f t="shared" si="139"/>
        <v>0</v>
      </c>
      <c r="DM113" s="338">
        <f>193+7735</f>
        <v>7928</v>
      </c>
      <c r="DN113" s="338">
        <f>DM113*1*91.84/1000</f>
        <v>728.10752000000002</v>
      </c>
      <c r="DO113" s="338">
        <f>DN113</f>
        <v>728.10752000000002</v>
      </c>
      <c r="DP113" s="301">
        <f t="shared" si="82"/>
        <v>0</v>
      </c>
      <c r="DT113" s="300">
        <f t="shared" si="89"/>
        <v>0</v>
      </c>
      <c r="DU113" s="338">
        <v>1721</v>
      </c>
      <c r="DV113" s="338">
        <f>DU113*1.15*91.84/1000</f>
        <v>181.76513600000001</v>
      </c>
      <c r="DW113" s="338">
        <f>DV113</f>
        <v>181.76513600000001</v>
      </c>
      <c r="DX113" s="301">
        <f t="shared" si="112"/>
        <v>0</v>
      </c>
      <c r="DY113" s="338">
        <v>432</v>
      </c>
      <c r="DZ113" s="338">
        <f>DY113*0.6*85.76/1000</f>
        <v>22.228992000000002</v>
      </c>
      <c r="EA113" s="338">
        <f>DZ113</f>
        <v>22.228992000000002</v>
      </c>
      <c r="EB113" s="301">
        <f t="shared" si="90"/>
        <v>0</v>
      </c>
      <c r="EF113" s="301">
        <f t="shared" si="91"/>
        <v>0</v>
      </c>
      <c r="EG113" s="338">
        <f>162+138+4+104+550</f>
        <v>958</v>
      </c>
      <c r="EH113" s="338">
        <f>EG113*76.02*0.9/1000</f>
        <v>65.544443999999984</v>
      </c>
      <c r="EI113" s="338">
        <f>EH113</f>
        <v>65.544443999999984</v>
      </c>
      <c r="EJ113" s="301">
        <f t="shared" si="92"/>
        <v>0</v>
      </c>
      <c r="EN113" s="301">
        <f t="shared" si="93"/>
        <v>0</v>
      </c>
      <c r="EO113" s="338">
        <v>221</v>
      </c>
      <c r="EP113" s="338">
        <f>EO113*91.84*1.19/1000</f>
        <v>24.1530016</v>
      </c>
      <c r="EQ113" s="338">
        <f>EP113</f>
        <v>24.1530016</v>
      </c>
      <c r="ER113" s="300">
        <f t="shared" si="94"/>
        <v>0</v>
      </c>
      <c r="EV113" s="300">
        <f t="shared" si="95"/>
        <v>0</v>
      </c>
      <c r="EZ113" s="301">
        <f t="shared" si="96"/>
        <v>0</v>
      </c>
      <c r="FA113" s="338">
        <f>92+201+258</f>
        <v>551</v>
      </c>
      <c r="FB113" s="310">
        <f>FA113*1.5*76.14/1000</f>
        <v>62.92971</v>
      </c>
      <c r="FC113" s="310">
        <f>FB113</f>
        <v>62.92971</v>
      </c>
      <c r="FD113" s="301">
        <f t="shared" si="97"/>
        <v>0</v>
      </c>
      <c r="FH113" s="300">
        <f t="shared" si="98"/>
        <v>0</v>
      </c>
      <c r="FL113" s="301">
        <f t="shared" si="113"/>
        <v>0</v>
      </c>
      <c r="FN113" s="338">
        <f>FM113*1*91.84/1000</f>
        <v>0</v>
      </c>
      <c r="FO113" s="338">
        <f>FN113</f>
        <v>0</v>
      </c>
      <c r="FP113" s="301">
        <f t="shared" si="108"/>
        <v>0</v>
      </c>
      <c r="FQ113" s="338">
        <f>9+4</f>
        <v>13</v>
      </c>
      <c r="FR113" s="338">
        <f>FQ113*76.02*1/1000</f>
        <v>0.98826000000000003</v>
      </c>
      <c r="FS113" s="338">
        <f>FR113</f>
        <v>0.98826000000000003</v>
      </c>
      <c r="FT113" s="301">
        <f t="shared" si="99"/>
        <v>0</v>
      </c>
      <c r="FU113" s="338">
        <v>1135</v>
      </c>
      <c r="FV113" s="338">
        <f>FU113*1*69.57/1000</f>
        <v>78.961950000000002</v>
      </c>
      <c r="FW113" s="338">
        <f>FV113</f>
        <v>78.961950000000002</v>
      </c>
      <c r="FX113" s="301">
        <f t="shared" si="160"/>
        <v>0</v>
      </c>
      <c r="GB113" s="301">
        <f t="shared" si="101"/>
        <v>0</v>
      </c>
      <c r="GC113" s="338">
        <v>208</v>
      </c>
      <c r="GD113" s="338">
        <f>GC113*1.1*91.84/1000</f>
        <v>21.012992000000001</v>
      </c>
      <c r="GE113" s="338">
        <f>GD113</f>
        <v>21.012992000000001</v>
      </c>
      <c r="GF113" s="301">
        <f t="shared" si="161"/>
        <v>0</v>
      </c>
      <c r="GJ113" s="301">
        <f t="shared" si="110"/>
        <v>0</v>
      </c>
      <c r="GN113" s="301">
        <f t="shared" si="103"/>
        <v>0</v>
      </c>
      <c r="GO113" s="338">
        <v>26</v>
      </c>
      <c r="GP113" s="338">
        <f>GO113*1*69.57/1000</f>
        <v>1.8088199999999997</v>
      </c>
      <c r="GQ113" s="338">
        <f>GP113</f>
        <v>1.8088199999999997</v>
      </c>
      <c r="GR113" s="301">
        <f t="shared" si="162"/>
        <v>0</v>
      </c>
      <c r="GS113" s="338">
        <v>81</v>
      </c>
      <c r="GT113" s="338">
        <f>GS113*85.76*1/1000</f>
        <v>6.9465600000000007</v>
      </c>
      <c r="GU113" s="338">
        <f>GT113</f>
        <v>6.9465600000000007</v>
      </c>
      <c r="GV113" s="301">
        <f t="shared" si="105"/>
        <v>0</v>
      </c>
      <c r="GZ113" s="301">
        <f t="shared" si="150"/>
        <v>0</v>
      </c>
      <c r="HA113" s="386" t="s">
        <v>179</v>
      </c>
      <c r="HB113" s="405" t="s">
        <v>245</v>
      </c>
      <c r="HC113" s="406">
        <f>SUM(HC114:HC115)</f>
        <v>5891.7158042000001</v>
      </c>
      <c r="HD113" s="406">
        <f t="shared" ref="HD113:HK113" si="167">SUM(HD114:HD115)</f>
        <v>7189.3527200000008</v>
      </c>
      <c r="HE113" s="406">
        <f t="shared" si="167"/>
        <v>457.91511150000002</v>
      </c>
      <c r="HF113" s="406">
        <f t="shared" si="167"/>
        <v>7024.6320595999996</v>
      </c>
      <c r="HG113" s="406">
        <f t="shared" si="167"/>
        <v>14222.992109600002</v>
      </c>
      <c r="HH113" s="406">
        <f t="shared" si="167"/>
        <v>4754.4005930000003</v>
      </c>
      <c r="HI113" s="406">
        <f t="shared" si="167"/>
        <v>1801.3773120000001</v>
      </c>
      <c r="HJ113" s="406">
        <f t="shared" si="167"/>
        <v>9054.2482123999998</v>
      </c>
      <c r="HK113" s="406">
        <f t="shared" si="167"/>
        <v>3469.6046399999996</v>
      </c>
      <c r="HL113" s="406">
        <f>SUM(HL114:HL115)</f>
        <v>13.075439999999999</v>
      </c>
      <c r="HM113" s="406">
        <f>SUM(HM114:HM115)</f>
        <v>108.20839000000001</v>
      </c>
      <c r="HN113" s="393">
        <f>SUM(HC113:HM113)</f>
        <v>53987.522392299994</v>
      </c>
      <c r="HO113" s="340"/>
      <c r="HP113" s="286"/>
      <c r="HQ113" s="286"/>
      <c r="HR113" s="286"/>
      <c r="HS113" s="306"/>
      <c r="HT113" s="306"/>
      <c r="HU113" s="306"/>
      <c r="HV113" s="306"/>
      <c r="HW113" s="286"/>
      <c r="HX113" s="286"/>
      <c r="HY113" s="286"/>
      <c r="HZ113" s="286"/>
      <c r="IA113" s="286"/>
      <c r="IB113" s="286"/>
      <c r="IC113" s="286"/>
      <c r="ID113" s="286"/>
      <c r="IE113" s="286"/>
      <c r="IF113" s="286"/>
      <c r="IG113" s="286"/>
      <c r="IH113" s="286"/>
      <c r="II113" s="286"/>
      <c r="IJ113" s="286"/>
      <c r="IK113" s="286"/>
      <c r="IL113" s="286"/>
      <c r="IM113" s="286"/>
      <c r="IN113" s="286"/>
      <c r="IO113" s="286"/>
      <c r="IP113" s="286"/>
      <c r="IQ113" s="286"/>
      <c r="IR113" s="286"/>
      <c r="IS113" s="286"/>
      <c r="IT113" s="286"/>
      <c r="IU113" s="286"/>
      <c r="IV113" s="286"/>
    </row>
    <row r="114" spans="1:256" s="301" customFormat="1" ht="13.5" hidden="1" customHeight="1">
      <c r="A114" s="909"/>
      <c r="B114" s="415"/>
      <c r="C114" s="382" t="s">
        <v>236</v>
      </c>
      <c r="D114" s="416" t="s">
        <v>223</v>
      </c>
      <c r="E114" s="301">
        <f>SUM(E115:E116)</f>
        <v>328</v>
      </c>
      <c r="F114" s="301">
        <f>SUM(F115:F116)</f>
        <v>54.673519000000006</v>
      </c>
      <c r="G114" s="301">
        <f>SUM(G115:G116)</f>
        <v>54.673519000000006</v>
      </c>
      <c r="H114" s="301">
        <f>SUM(H115:H116)</f>
        <v>0</v>
      </c>
      <c r="L114" s="301">
        <f t="shared" si="146"/>
        <v>0</v>
      </c>
      <c r="M114" s="301">
        <f>SUM(M115:M116)</f>
        <v>0</v>
      </c>
      <c r="N114" s="301">
        <f>SUM(N115:N116)</f>
        <v>0</v>
      </c>
      <c r="O114" s="301">
        <f>SUM(O115:O116)</f>
        <v>0</v>
      </c>
      <c r="P114" s="301">
        <f t="shared" si="126"/>
        <v>0</v>
      </c>
      <c r="T114" s="301">
        <f t="shared" si="148"/>
        <v>0</v>
      </c>
      <c r="X114" s="301">
        <f t="shared" si="154"/>
        <v>0</v>
      </c>
      <c r="AB114" s="301">
        <f t="shared" si="127"/>
        <v>0</v>
      </c>
      <c r="AF114" s="300">
        <f t="shared" si="152"/>
        <v>0</v>
      </c>
      <c r="AJ114" s="300">
        <f t="shared" si="128"/>
        <v>0</v>
      </c>
      <c r="AN114" s="301">
        <f t="shared" si="129"/>
        <v>0</v>
      </c>
      <c r="AR114" s="300">
        <f t="shared" si="120"/>
        <v>0</v>
      </c>
      <c r="AV114" s="301">
        <f t="shared" si="130"/>
        <v>0</v>
      </c>
      <c r="AZ114" s="301">
        <f t="shared" si="131"/>
        <v>0</v>
      </c>
      <c r="BD114" s="301">
        <f t="shared" si="132"/>
        <v>0</v>
      </c>
      <c r="BH114" s="301">
        <f t="shared" si="149"/>
        <v>0</v>
      </c>
      <c r="BL114" s="301">
        <f t="shared" si="133"/>
        <v>0</v>
      </c>
      <c r="BP114" s="301">
        <f t="shared" si="134"/>
        <v>0</v>
      </c>
      <c r="BT114" s="301">
        <f t="shared" si="135"/>
        <v>0</v>
      </c>
      <c r="BX114" s="301">
        <f t="shared" si="137"/>
        <v>0</v>
      </c>
      <c r="BY114" s="301">
        <f>BY115+BY116</f>
        <v>328</v>
      </c>
      <c r="BZ114" s="301">
        <f>BZ115+BZ116</f>
        <v>54.673519000000006</v>
      </c>
      <c r="CA114" s="301">
        <f>CA115+CA116</f>
        <v>54.673519000000006</v>
      </c>
      <c r="CB114" s="301">
        <f t="shared" si="138"/>
        <v>0</v>
      </c>
      <c r="CF114" s="300">
        <f t="shared" si="107"/>
        <v>0</v>
      </c>
      <c r="CJ114" s="301">
        <f t="shared" si="122"/>
        <v>0</v>
      </c>
      <c r="CN114" s="301">
        <f t="shared" si="84"/>
        <v>0</v>
      </c>
      <c r="CR114" s="301">
        <f t="shared" si="85"/>
        <v>0</v>
      </c>
      <c r="CV114" s="301">
        <f t="shared" si="86"/>
        <v>0</v>
      </c>
      <c r="CZ114" s="301">
        <f t="shared" si="87"/>
        <v>0</v>
      </c>
      <c r="DD114" s="300">
        <f t="shared" si="115"/>
        <v>0</v>
      </c>
      <c r="DH114" s="301">
        <f t="shared" si="159"/>
        <v>0</v>
      </c>
      <c r="DL114" s="301">
        <f t="shared" si="139"/>
        <v>0</v>
      </c>
      <c r="DP114" s="301">
        <f t="shared" si="82"/>
        <v>0</v>
      </c>
      <c r="DT114" s="300">
        <f t="shared" si="89"/>
        <v>0</v>
      </c>
      <c r="DX114" s="301">
        <f t="shared" si="112"/>
        <v>0</v>
      </c>
      <c r="EB114" s="301">
        <f t="shared" si="90"/>
        <v>0</v>
      </c>
      <c r="EF114" s="301">
        <f t="shared" si="91"/>
        <v>0</v>
      </c>
      <c r="EJ114" s="301">
        <f t="shared" si="92"/>
        <v>0</v>
      </c>
      <c r="EN114" s="301">
        <f t="shared" si="93"/>
        <v>0</v>
      </c>
      <c r="ER114" s="300">
        <f t="shared" si="94"/>
        <v>0</v>
      </c>
      <c r="EV114" s="300">
        <f t="shared" si="95"/>
        <v>0</v>
      </c>
      <c r="EZ114" s="301">
        <f t="shared" si="96"/>
        <v>0</v>
      </c>
      <c r="FD114" s="301">
        <f t="shared" si="97"/>
        <v>0</v>
      </c>
      <c r="FH114" s="300">
        <f t="shared" si="98"/>
        <v>0</v>
      </c>
      <c r="FL114" s="301">
        <f t="shared" si="113"/>
        <v>0</v>
      </c>
      <c r="FP114" s="301">
        <f t="shared" si="108"/>
        <v>0</v>
      </c>
      <c r="FT114" s="301">
        <f t="shared" si="99"/>
        <v>0</v>
      </c>
      <c r="FX114" s="301">
        <f t="shared" si="160"/>
        <v>0</v>
      </c>
      <c r="GB114" s="301">
        <f t="shared" si="101"/>
        <v>0</v>
      </c>
      <c r="GF114" s="301">
        <f t="shared" si="161"/>
        <v>0</v>
      </c>
      <c r="GJ114" s="301">
        <f t="shared" si="110"/>
        <v>0</v>
      </c>
      <c r="GN114" s="301">
        <f t="shared" si="103"/>
        <v>0</v>
      </c>
      <c r="GR114" s="301">
        <f t="shared" si="162"/>
        <v>0</v>
      </c>
      <c r="GV114" s="301">
        <f t="shared" si="105"/>
        <v>0</v>
      </c>
      <c r="GZ114" s="301">
        <f t="shared" si="150"/>
        <v>0</v>
      </c>
      <c r="HA114" s="410"/>
      <c r="HB114" s="398" t="s">
        <v>247</v>
      </c>
      <c r="HC114" s="399">
        <v>4381.5225099999998</v>
      </c>
      <c r="HD114" s="399">
        <v>5389.8833000000004</v>
      </c>
      <c r="HE114" s="399">
        <v>415.46391</v>
      </c>
      <c r="HF114" s="399">
        <v>4120.1015099999995</v>
      </c>
      <c r="HG114" s="399">
        <v>5912.2267499999998</v>
      </c>
      <c r="HH114" s="399">
        <v>3301.477378</v>
      </c>
      <c r="HI114" s="399">
        <v>970.13898239999992</v>
      </c>
      <c r="HJ114" s="399">
        <v>5823.1704799999998</v>
      </c>
      <c r="HK114" s="399">
        <v>2431.3735699999997</v>
      </c>
      <c r="HL114" s="399">
        <v>0</v>
      </c>
      <c r="HM114" s="399">
        <v>5.0903599999999996</v>
      </c>
      <c r="HN114" s="428"/>
      <c r="HO114" s="305"/>
      <c r="HP114" s="305"/>
      <c r="HQ114" s="305"/>
      <c r="HR114" s="305"/>
      <c r="HS114" s="306"/>
      <c r="HT114" s="306"/>
      <c r="HU114" s="306"/>
      <c r="HV114" s="306"/>
      <c r="HW114" s="305"/>
      <c r="HX114" s="305"/>
      <c r="HY114" s="305"/>
      <c r="HZ114" s="305"/>
      <c r="IA114" s="305"/>
      <c r="IB114" s="305"/>
      <c r="IC114" s="305"/>
      <c r="ID114" s="305"/>
      <c r="IE114" s="305"/>
      <c r="IF114" s="305"/>
      <c r="IG114" s="305"/>
      <c r="IH114" s="305"/>
      <c r="II114" s="305"/>
      <c r="IJ114" s="305"/>
      <c r="IK114" s="305"/>
      <c r="IL114" s="305"/>
      <c r="IM114" s="305"/>
      <c r="IN114" s="305"/>
      <c r="IO114" s="305"/>
      <c r="IP114" s="305"/>
      <c r="IQ114" s="305"/>
      <c r="IR114" s="305"/>
      <c r="IS114" s="305"/>
      <c r="IT114" s="305"/>
      <c r="IU114" s="305"/>
      <c r="IV114" s="305"/>
    </row>
    <row r="115" spans="1:256" s="338" customFormat="1" ht="13.5" hidden="1" customHeight="1">
      <c r="A115" s="909"/>
      <c r="B115" s="341"/>
      <c r="C115" s="380" t="s">
        <v>248</v>
      </c>
      <c r="D115" s="381" t="s">
        <v>223</v>
      </c>
      <c r="E115" s="299">
        <f t="shared" ref="E115:H116" si="168">I115+M115+Q115+U115+Y115+AC115+AG115+AK115+AO115+AS115+AW115+BA115+BE115+BI115+BM115+BQ115+BU115+BY115+CC115+CG115+CK115+CO115+CS115+CW115+DA115+DE115+DI115+DM115+DQ115+DU115+DY115+EC115+EG115+EK115+EO115+ES115+EW115+FA115+FE115+FI115+FM115+FQ115+FU115+FY115+GC115+GK115+GG115+GO115+GS115+GW115</f>
        <v>106</v>
      </c>
      <c r="F115" s="299">
        <f t="shared" si="168"/>
        <v>39.633241000000005</v>
      </c>
      <c r="G115" s="299">
        <f t="shared" si="168"/>
        <v>39.633241000000005</v>
      </c>
      <c r="H115" s="299">
        <f t="shared" si="168"/>
        <v>0</v>
      </c>
      <c r="L115" s="301">
        <f t="shared" si="146"/>
        <v>0</v>
      </c>
      <c r="P115" s="301">
        <f t="shared" si="126"/>
        <v>0</v>
      </c>
      <c r="T115" s="301">
        <f t="shared" si="148"/>
        <v>0</v>
      </c>
      <c r="X115" s="301">
        <f t="shared" si="154"/>
        <v>0</v>
      </c>
      <c r="AB115" s="301">
        <f t="shared" si="127"/>
        <v>0</v>
      </c>
      <c r="AF115" s="300">
        <f t="shared" si="152"/>
        <v>0</v>
      </c>
      <c r="AJ115" s="300">
        <f t="shared" si="128"/>
        <v>0</v>
      </c>
      <c r="AN115" s="301">
        <f t="shared" si="129"/>
        <v>0</v>
      </c>
      <c r="AR115" s="300">
        <f t="shared" si="120"/>
        <v>0</v>
      </c>
      <c r="AV115" s="301">
        <f t="shared" si="130"/>
        <v>0</v>
      </c>
      <c r="AZ115" s="301">
        <f t="shared" si="131"/>
        <v>0</v>
      </c>
      <c r="BD115" s="301">
        <f t="shared" si="132"/>
        <v>0</v>
      </c>
      <c r="BH115" s="301">
        <f t="shared" si="149"/>
        <v>0</v>
      </c>
      <c r="BL115" s="301">
        <f t="shared" si="133"/>
        <v>0</v>
      </c>
      <c r="BP115" s="301">
        <f t="shared" si="134"/>
        <v>0</v>
      </c>
      <c r="BT115" s="301">
        <f t="shared" si="135"/>
        <v>0</v>
      </c>
      <c r="BX115" s="301">
        <f t="shared" si="137"/>
        <v>0</v>
      </c>
      <c r="BY115" s="338">
        <f>'[1]ОАО ДК ЖД р-на'!K566</f>
        <v>106</v>
      </c>
      <c r="BZ115" s="338">
        <f>'[1]ОАО ДК ЖД р-на'!L566/1000</f>
        <v>39.633241000000005</v>
      </c>
      <c r="CA115" s="338">
        <f>'[1]ОАО ДК ЖД р-на'!M566/1000</f>
        <v>39.633241000000005</v>
      </c>
      <c r="CB115" s="301">
        <f t="shared" si="138"/>
        <v>0</v>
      </c>
      <c r="CF115" s="300">
        <f t="shared" si="107"/>
        <v>0</v>
      </c>
      <c r="CJ115" s="301">
        <f t="shared" si="122"/>
        <v>0</v>
      </c>
      <c r="CN115" s="301">
        <f t="shared" si="84"/>
        <v>0</v>
      </c>
      <c r="CR115" s="301">
        <f t="shared" si="85"/>
        <v>0</v>
      </c>
      <c r="CV115" s="301">
        <f t="shared" si="86"/>
        <v>0</v>
      </c>
      <c r="CZ115" s="301">
        <f t="shared" si="87"/>
        <v>0</v>
      </c>
      <c r="DD115" s="300">
        <f t="shared" si="115"/>
        <v>0</v>
      </c>
      <c r="DH115" s="301">
        <f t="shared" si="159"/>
        <v>0</v>
      </c>
      <c r="DL115" s="301">
        <f t="shared" si="139"/>
        <v>0</v>
      </c>
      <c r="DP115" s="301">
        <f t="shared" si="82"/>
        <v>0</v>
      </c>
      <c r="DT115" s="300">
        <f t="shared" si="89"/>
        <v>0</v>
      </c>
      <c r="DX115" s="301">
        <f t="shared" si="112"/>
        <v>0</v>
      </c>
      <c r="EB115" s="301">
        <f t="shared" si="90"/>
        <v>0</v>
      </c>
      <c r="EF115" s="301">
        <f t="shared" si="91"/>
        <v>0</v>
      </c>
      <c r="EJ115" s="301">
        <f t="shared" si="92"/>
        <v>0</v>
      </c>
      <c r="EN115" s="301">
        <f t="shared" si="93"/>
        <v>0</v>
      </c>
      <c r="ER115" s="300">
        <f t="shared" si="94"/>
        <v>0</v>
      </c>
      <c r="EV115" s="300">
        <f t="shared" si="95"/>
        <v>0</v>
      </c>
      <c r="EZ115" s="301">
        <f t="shared" si="96"/>
        <v>0</v>
      </c>
      <c r="FD115" s="301">
        <f t="shared" si="97"/>
        <v>0</v>
      </c>
      <c r="FH115" s="300">
        <f t="shared" si="98"/>
        <v>0</v>
      </c>
      <c r="FL115" s="301">
        <f t="shared" si="113"/>
        <v>0</v>
      </c>
      <c r="FP115" s="301">
        <f t="shared" si="108"/>
        <v>0</v>
      </c>
      <c r="FT115" s="301">
        <f t="shared" si="99"/>
        <v>0</v>
      </c>
      <c r="FX115" s="301">
        <f t="shared" si="160"/>
        <v>0</v>
      </c>
      <c r="GB115" s="301">
        <f t="shared" si="101"/>
        <v>0</v>
      </c>
      <c r="GF115" s="301">
        <f t="shared" si="161"/>
        <v>0</v>
      </c>
      <c r="GJ115" s="301">
        <f t="shared" si="110"/>
        <v>0</v>
      </c>
      <c r="GN115" s="301">
        <f t="shared" si="103"/>
        <v>0</v>
      </c>
      <c r="GR115" s="301">
        <f t="shared" si="162"/>
        <v>0</v>
      </c>
      <c r="GV115" s="301">
        <f t="shared" si="105"/>
        <v>0</v>
      </c>
      <c r="GZ115" s="301">
        <f t="shared" si="150"/>
        <v>0</v>
      </c>
      <c r="HA115" s="339"/>
      <c r="HB115" s="412" t="s">
        <v>249</v>
      </c>
      <c r="HC115" s="404">
        <v>1510.1932942000003</v>
      </c>
      <c r="HD115" s="404">
        <v>1799.4694199999999</v>
      </c>
      <c r="HE115" s="404">
        <v>42.451201500000003</v>
      </c>
      <c r="HF115" s="404">
        <v>2904.5305496000001</v>
      </c>
      <c r="HG115" s="404">
        <v>8310.7653596000018</v>
      </c>
      <c r="HH115" s="404">
        <v>1452.9232150000003</v>
      </c>
      <c r="HI115" s="404">
        <v>831.23832960000004</v>
      </c>
      <c r="HJ115" s="404">
        <v>3231.0777324000001</v>
      </c>
      <c r="HK115" s="404">
        <v>1038.23107</v>
      </c>
      <c r="HL115" s="404">
        <v>13.075439999999999</v>
      </c>
      <c r="HM115" s="404">
        <v>103.11803</v>
      </c>
      <c r="HN115" s="428"/>
      <c r="HO115" s="286"/>
      <c r="HP115" s="286"/>
      <c r="HQ115" s="286"/>
      <c r="HR115" s="286"/>
      <c r="HS115" s="306"/>
      <c r="HT115" s="306"/>
      <c r="HU115" s="306"/>
      <c r="HV115" s="306"/>
      <c r="HW115" s="286"/>
      <c r="HX115" s="286"/>
      <c r="HY115" s="286"/>
      <c r="HZ115" s="286"/>
      <c r="IA115" s="286"/>
      <c r="IB115" s="286"/>
      <c r="IC115" s="286"/>
      <c r="ID115" s="286"/>
      <c r="IE115" s="286"/>
      <c r="IF115" s="286"/>
      <c r="IG115" s="286"/>
      <c r="IH115" s="286"/>
      <c r="II115" s="286"/>
      <c r="IJ115" s="286"/>
      <c r="IK115" s="286"/>
      <c r="IL115" s="286"/>
      <c r="IM115" s="286"/>
      <c r="IN115" s="286"/>
      <c r="IO115" s="286"/>
      <c r="IP115" s="286"/>
      <c r="IQ115" s="286"/>
      <c r="IR115" s="286"/>
      <c r="IS115" s="286"/>
      <c r="IT115" s="286"/>
      <c r="IU115" s="286"/>
      <c r="IV115" s="286"/>
    </row>
    <row r="116" spans="1:256" s="338" customFormat="1" ht="13.5" hidden="1" customHeight="1">
      <c r="A116" s="909"/>
      <c r="B116" s="341"/>
      <c r="C116" s="380" t="s">
        <v>250</v>
      </c>
      <c r="D116" s="381" t="s">
        <v>223</v>
      </c>
      <c r="E116" s="299">
        <f t="shared" si="168"/>
        <v>222</v>
      </c>
      <c r="F116" s="299">
        <f t="shared" si="168"/>
        <v>15.040278000000002</v>
      </c>
      <c r="G116" s="299">
        <f t="shared" si="168"/>
        <v>15.040278000000002</v>
      </c>
      <c r="H116" s="299">
        <f t="shared" si="168"/>
        <v>0</v>
      </c>
      <c r="L116" s="301">
        <f t="shared" si="146"/>
        <v>0</v>
      </c>
      <c r="P116" s="301">
        <f t="shared" si="126"/>
        <v>0</v>
      </c>
      <c r="T116" s="301">
        <f t="shared" si="148"/>
        <v>0</v>
      </c>
      <c r="X116" s="301">
        <f t="shared" si="154"/>
        <v>0</v>
      </c>
      <c r="AB116" s="301">
        <f t="shared" si="127"/>
        <v>0</v>
      </c>
      <c r="AF116" s="300">
        <f t="shared" si="152"/>
        <v>0</v>
      </c>
      <c r="AJ116" s="300">
        <f t="shared" si="128"/>
        <v>0</v>
      </c>
      <c r="AN116" s="301">
        <f t="shared" si="129"/>
        <v>0</v>
      </c>
      <c r="AR116" s="300">
        <f t="shared" si="120"/>
        <v>0</v>
      </c>
      <c r="AV116" s="301">
        <f t="shared" si="130"/>
        <v>0</v>
      </c>
      <c r="AZ116" s="301">
        <f t="shared" si="131"/>
        <v>0</v>
      </c>
      <c r="BD116" s="301">
        <f t="shared" si="132"/>
        <v>0</v>
      </c>
      <c r="BH116" s="301">
        <f t="shared" si="149"/>
        <v>0</v>
      </c>
      <c r="BL116" s="301">
        <f t="shared" si="133"/>
        <v>0</v>
      </c>
      <c r="BP116" s="301">
        <f t="shared" si="134"/>
        <v>0</v>
      </c>
      <c r="BT116" s="301">
        <f t="shared" si="135"/>
        <v>0</v>
      </c>
      <c r="BX116" s="301">
        <f t="shared" si="137"/>
        <v>0</v>
      </c>
      <c r="BY116" s="338">
        <v>222</v>
      </c>
      <c r="BZ116" s="309">
        <f>BY116*1.1*61.59/1000</f>
        <v>15.040278000000002</v>
      </c>
      <c r="CA116" s="338">
        <f>BZ116</f>
        <v>15.040278000000002</v>
      </c>
      <c r="CB116" s="301">
        <f t="shared" si="138"/>
        <v>0</v>
      </c>
      <c r="CF116" s="300">
        <f t="shared" si="107"/>
        <v>0</v>
      </c>
      <c r="CJ116" s="301">
        <f t="shared" si="122"/>
        <v>0</v>
      </c>
      <c r="CN116" s="301">
        <f t="shared" si="84"/>
        <v>0</v>
      </c>
      <c r="CR116" s="301">
        <f t="shared" si="85"/>
        <v>0</v>
      </c>
      <c r="CV116" s="301">
        <f t="shared" si="86"/>
        <v>0</v>
      </c>
      <c r="CZ116" s="301">
        <f t="shared" si="87"/>
        <v>0</v>
      </c>
      <c r="DD116" s="300">
        <f t="shared" si="115"/>
        <v>0</v>
      </c>
      <c r="DH116" s="301">
        <f t="shared" si="159"/>
        <v>0</v>
      </c>
      <c r="DL116" s="301">
        <f t="shared" si="139"/>
        <v>0</v>
      </c>
      <c r="DP116" s="301">
        <f t="shared" si="82"/>
        <v>0</v>
      </c>
      <c r="DT116" s="300">
        <f t="shared" si="89"/>
        <v>0</v>
      </c>
      <c r="DX116" s="301">
        <f t="shared" si="112"/>
        <v>0</v>
      </c>
      <c r="EB116" s="301">
        <f t="shared" si="90"/>
        <v>0</v>
      </c>
      <c r="EF116" s="301">
        <f t="shared" si="91"/>
        <v>0</v>
      </c>
      <c r="EJ116" s="301">
        <f t="shared" si="92"/>
        <v>0</v>
      </c>
      <c r="EN116" s="301">
        <f t="shared" si="93"/>
        <v>0</v>
      </c>
      <c r="ER116" s="300">
        <f t="shared" si="94"/>
        <v>0</v>
      </c>
      <c r="EV116" s="300">
        <f t="shared" si="95"/>
        <v>0</v>
      </c>
      <c r="EZ116" s="301">
        <f t="shared" si="96"/>
        <v>0</v>
      </c>
      <c r="FD116" s="301">
        <f t="shared" si="97"/>
        <v>0</v>
      </c>
      <c r="FH116" s="300">
        <f t="shared" si="98"/>
        <v>0</v>
      </c>
      <c r="FL116" s="301">
        <f t="shared" si="113"/>
        <v>0</v>
      </c>
      <c r="FP116" s="301">
        <f t="shared" si="108"/>
        <v>0</v>
      </c>
      <c r="FT116" s="301">
        <f t="shared" si="99"/>
        <v>0</v>
      </c>
      <c r="FX116" s="301">
        <f t="shared" si="160"/>
        <v>0</v>
      </c>
      <c r="GB116" s="301">
        <f t="shared" si="101"/>
        <v>0</v>
      </c>
      <c r="GF116" s="301">
        <f t="shared" si="161"/>
        <v>0</v>
      </c>
      <c r="GJ116" s="301">
        <f t="shared" si="110"/>
        <v>0</v>
      </c>
      <c r="GN116" s="301">
        <f t="shared" si="103"/>
        <v>0</v>
      </c>
      <c r="GR116" s="301">
        <f t="shared" si="162"/>
        <v>0</v>
      </c>
      <c r="GV116" s="301">
        <f t="shared" si="105"/>
        <v>0</v>
      </c>
      <c r="GZ116" s="301">
        <f t="shared" si="150"/>
        <v>0</v>
      </c>
      <c r="HA116" s="413" t="s">
        <v>183</v>
      </c>
      <c r="HB116" s="405" t="s">
        <v>245</v>
      </c>
      <c r="HC116" s="414">
        <f>SUM(HC117:HC118)</f>
        <v>-116.32884139999942</v>
      </c>
      <c r="HD116" s="414">
        <f t="shared" ref="HD116:HM116" si="169">SUM(HD117:HD118)</f>
        <v>25.940429999999651</v>
      </c>
      <c r="HE116" s="414">
        <f t="shared" si="169"/>
        <v>2.6077999999999761</v>
      </c>
      <c r="HF116" s="414">
        <f t="shared" si="169"/>
        <v>33.880856199999016</v>
      </c>
      <c r="HG116" s="414">
        <f t="shared" si="169"/>
        <v>906.71948160000011</v>
      </c>
      <c r="HH116" s="414">
        <f t="shared" si="169"/>
        <v>-82.983888000000206</v>
      </c>
      <c r="HI116" s="414">
        <f t="shared" si="169"/>
        <v>18.520454399999949</v>
      </c>
      <c r="HJ116" s="414">
        <f t="shared" si="169"/>
        <v>76.84103499999901</v>
      </c>
      <c r="HK116" s="414" t="e">
        <f t="shared" si="169"/>
        <v>#REF!</v>
      </c>
      <c r="HL116" s="414">
        <f t="shared" si="169"/>
        <v>-0.15204000000000129</v>
      </c>
      <c r="HM116" s="414">
        <f t="shared" si="169"/>
        <v>-5.6274200000000034</v>
      </c>
      <c r="HN116" s="429" t="e">
        <f>SUM(HD116:HM116)</f>
        <v>#REF!</v>
      </c>
      <c r="HO116" s="430" t="e">
        <f>HN113-HN110</f>
        <v>#REF!</v>
      </c>
      <c r="HP116" s="286"/>
      <c r="HQ116" s="286"/>
      <c r="HR116" s="286"/>
      <c r="HS116" s="306"/>
      <c r="HT116" s="306"/>
      <c r="HU116" s="306"/>
      <c r="HV116" s="306"/>
      <c r="HW116" s="286"/>
      <c r="HX116" s="286"/>
      <c r="HY116" s="286"/>
      <c r="HZ116" s="286"/>
      <c r="IA116" s="286"/>
      <c r="IB116" s="286"/>
      <c r="IC116" s="286"/>
      <c r="ID116" s="286"/>
      <c r="IE116" s="286"/>
      <c r="IF116" s="286"/>
      <c r="IG116" s="286"/>
      <c r="IH116" s="286"/>
      <c r="II116" s="286"/>
      <c r="IJ116" s="286"/>
      <c r="IK116" s="286"/>
      <c r="IL116" s="286"/>
      <c r="IM116" s="286"/>
      <c r="IN116" s="286"/>
      <c r="IO116" s="286"/>
      <c r="IP116" s="286"/>
      <c r="IQ116" s="286"/>
      <c r="IR116" s="286"/>
      <c r="IS116" s="286"/>
      <c r="IT116" s="286"/>
      <c r="IU116" s="286"/>
      <c r="IV116" s="286"/>
    </row>
    <row r="117" spans="1:256" s="301" customFormat="1" ht="13.5" hidden="1" customHeight="1">
      <c r="A117" s="909"/>
      <c r="B117" s="415"/>
      <c r="C117" s="382" t="s">
        <v>233</v>
      </c>
      <c r="D117" s="416" t="s">
        <v>223</v>
      </c>
      <c r="E117" s="301">
        <f>SUM(E118:E119)</f>
        <v>285</v>
      </c>
      <c r="F117" s="301">
        <f>SUM(F118:F119)</f>
        <v>64.513925000000015</v>
      </c>
      <c r="G117" s="301">
        <f>SUM(G118:G119)</f>
        <v>64.513925000000015</v>
      </c>
      <c r="H117" s="301">
        <f>SUM(H118:H119)</f>
        <v>0</v>
      </c>
      <c r="L117" s="301">
        <f t="shared" si="146"/>
        <v>0</v>
      </c>
      <c r="M117" s="301">
        <f>M118+M119</f>
        <v>0</v>
      </c>
      <c r="N117" s="301">
        <f>N118+N119</f>
        <v>0</v>
      </c>
      <c r="O117" s="301">
        <f>O118+O119</f>
        <v>0</v>
      </c>
      <c r="P117" s="301">
        <f t="shared" si="126"/>
        <v>0</v>
      </c>
      <c r="T117" s="301">
        <f t="shared" si="148"/>
        <v>0</v>
      </c>
      <c r="X117" s="301">
        <f t="shared" si="154"/>
        <v>0</v>
      </c>
      <c r="AB117" s="301">
        <f t="shared" si="127"/>
        <v>0</v>
      </c>
      <c r="AF117" s="300">
        <f t="shared" si="152"/>
        <v>0</v>
      </c>
      <c r="AJ117" s="300">
        <f t="shared" si="128"/>
        <v>0</v>
      </c>
      <c r="AN117" s="301">
        <f t="shared" si="129"/>
        <v>0</v>
      </c>
      <c r="AR117" s="300">
        <f t="shared" si="120"/>
        <v>0</v>
      </c>
      <c r="AV117" s="301">
        <f t="shared" si="130"/>
        <v>0</v>
      </c>
      <c r="AZ117" s="301">
        <f t="shared" si="131"/>
        <v>0</v>
      </c>
      <c r="BD117" s="301">
        <f t="shared" si="132"/>
        <v>0</v>
      </c>
      <c r="BH117" s="301">
        <f t="shared" si="149"/>
        <v>0</v>
      </c>
      <c r="BL117" s="301">
        <f t="shared" si="133"/>
        <v>0</v>
      </c>
      <c r="BP117" s="301">
        <f t="shared" si="134"/>
        <v>0</v>
      </c>
      <c r="BT117" s="301">
        <f t="shared" si="135"/>
        <v>0</v>
      </c>
      <c r="BU117" s="301">
        <f>BU118+BU119</f>
        <v>139</v>
      </c>
      <c r="BV117" s="301">
        <f>BV118+BV119</f>
        <v>27.666440000000005</v>
      </c>
      <c r="BW117" s="309">
        <f>BW118+BW119</f>
        <v>27.666440000000005</v>
      </c>
      <c r="BX117" s="301">
        <f t="shared" si="137"/>
        <v>0</v>
      </c>
      <c r="CB117" s="301">
        <f t="shared" si="138"/>
        <v>0</v>
      </c>
      <c r="CF117" s="300">
        <f t="shared" si="107"/>
        <v>0</v>
      </c>
      <c r="CJ117" s="301">
        <f t="shared" si="122"/>
        <v>0</v>
      </c>
      <c r="CN117" s="301">
        <f t="shared" si="84"/>
        <v>0</v>
      </c>
      <c r="CR117" s="301">
        <f t="shared" si="85"/>
        <v>0</v>
      </c>
      <c r="CV117" s="301">
        <f t="shared" si="86"/>
        <v>0</v>
      </c>
      <c r="CZ117" s="301">
        <f t="shared" si="87"/>
        <v>0</v>
      </c>
      <c r="DD117" s="300">
        <f t="shared" si="115"/>
        <v>0</v>
      </c>
      <c r="DH117" s="301">
        <f t="shared" si="159"/>
        <v>0</v>
      </c>
      <c r="DL117" s="301">
        <f t="shared" si="139"/>
        <v>0</v>
      </c>
      <c r="DP117" s="301">
        <f t="shared" si="82"/>
        <v>0</v>
      </c>
      <c r="DT117" s="300">
        <f t="shared" si="89"/>
        <v>0</v>
      </c>
      <c r="DX117" s="301">
        <f t="shared" si="112"/>
        <v>0</v>
      </c>
      <c r="EB117" s="301">
        <f t="shared" si="90"/>
        <v>0</v>
      </c>
      <c r="EF117" s="301">
        <f t="shared" si="91"/>
        <v>0</v>
      </c>
      <c r="EG117" s="301">
        <f>SUM(EG118:EG119)</f>
        <v>116</v>
      </c>
      <c r="EH117" s="301">
        <f>SUM(EH118:EH119)</f>
        <v>26.744085000000002</v>
      </c>
      <c r="EI117" s="301">
        <f>SUM(EI118:EI119)</f>
        <v>26.744085000000002</v>
      </c>
      <c r="EJ117" s="301">
        <f t="shared" si="92"/>
        <v>0</v>
      </c>
      <c r="EN117" s="301">
        <f t="shared" si="93"/>
        <v>0</v>
      </c>
      <c r="EO117" s="300"/>
      <c r="EP117" s="300"/>
      <c r="EQ117" s="300"/>
      <c r="ER117" s="300">
        <f t="shared" si="94"/>
        <v>0</v>
      </c>
      <c r="EV117" s="300">
        <f t="shared" si="95"/>
        <v>0</v>
      </c>
      <c r="EZ117" s="301">
        <f t="shared" si="96"/>
        <v>0</v>
      </c>
      <c r="FD117" s="301">
        <f t="shared" si="97"/>
        <v>0</v>
      </c>
      <c r="FH117" s="300">
        <f t="shared" si="98"/>
        <v>0</v>
      </c>
      <c r="FL117" s="301">
        <f t="shared" si="113"/>
        <v>0</v>
      </c>
      <c r="FP117" s="301">
        <f t="shared" si="108"/>
        <v>0</v>
      </c>
      <c r="FQ117" s="301">
        <f>FQ118+FQ119</f>
        <v>30</v>
      </c>
      <c r="FR117" s="301">
        <f>FR118+FR119</f>
        <v>10.103399999999999</v>
      </c>
      <c r="FS117" s="301">
        <f>FS118+FS119</f>
        <v>10.103399999999999</v>
      </c>
      <c r="FT117" s="301">
        <f t="shared" si="99"/>
        <v>0</v>
      </c>
      <c r="FX117" s="301">
        <f>SUM(FX118:FX119)</f>
        <v>0</v>
      </c>
      <c r="GB117" s="301">
        <f t="shared" si="101"/>
        <v>0</v>
      </c>
      <c r="GF117" s="301">
        <f>SUM(GF118:GF119)</f>
        <v>0</v>
      </c>
      <c r="GJ117" s="301">
        <f t="shared" si="110"/>
        <v>0</v>
      </c>
      <c r="GN117" s="301">
        <f t="shared" si="103"/>
        <v>0</v>
      </c>
      <c r="GR117" s="301">
        <f>SUM(GR118:GR119)</f>
        <v>0</v>
      </c>
      <c r="GV117" s="301">
        <f t="shared" si="105"/>
        <v>0</v>
      </c>
      <c r="GZ117" s="301">
        <f t="shared" si="150"/>
        <v>0</v>
      </c>
      <c r="HA117" s="410" t="s">
        <v>251</v>
      </c>
      <c r="HB117" s="398" t="s">
        <v>247</v>
      </c>
      <c r="HC117" s="417">
        <f>HC114-HC111</f>
        <v>-99.573669999999765</v>
      </c>
      <c r="HD117" s="417">
        <f t="shared" ref="HD117:HM118" si="170">HD114-HD111</f>
        <v>41.676569999999629</v>
      </c>
      <c r="HE117" s="417">
        <f t="shared" si="170"/>
        <v>4.9546699999999646</v>
      </c>
      <c r="HF117" s="417">
        <f t="shared" si="170"/>
        <v>50.377929999999651</v>
      </c>
      <c r="HG117" s="417">
        <f t="shared" si="170"/>
        <v>-381.23316000000068</v>
      </c>
      <c r="HH117" s="417">
        <f t="shared" si="170"/>
        <v>-74.35706300000038</v>
      </c>
      <c r="HI117" s="417">
        <f t="shared" si="170"/>
        <v>23.005919999999946</v>
      </c>
      <c r="HJ117" s="417">
        <f t="shared" si="170"/>
        <v>107.12655999999879</v>
      </c>
      <c r="HK117" s="417" t="e">
        <f t="shared" si="170"/>
        <v>#REF!</v>
      </c>
      <c r="HL117" s="417">
        <f t="shared" si="170"/>
        <v>0</v>
      </c>
      <c r="HM117" s="417">
        <f t="shared" si="170"/>
        <v>-2.8501000000000003</v>
      </c>
      <c r="HN117" s="286"/>
      <c r="HO117" s="305"/>
      <c r="HP117" s="305"/>
      <c r="HQ117" s="305"/>
      <c r="HR117" s="305"/>
      <c r="HS117" s="306"/>
      <c r="HT117" s="306"/>
      <c r="HU117" s="306"/>
      <c r="HV117" s="306"/>
      <c r="HW117" s="305"/>
      <c r="HX117" s="305"/>
      <c r="HY117" s="305"/>
      <c r="HZ117" s="305"/>
      <c r="IA117" s="305"/>
      <c r="IB117" s="305"/>
      <c r="IC117" s="305"/>
      <c r="ID117" s="305"/>
      <c r="IE117" s="305"/>
      <c r="IF117" s="305"/>
      <c r="IG117" s="305"/>
      <c r="IH117" s="305"/>
      <c r="II117" s="305"/>
      <c r="IJ117" s="305"/>
      <c r="IK117" s="305"/>
      <c r="IL117" s="305"/>
      <c r="IM117" s="305"/>
      <c r="IN117" s="305"/>
      <c r="IO117" s="305"/>
      <c r="IP117" s="305"/>
      <c r="IQ117" s="305"/>
      <c r="IR117" s="305"/>
      <c r="IS117" s="305"/>
      <c r="IT117" s="305"/>
      <c r="IU117" s="305"/>
      <c r="IV117" s="305"/>
    </row>
    <row r="118" spans="1:256" s="338" customFormat="1" ht="13.5" hidden="1" customHeight="1">
      <c r="A118" s="909"/>
      <c r="B118" s="341"/>
      <c r="C118" s="380" t="s">
        <v>248</v>
      </c>
      <c r="D118" s="381" t="s">
        <v>223</v>
      </c>
      <c r="E118" s="299">
        <f t="shared" ref="E118:H119" si="171">I118+M118+Q118+U118+Y118+AC118+AG118+AK118+AO118+AS118+AW118+BA118+BE118+BI118+BM118+BQ118+BU118+BY118+CC118+CG118+CK118+CO118+CS118+CW118+DA118+DE118+DI118+DM118+DQ118+DU118+DY118+EC118+EG118+EK118+EO118+ES118+EW118+FA118+FE118+FI118+FM118+FQ118+FU118+FY118+GC118+GK118+GG118+GO118+GS118+GW118</f>
        <v>150</v>
      </c>
      <c r="F118" s="299">
        <f t="shared" si="171"/>
        <v>54.343800000000009</v>
      </c>
      <c r="G118" s="299">
        <f t="shared" si="171"/>
        <v>54.343800000000009</v>
      </c>
      <c r="H118" s="299">
        <f t="shared" si="171"/>
        <v>0</v>
      </c>
      <c r="L118" s="301">
        <f t="shared" si="146"/>
        <v>0</v>
      </c>
      <c r="M118" s="338">
        <f>'[1]УМУП УК ЖКХ г.Ульяновска'!K199</f>
        <v>0</v>
      </c>
      <c r="N118" s="338">
        <f>'[1]УМУП УК ЖКХ г.Ульяновска'!L199/1000</f>
        <v>0</v>
      </c>
      <c r="O118" s="338">
        <f>'[1]УМУП УК ЖКХ г.Ульяновска'!M199/1000</f>
        <v>0</v>
      </c>
      <c r="P118" s="301">
        <f t="shared" si="126"/>
        <v>0</v>
      </c>
      <c r="T118" s="301">
        <f t="shared" si="148"/>
        <v>0</v>
      </c>
      <c r="X118" s="301">
        <f t="shared" si="154"/>
        <v>0</v>
      </c>
      <c r="AB118" s="301">
        <f t="shared" si="127"/>
        <v>0</v>
      </c>
      <c r="AF118" s="300">
        <f t="shared" si="152"/>
        <v>0</v>
      </c>
      <c r="AJ118" s="300">
        <f t="shared" si="128"/>
        <v>0</v>
      </c>
      <c r="AN118" s="301">
        <f t="shared" si="129"/>
        <v>0</v>
      </c>
      <c r="AR118" s="300">
        <f t="shared" si="120"/>
        <v>0</v>
      </c>
      <c r="AV118" s="301">
        <f t="shared" si="130"/>
        <v>0</v>
      </c>
      <c r="AZ118" s="301">
        <f t="shared" si="131"/>
        <v>0</v>
      </c>
      <c r="BD118" s="301">
        <f t="shared" si="132"/>
        <v>0</v>
      </c>
      <c r="BH118" s="301">
        <f t="shared" si="149"/>
        <v>0</v>
      </c>
      <c r="BL118" s="301">
        <f t="shared" si="133"/>
        <v>0</v>
      </c>
      <c r="BP118" s="301">
        <f t="shared" si="134"/>
        <v>0</v>
      </c>
      <c r="BT118" s="301">
        <f t="shared" si="135"/>
        <v>0</v>
      </c>
      <c r="BU118" s="309">
        <f>'[1]ОАО ДК Лен р-на'!K439</f>
        <v>57</v>
      </c>
      <c r="BV118" s="309">
        <f>'[1]ОАО ДК Лен р-на'!L439/1000</f>
        <v>21.014190000000003</v>
      </c>
      <c r="BW118" s="309">
        <f>'[1]ОАО ДК Лен р-на'!M439/1000</f>
        <v>21.014190000000003</v>
      </c>
      <c r="BX118" s="301">
        <f t="shared" si="137"/>
        <v>0</v>
      </c>
      <c r="CB118" s="301">
        <f t="shared" si="138"/>
        <v>0</v>
      </c>
      <c r="CF118" s="300">
        <f t="shared" si="107"/>
        <v>0</v>
      </c>
      <c r="CJ118" s="301">
        <f t="shared" si="122"/>
        <v>0</v>
      </c>
      <c r="CN118" s="301">
        <f t="shared" si="84"/>
        <v>0</v>
      </c>
      <c r="CR118" s="301">
        <f t="shared" si="85"/>
        <v>0</v>
      </c>
      <c r="CV118" s="301">
        <f t="shared" si="86"/>
        <v>0</v>
      </c>
      <c r="CZ118" s="301">
        <f t="shared" si="87"/>
        <v>0</v>
      </c>
      <c r="DD118" s="300">
        <f t="shared" si="115"/>
        <v>0</v>
      </c>
      <c r="DH118" s="301">
        <f t="shared" si="159"/>
        <v>0</v>
      </c>
      <c r="DL118" s="301">
        <f t="shared" si="139"/>
        <v>0</v>
      </c>
      <c r="DP118" s="301">
        <f t="shared" si="82"/>
        <v>0</v>
      </c>
      <c r="DT118" s="300">
        <f t="shared" si="89"/>
        <v>0</v>
      </c>
      <c r="DX118" s="301">
        <f t="shared" si="112"/>
        <v>0</v>
      </c>
      <c r="EB118" s="301">
        <f t="shared" si="90"/>
        <v>0</v>
      </c>
      <c r="EF118" s="301">
        <f t="shared" si="91"/>
        <v>0</v>
      </c>
      <c r="EG118" s="338">
        <f>'[1]ООО ЦЭТ'!K301</f>
        <v>63</v>
      </c>
      <c r="EH118" s="338">
        <f>'[1]ООО ЦЭТ'!L301/1000</f>
        <v>23.226210000000002</v>
      </c>
      <c r="EI118" s="338">
        <f>'[1]ООО ЦЭТ'!M301/1000</f>
        <v>23.226210000000002</v>
      </c>
      <c r="EJ118" s="301">
        <f t="shared" si="92"/>
        <v>0</v>
      </c>
      <c r="EN118" s="301">
        <f t="shared" si="93"/>
        <v>0</v>
      </c>
      <c r="EO118" s="310"/>
      <c r="EP118" s="310"/>
      <c r="EQ118" s="310"/>
      <c r="ER118" s="300">
        <f t="shared" si="94"/>
        <v>0</v>
      </c>
      <c r="EV118" s="300">
        <f t="shared" si="95"/>
        <v>0</v>
      </c>
      <c r="EZ118" s="301">
        <f t="shared" si="96"/>
        <v>0</v>
      </c>
      <c r="FD118" s="301">
        <f t="shared" si="97"/>
        <v>0</v>
      </c>
      <c r="FH118" s="300">
        <f t="shared" si="98"/>
        <v>0</v>
      </c>
      <c r="FL118" s="301">
        <f t="shared" si="113"/>
        <v>0</v>
      </c>
      <c r="FP118" s="301">
        <f t="shared" si="108"/>
        <v>0</v>
      </c>
      <c r="FQ118" s="338">
        <f>'[1]ООО ЖКХ Лен-го района'!K255</f>
        <v>30</v>
      </c>
      <c r="FR118" s="338">
        <f>'[1]ООО ЖКХ Лен-го района'!L255/1000</f>
        <v>10.103399999999999</v>
      </c>
      <c r="FS118" s="338">
        <f>'[1]ООО ЖКХ Лен-го района'!M255/1000</f>
        <v>10.103399999999999</v>
      </c>
      <c r="FT118" s="301">
        <f t="shared" si="99"/>
        <v>0</v>
      </c>
      <c r="FX118" s="301">
        <f>FW118-FV118</f>
        <v>0</v>
      </c>
      <c r="GB118" s="301">
        <f t="shared" si="101"/>
        <v>0</v>
      </c>
      <c r="GF118" s="301">
        <f>GE118-GD118</f>
        <v>0</v>
      </c>
      <c r="GJ118" s="301">
        <f t="shared" si="110"/>
        <v>0</v>
      </c>
      <c r="GN118" s="301">
        <f t="shared" si="103"/>
        <v>0</v>
      </c>
      <c r="GR118" s="301">
        <f>GQ118-GP118</f>
        <v>0</v>
      </c>
      <c r="GV118" s="301">
        <f t="shared" si="105"/>
        <v>0</v>
      </c>
      <c r="GZ118" s="301">
        <f t="shared" si="150"/>
        <v>0</v>
      </c>
      <c r="HA118" s="328"/>
      <c r="HB118" s="412" t="s">
        <v>249</v>
      </c>
      <c r="HC118" s="417">
        <f>HC115-HC112</f>
        <v>-16.755171399999654</v>
      </c>
      <c r="HD118" s="417">
        <f t="shared" si="170"/>
        <v>-15.736139999999978</v>
      </c>
      <c r="HE118" s="417">
        <f t="shared" si="170"/>
        <v>-2.3468699999999885</v>
      </c>
      <c r="HF118" s="417">
        <f t="shared" si="170"/>
        <v>-16.497073800000635</v>
      </c>
      <c r="HG118" s="417">
        <f t="shared" si="170"/>
        <v>1287.9526416000008</v>
      </c>
      <c r="HH118" s="417">
        <f t="shared" si="170"/>
        <v>-8.6268249999998261</v>
      </c>
      <c r="HI118" s="417">
        <f t="shared" si="170"/>
        <v>-4.4854655999999977</v>
      </c>
      <c r="HJ118" s="417">
        <f t="shared" si="170"/>
        <v>-30.28552499999978</v>
      </c>
      <c r="HK118" s="417">
        <f t="shared" si="170"/>
        <v>11.087672800000064</v>
      </c>
      <c r="HL118" s="417">
        <f t="shared" si="170"/>
        <v>-0.15204000000000129</v>
      </c>
      <c r="HM118" s="417">
        <f t="shared" si="170"/>
        <v>-2.7773200000000031</v>
      </c>
      <c r="HN118" s="286"/>
      <c r="HO118" s="286"/>
      <c r="HP118" s="286"/>
      <c r="HQ118" s="286"/>
      <c r="HR118" s="286"/>
      <c r="HS118" s="306"/>
      <c r="HT118" s="306"/>
      <c r="HU118" s="306"/>
      <c r="HV118" s="306"/>
      <c r="HW118" s="286"/>
      <c r="HX118" s="286"/>
      <c r="HY118" s="286"/>
      <c r="HZ118" s="286"/>
      <c r="IA118" s="286"/>
      <c r="IB118" s="286"/>
      <c r="IC118" s="286"/>
      <c r="ID118" s="286"/>
      <c r="IE118" s="286"/>
      <c r="IF118" s="286"/>
      <c r="IG118" s="286"/>
      <c r="IH118" s="286"/>
      <c r="II118" s="286"/>
      <c r="IJ118" s="286"/>
      <c r="IK118" s="286"/>
      <c r="IL118" s="286"/>
      <c r="IM118" s="286"/>
      <c r="IN118" s="286"/>
      <c r="IO118" s="286"/>
      <c r="IP118" s="286"/>
      <c r="IQ118" s="286"/>
      <c r="IR118" s="286"/>
      <c r="IS118" s="286"/>
      <c r="IT118" s="286"/>
      <c r="IU118" s="286"/>
      <c r="IV118" s="286"/>
    </row>
    <row r="119" spans="1:256" s="338" customFormat="1" ht="13.5" hidden="1" customHeight="1">
      <c r="A119" s="909"/>
      <c r="B119" s="341"/>
      <c r="C119" s="380" t="s">
        <v>250</v>
      </c>
      <c r="D119" s="381" t="s">
        <v>223</v>
      </c>
      <c r="E119" s="299">
        <f t="shared" si="171"/>
        <v>135</v>
      </c>
      <c r="F119" s="299">
        <f t="shared" si="171"/>
        <v>10.170125000000002</v>
      </c>
      <c r="G119" s="299">
        <f t="shared" si="171"/>
        <v>10.170125000000002</v>
      </c>
      <c r="H119" s="299">
        <f t="shared" si="171"/>
        <v>0</v>
      </c>
      <c r="L119" s="301">
        <f t="shared" si="146"/>
        <v>0</v>
      </c>
      <c r="N119" s="338">
        <f>M119*70.93*1/1000</f>
        <v>0</v>
      </c>
      <c r="O119" s="338">
        <f>N119</f>
        <v>0</v>
      </c>
      <c r="P119" s="301">
        <f t="shared" si="126"/>
        <v>0</v>
      </c>
      <c r="T119" s="301">
        <f t="shared" si="148"/>
        <v>0</v>
      </c>
      <c r="X119" s="301">
        <f t="shared" si="154"/>
        <v>0</v>
      </c>
      <c r="AB119" s="301">
        <f t="shared" si="127"/>
        <v>0</v>
      </c>
      <c r="AF119" s="300">
        <f t="shared" si="152"/>
        <v>0</v>
      </c>
      <c r="AJ119" s="300">
        <f t="shared" si="128"/>
        <v>0</v>
      </c>
      <c r="AN119" s="301">
        <f t="shared" si="129"/>
        <v>0</v>
      </c>
      <c r="AR119" s="300">
        <f t="shared" si="120"/>
        <v>0</v>
      </c>
      <c r="AV119" s="301">
        <f t="shared" si="130"/>
        <v>0</v>
      </c>
      <c r="AZ119" s="301">
        <f t="shared" si="131"/>
        <v>0</v>
      </c>
      <c r="BD119" s="301">
        <f t="shared" si="132"/>
        <v>0</v>
      </c>
      <c r="BH119" s="301">
        <f t="shared" si="149"/>
        <v>0</v>
      </c>
      <c r="BL119" s="301">
        <f t="shared" si="133"/>
        <v>0</v>
      </c>
      <c r="BP119" s="301">
        <f t="shared" si="134"/>
        <v>0</v>
      </c>
      <c r="BT119" s="301">
        <f t="shared" si="135"/>
        <v>0</v>
      </c>
      <c r="BU119" s="338">
        <v>82</v>
      </c>
      <c r="BV119" s="309">
        <f>BU119*73.75*1.1/1000</f>
        <v>6.6522500000000013</v>
      </c>
      <c r="BW119" s="338">
        <f>BV119</f>
        <v>6.6522500000000013</v>
      </c>
      <c r="BX119" s="301">
        <f t="shared" si="137"/>
        <v>0</v>
      </c>
      <c r="CB119" s="301">
        <f t="shared" si="138"/>
        <v>0</v>
      </c>
      <c r="CF119" s="300">
        <f t="shared" si="107"/>
        <v>0</v>
      </c>
      <c r="CJ119" s="301">
        <f t="shared" si="122"/>
        <v>0</v>
      </c>
      <c r="CN119" s="301">
        <f t="shared" si="84"/>
        <v>0</v>
      </c>
      <c r="CR119" s="301">
        <f t="shared" si="85"/>
        <v>0</v>
      </c>
      <c r="CV119" s="301">
        <f t="shared" si="86"/>
        <v>0</v>
      </c>
      <c r="CZ119" s="301">
        <f t="shared" si="87"/>
        <v>0</v>
      </c>
      <c r="DD119" s="300">
        <f t="shared" si="115"/>
        <v>0</v>
      </c>
      <c r="DH119" s="301">
        <f t="shared" si="159"/>
        <v>0</v>
      </c>
      <c r="DL119" s="301">
        <f t="shared" si="139"/>
        <v>0</v>
      </c>
      <c r="DP119" s="301">
        <f t="shared" si="82"/>
        <v>0</v>
      </c>
      <c r="DT119" s="300">
        <f t="shared" si="89"/>
        <v>0</v>
      </c>
      <c r="DX119" s="301">
        <f t="shared" si="112"/>
        <v>0</v>
      </c>
      <c r="EB119" s="301">
        <f t="shared" si="90"/>
        <v>0</v>
      </c>
      <c r="EF119" s="301">
        <f t="shared" si="91"/>
        <v>0</v>
      </c>
      <c r="EG119" s="338">
        <v>53</v>
      </c>
      <c r="EH119" s="310">
        <f>EG119*73.75*0.9/1000</f>
        <v>3.5178750000000001</v>
      </c>
      <c r="EI119" s="338">
        <f>EH119</f>
        <v>3.5178750000000001</v>
      </c>
      <c r="EJ119" s="301">
        <f t="shared" si="92"/>
        <v>0</v>
      </c>
      <c r="EN119" s="301">
        <f t="shared" si="93"/>
        <v>0</v>
      </c>
      <c r="EO119" s="310"/>
      <c r="EP119" s="310"/>
      <c r="EQ119" s="310"/>
      <c r="ER119" s="300">
        <f t="shared" si="94"/>
        <v>0</v>
      </c>
      <c r="EV119" s="300">
        <f t="shared" si="95"/>
        <v>0</v>
      </c>
      <c r="EZ119" s="301">
        <f t="shared" si="96"/>
        <v>0</v>
      </c>
      <c r="FD119" s="301">
        <f t="shared" si="97"/>
        <v>0</v>
      </c>
      <c r="FH119" s="300">
        <f t="shared" si="98"/>
        <v>0</v>
      </c>
      <c r="FL119" s="301">
        <f t="shared" si="113"/>
        <v>0</v>
      </c>
      <c r="FP119" s="301">
        <f t="shared" si="108"/>
        <v>0</v>
      </c>
      <c r="FT119" s="301">
        <f t="shared" si="99"/>
        <v>0</v>
      </c>
      <c r="FX119" s="301">
        <f>FW119-FV119</f>
        <v>0</v>
      </c>
      <c r="GB119" s="301">
        <f t="shared" si="101"/>
        <v>0</v>
      </c>
      <c r="GF119" s="301">
        <f>GE119-GD119</f>
        <v>0</v>
      </c>
      <c r="GJ119" s="301">
        <f>GI119-GH119</f>
        <v>0</v>
      </c>
      <c r="GN119" s="301">
        <f t="shared" si="103"/>
        <v>0</v>
      </c>
      <c r="GR119" s="301">
        <f>GQ119-GP119</f>
        <v>0</v>
      </c>
      <c r="GV119" s="301">
        <f t="shared" si="105"/>
        <v>0</v>
      </c>
      <c r="GZ119" s="301">
        <f t="shared" si="150"/>
        <v>0</v>
      </c>
      <c r="HA119" s="328"/>
      <c r="HB119" s="431"/>
      <c r="HC119" s="425"/>
      <c r="HD119" s="425"/>
      <c r="HE119" s="425"/>
      <c r="HF119" s="425"/>
      <c r="HG119" s="425"/>
      <c r="HH119" s="425"/>
      <c r="HI119" s="425"/>
      <c r="HJ119" s="425"/>
      <c r="HK119" s="425"/>
      <c r="HL119" s="425"/>
      <c r="HM119" s="305"/>
      <c r="HN119" s="305"/>
      <c r="HO119" s="286"/>
      <c r="HP119" s="286"/>
      <c r="HQ119" s="286"/>
      <c r="HR119" s="286"/>
      <c r="HS119" s="306"/>
      <c r="HT119" s="306"/>
      <c r="HU119" s="306"/>
      <c r="HV119" s="306"/>
      <c r="HW119" s="286"/>
      <c r="HX119" s="286"/>
      <c r="HY119" s="286"/>
      <c r="HZ119" s="286"/>
      <c r="IA119" s="286"/>
      <c r="IB119" s="286"/>
      <c r="IC119" s="286"/>
      <c r="ID119" s="286"/>
      <c r="IE119" s="286"/>
      <c r="IF119" s="286"/>
      <c r="IG119" s="286"/>
      <c r="IH119" s="286"/>
      <c r="II119" s="286"/>
      <c r="IJ119" s="286"/>
      <c r="IK119" s="286"/>
      <c r="IL119" s="286"/>
      <c r="IM119" s="286"/>
      <c r="IN119" s="286"/>
      <c r="IO119" s="286"/>
      <c r="IP119" s="286"/>
      <c r="IQ119" s="286"/>
      <c r="IR119" s="286"/>
      <c r="IS119" s="286"/>
      <c r="IT119" s="286"/>
      <c r="IU119" s="286"/>
      <c r="IV119" s="286"/>
    </row>
    <row r="120" spans="1:256" s="301" customFormat="1" ht="13.5" hidden="1" customHeight="1">
      <c r="A120" s="909"/>
      <c r="B120" s="415"/>
      <c r="C120" s="382" t="s">
        <v>253</v>
      </c>
      <c r="D120" s="416" t="s">
        <v>223</v>
      </c>
      <c r="E120" s="301">
        <f>SUM(E121:E122)</f>
        <v>0</v>
      </c>
      <c r="F120" s="301">
        <f>SUM(F121:F122)</f>
        <v>0</v>
      </c>
      <c r="G120" s="301">
        <f>SUM(G121:G122)</f>
        <v>0</v>
      </c>
      <c r="H120" s="301">
        <f>SUM(H121:H122)</f>
        <v>0</v>
      </c>
      <c r="L120" s="301">
        <f t="shared" si="146"/>
        <v>0</v>
      </c>
      <c r="P120" s="301">
        <f t="shared" si="126"/>
        <v>0</v>
      </c>
      <c r="T120" s="301">
        <f t="shared" si="148"/>
        <v>0</v>
      </c>
      <c r="X120" s="301">
        <f t="shared" si="154"/>
        <v>0</v>
      </c>
      <c r="AB120" s="301">
        <f t="shared" si="127"/>
        <v>0</v>
      </c>
      <c r="AF120" s="300">
        <f t="shared" si="152"/>
        <v>0</v>
      </c>
      <c r="AJ120" s="300">
        <f t="shared" si="128"/>
        <v>0</v>
      </c>
      <c r="AN120" s="301">
        <f t="shared" si="129"/>
        <v>0</v>
      </c>
      <c r="AR120" s="300">
        <f t="shared" si="120"/>
        <v>0</v>
      </c>
      <c r="AV120" s="301">
        <f t="shared" si="130"/>
        <v>0</v>
      </c>
      <c r="AZ120" s="301">
        <f t="shared" si="131"/>
        <v>0</v>
      </c>
      <c r="BD120" s="301">
        <f t="shared" si="132"/>
        <v>0</v>
      </c>
      <c r="BH120" s="301">
        <f t="shared" si="149"/>
        <v>0</v>
      </c>
      <c r="BL120" s="301">
        <f t="shared" si="133"/>
        <v>0</v>
      </c>
      <c r="BP120" s="301">
        <f t="shared" si="134"/>
        <v>0</v>
      </c>
      <c r="BT120" s="301">
        <f t="shared" si="135"/>
        <v>0</v>
      </c>
      <c r="BU120" s="301">
        <f>BU121+BU122</f>
        <v>0</v>
      </c>
      <c r="BV120" s="301">
        <f>BV121+BV122</f>
        <v>0</v>
      </c>
      <c r="BW120" s="309">
        <f>BW121+BW122</f>
        <v>0</v>
      </c>
      <c r="BX120" s="301">
        <f t="shared" si="137"/>
        <v>0</v>
      </c>
      <c r="CB120" s="301">
        <f t="shared" si="138"/>
        <v>0</v>
      </c>
      <c r="CF120" s="300">
        <f t="shared" si="107"/>
        <v>0</v>
      </c>
      <c r="CJ120" s="301">
        <f t="shared" si="122"/>
        <v>0</v>
      </c>
      <c r="CN120" s="301">
        <f t="shared" si="84"/>
        <v>0</v>
      </c>
      <c r="CR120" s="301">
        <f t="shared" si="85"/>
        <v>0</v>
      </c>
      <c r="CV120" s="301">
        <f t="shared" si="86"/>
        <v>0</v>
      </c>
      <c r="CZ120" s="301">
        <f t="shared" si="87"/>
        <v>0</v>
      </c>
      <c r="DD120" s="300">
        <f t="shared" si="115"/>
        <v>0</v>
      </c>
      <c r="DH120" s="301">
        <f t="shared" si="159"/>
        <v>0</v>
      </c>
      <c r="DL120" s="301">
        <f t="shared" si="139"/>
        <v>0</v>
      </c>
      <c r="DP120" s="301">
        <f t="shared" si="82"/>
        <v>0</v>
      </c>
      <c r="DT120" s="300">
        <f t="shared" si="89"/>
        <v>0</v>
      </c>
      <c r="DX120" s="301">
        <f t="shared" si="112"/>
        <v>0</v>
      </c>
      <c r="EB120" s="301">
        <f t="shared" si="90"/>
        <v>0</v>
      </c>
      <c r="EF120" s="301">
        <f t="shared" si="91"/>
        <v>0</v>
      </c>
      <c r="EH120" s="300"/>
      <c r="EJ120" s="301">
        <f>SUM(EJ121:EJ122)</f>
        <v>0</v>
      </c>
      <c r="EN120" s="301">
        <f t="shared" si="93"/>
        <v>0</v>
      </c>
      <c r="EO120" s="300"/>
      <c r="EP120" s="300"/>
      <c r="EQ120" s="300"/>
      <c r="ER120" s="300">
        <f t="shared" si="94"/>
        <v>0</v>
      </c>
      <c r="EV120" s="300">
        <f t="shared" si="95"/>
        <v>0</v>
      </c>
      <c r="EZ120" s="301">
        <f t="shared" si="96"/>
        <v>0</v>
      </c>
      <c r="FD120" s="301">
        <f t="shared" si="97"/>
        <v>0</v>
      </c>
      <c r="FH120" s="300">
        <f t="shared" si="98"/>
        <v>0</v>
      </c>
      <c r="FL120" s="301">
        <f t="shared" si="113"/>
        <v>0</v>
      </c>
      <c r="FP120" s="301">
        <f t="shared" si="108"/>
        <v>0</v>
      </c>
      <c r="FT120" s="301">
        <f t="shared" si="99"/>
        <v>0</v>
      </c>
      <c r="FX120" s="301">
        <f>SUM(FX121:FX122)</f>
        <v>0</v>
      </c>
      <c r="GB120" s="301">
        <f t="shared" si="101"/>
        <v>0</v>
      </c>
      <c r="GF120" s="301">
        <f>SUM(GF121:GF122)</f>
        <v>0</v>
      </c>
      <c r="GJ120" s="301">
        <f>SUM(GJ121:GJ122)</f>
        <v>0</v>
      </c>
      <c r="GN120" s="301">
        <f t="shared" si="103"/>
        <v>0</v>
      </c>
      <c r="GR120" s="301">
        <f>SUM(GR121:GR122)</f>
        <v>0</v>
      </c>
      <c r="GV120" s="301">
        <f t="shared" si="105"/>
        <v>0</v>
      </c>
      <c r="GZ120" s="301">
        <f t="shared" si="150"/>
        <v>0</v>
      </c>
      <c r="HA120" s="328"/>
      <c r="HB120" s="339"/>
      <c r="HC120" s="286"/>
      <c r="HD120" s="286"/>
      <c r="HE120" s="286"/>
      <c r="HF120" s="286"/>
      <c r="HG120" s="286"/>
      <c r="HH120" s="286"/>
      <c r="HI120" s="286"/>
      <c r="HJ120" s="286"/>
      <c r="HK120" s="286"/>
      <c r="HL120" s="286"/>
      <c r="HM120" s="286"/>
      <c r="HN120" s="286"/>
      <c r="HO120" s="305"/>
      <c r="HP120" s="305"/>
      <c r="HQ120" s="305"/>
      <c r="HR120" s="305"/>
      <c r="HS120" s="306"/>
      <c r="HT120" s="306"/>
      <c r="HU120" s="306"/>
      <c r="HV120" s="306"/>
      <c r="HW120" s="305"/>
      <c r="HX120" s="305"/>
      <c r="HY120" s="305"/>
      <c r="HZ120" s="305"/>
      <c r="IA120" s="305"/>
      <c r="IB120" s="305"/>
      <c r="IC120" s="305"/>
      <c r="ID120" s="305"/>
      <c r="IE120" s="305"/>
      <c r="IF120" s="305"/>
      <c r="IG120" s="305"/>
      <c r="IH120" s="305"/>
      <c r="II120" s="305"/>
      <c r="IJ120" s="305"/>
      <c r="IK120" s="305"/>
      <c r="IL120" s="305"/>
      <c r="IM120" s="305"/>
      <c r="IN120" s="305"/>
      <c r="IO120" s="305"/>
      <c r="IP120" s="305"/>
      <c r="IQ120" s="305"/>
      <c r="IR120" s="305"/>
      <c r="IS120" s="305"/>
      <c r="IT120" s="305"/>
      <c r="IU120" s="305"/>
      <c r="IV120" s="305"/>
    </row>
    <row r="121" spans="1:256" s="338" customFormat="1" ht="13.5" hidden="1" customHeight="1">
      <c r="A121" s="909"/>
      <c r="B121" s="341"/>
      <c r="C121" s="380" t="s">
        <v>248</v>
      </c>
      <c r="D121" s="381" t="s">
        <v>223</v>
      </c>
      <c r="E121" s="299">
        <f t="shared" ref="E121:H130" si="172">I121+M121+Q121+U121+Y121+AC121+AG121+AK121+AO121+AS121+AW121+BA121+BE121+BI121+BM121+BQ121+BU121+BY121+CC121+CG121+CK121+CO121+CS121+CW121+DA121+DE121+DI121+DM121+DQ121+DU121+DY121+EC121+EG121+EK121+EO121+ES121+EW121+FA121+FE121+FI121+FM121+FQ121+FU121+FY121+GC121+GK121+GG121+GO121+GS121+GW121</f>
        <v>0</v>
      </c>
      <c r="F121" s="299">
        <f t="shared" si="172"/>
        <v>0</v>
      </c>
      <c r="G121" s="299">
        <f t="shared" si="172"/>
        <v>0</v>
      </c>
      <c r="H121" s="299">
        <f t="shared" si="172"/>
        <v>0</v>
      </c>
      <c r="L121" s="301">
        <f t="shared" si="146"/>
        <v>0</v>
      </c>
      <c r="P121" s="301">
        <f t="shared" si="126"/>
        <v>0</v>
      </c>
      <c r="T121" s="301">
        <f t="shared" si="148"/>
        <v>0</v>
      </c>
      <c r="X121" s="301">
        <f t="shared" si="154"/>
        <v>0</v>
      </c>
      <c r="AB121" s="301">
        <f t="shared" si="127"/>
        <v>0</v>
      </c>
      <c r="AF121" s="300">
        <f t="shared" si="152"/>
        <v>0</v>
      </c>
      <c r="AJ121" s="300">
        <f t="shared" si="128"/>
        <v>0</v>
      </c>
      <c r="AN121" s="301">
        <f t="shared" si="129"/>
        <v>0</v>
      </c>
      <c r="AR121" s="300">
        <f t="shared" si="120"/>
        <v>0</v>
      </c>
      <c r="AV121" s="301">
        <f t="shared" si="130"/>
        <v>0</v>
      </c>
      <c r="AZ121" s="301">
        <f t="shared" si="131"/>
        <v>0</v>
      </c>
      <c r="BD121" s="301">
        <f t="shared" si="132"/>
        <v>0</v>
      </c>
      <c r="BH121" s="301">
        <f t="shared" si="149"/>
        <v>0</v>
      </c>
      <c r="BL121" s="301">
        <f t="shared" si="133"/>
        <v>0</v>
      </c>
      <c r="BP121" s="301">
        <f t="shared" si="134"/>
        <v>0</v>
      </c>
      <c r="BT121" s="301">
        <f t="shared" si="135"/>
        <v>0</v>
      </c>
      <c r="BU121" s="338">
        <f>'[1]ОАО ДК Лен р-на'!K436</f>
        <v>0</v>
      </c>
      <c r="BV121" s="338">
        <f>'[1]ОАО ДК Лен р-на'!L436/1000</f>
        <v>0</v>
      </c>
      <c r="BW121" s="338">
        <f>'[1]ОАО ДК Лен р-на'!M436/1000</f>
        <v>0</v>
      </c>
      <c r="BX121" s="301">
        <f t="shared" si="137"/>
        <v>0</v>
      </c>
      <c r="CB121" s="301">
        <f t="shared" si="138"/>
        <v>0</v>
      </c>
      <c r="CF121" s="300">
        <f t="shared" si="107"/>
        <v>0</v>
      </c>
      <c r="CJ121" s="301">
        <f t="shared" si="122"/>
        <v>0</v>
      </c>
      <c r="CN121" s="301">
        <f t="shared" si="84"/>
        <v>0</v>
      </c>
      <c r="CR121" s="301">
        <f t="shared" si="85"/>
        <v>0</v>
      </c>
      <c r="CV121" s="301">
        <f t="shared" si="86"/>
        <v>0</v>
      </c>
      <c r="CZ121" s="301">
        <f t="shared" si="87"/>
        <v>0</v>
      </c>
      <c r="DD121" s="300">
        <f t="shared" si="115"/>
        <v>0</v>
      </c>
      <c r="DH121" s="301">
        <f t="shared" si="159"/>
        <v>0</v>
      </c>
      <c r="DL121" s="301">
        <f t="shared" si="139"/>
        <v>0</v>
      </c>
      <c r="DP121" s="301">
        <f t="shared" si="82"/>
        <v>0</v>
      </c>
      <c r="DT121" s="300">
        <f t="shared" si="89"/>
        <v>0</v>
      </c>
      <c r="DX121" s="301">
        <f t="shared" si="112"/>
        <v>0</v>
      </c>
      <c r="EB121" s="301">
        <f t="shared" si="90"/>
        <v>0</v>
      </c>
      <c r="EF121" s="301">
        <f t="shared" si="91"/>
        <v>0</v>
      </c>
      <c r="EH121" s="310"/>
      <c r="EJ121" s="301">
        <f t="shared" si="92"/>
        <v>0</v>
      </c>
      <c r="EN121" s="301">
        <f t="shared" si="93"/>
        <v>0</v>
      </c>
      <c r="EO121" s="310"/>
      <c r="EP121" s="310"/>
      <c r="EQ121" s="310"/>
      <c r="ER121" s="300">
        <f t="shared" si="94"/>
        <v>0</v>
      </c>
      <c r="EV121" s="300">
        <f t="shared" si="95"/>
        <v>0</v>
      </c>
      <c r="EZ121" s="301">
        <f t="shared" si="96"/>
        <v>0</v>
      </c>
      <c r="FD121" s="301">
        <f t="shared" si="97"/>
        <v>0</v>
      </c>
      <c r="FH121" s="300">
        <f t="shared" si="98"/>
        <v>0</v>
      </c>
      <c r="FL121" s="301">
        <f t="shared" si="113"/>
        <v>0</v>
      </c>
      <c r="FP121" s="301">
        <f t="shared" si="108"/>
        <v>0</v>
      </c>
      <c r="FT121" s="301">
        <f t="shared" si="99"/>
        <v>0</v>
      </c>
      <c r="FX121" s="301">
        <f t="shared" ref="FX121:FX148" si="173">FW121-FV121</f>
        <v>0</v>
      </c>
      <c r="GB121" s="301">
        <f t="shared" si="101"/>
        <v>0</v>
      </c>
      <c r="GF121" s="301">
        <f t="shared" ref="GF121:GF148" si="174">GE121-GD121</f>
        <v>0</v>
      </c>
      <c r="GJ121" s="301">
        <f>GI121-GH121</f>
        <v>0</v>
      </c>
      <c r="GN121" s="301">
        <f t="shared" si="103"/>
        <v>0</v>
      </c>
      <c r="GR121" s="301">
        <f>GQ121-GP121</f>
        <v>0</v>
      </c>
      <c r="GV121" s="301">
        <f t="shared" si="105"/>
        <v>0</v>
      </c>
      <c r="GZ121" s="301">
        <f t="shared" si="150"/>
        <v>0</v>
      </c>
      <c r="HA121" s="328"/>
      <c r="HB121" s="339"/>
      <c r="HC121" s="286"/>
      <c r="HD121" s="286"/>
      <c r="HE121" s="286"/>
      <c r="HF121" s="286"/>
      <c r="HG121" s="286"/>
      <c r="HH121" s="286"/>
      <c r="HI121" s="286"/>
      <c r="HJ121" s="286"/>
      <c r="HK121" s="286"/>
      <c r="HL121" s="286"/>
      <c r="HM121" s="286"/>
      <c r="HN121" s="286"/>
      <c r="HO121" s="286"/>
      <c r="HP121" s="286"/>
      <c r="HQ121" s="286"/>
      <c r="HR121" s="286"/>
      <c r="HS121" s="306"/>
      <c r="HT121" s="306"/>
      <c r="HU121" s="306"/>
      <c r="HV121" s="306"/>
      <c r="HW121" s="286"/>
      <c r="HX121" s="286"/>
      <c r="HY121" s="286"/>
      <c r="HZ121" s="286"/>
      <c r="IA121" s="286"/>
      <c r="IB121" s="286"/>
      <c r="IC121" s="286"/>
      <c r="ID121" s="286"/>
      <c r="IE121" s="286"/>
      <c r="IF121" s="286"/>
      <c r="IG121" s="286"/>
      <c r="IH121" s="286"/>
      <c r="II121" s="286"/>
      <c r="IJ121" s="286"/>
      <c r="IK121" s="286"/>
      <c r="IL121" s="286"/>
      <c r="IM121" s="286"/>
      <c r="IN121" s="286"/>
      <c r="IO121" s="286"/>
      <c r="IP121" s="286"/>
      <c r="IQ121" s="286"/>
      <c r="IR121" s="286"/>
      <c r="IS121" s="286"/>
      <c r="IT121" s="286"/>
      <c r="IU121" s="286"/>
      <c r="IV121" s="286"/>
    </row>
    <row r="122" spans="1:256" s="338" customFormat="1" ht="13.5" hidden="1" customHeight="1">
      <c r="A122" s="909"/>
      <c r="B122" s="346"/>
      <c r="C122" s="383" t="s">
        <v>250</v>
      </c>
      <c r="D122" s="385" t="s">
        <v>223</v>
      </c>
      <c r="E122" s="299">
        <f t="shared" si="172"/>
        <v>0</v>
      </c>
      <c r="F122" s="299">
        <f t="shared" si="172"/>
        <v>0</v>
      </c>
      <c r="G122" s="299">
        <f t="shared" si="172"/>
        <v>0</v>
      </c>
      <c r="H122" s="299">
        <f t="shared" si="172"/>
        <v>0</v>
      </c>
      <c r="L122" s="301">
        <f t="shared" si="146"/>
        <v>0</v>
      </c>
      <c r="P122" s="301">
        <f t="shared" si="126"/>
        <v>0</v>
      </c>
      <c r="T122" s="301">
        <f t="shared" si="148"/>
        <v>0</v>
      </c>
      <c r="X122" s="301">
        <f t="shared" si="154"/>
        <v>0</v>
      </c>
      <c r="AB122" s="301">
        <f t="shared" si="127"/>
        <v>0</v>
      </c>
      <c r="AF122" s="300">
        <f t="shared" si="152"/>
        <v>0</v>
      </c>
      <c r="AJ122" s="300">
        <f t="shared" si="128"/>
        <v>0</v>
      </c>
      <c r="AN122" s="301">
        <f t="shared" si="129"/>
        <v>0</v>
      </c>
      <c r="AR122" s="300">
        <f t="shared" si="120"/>
        <v>0</v>
      </c>
      <c r="AV122" s="301">
        <f t="shared" si="130"/>
        <v>0</v>
      </c>
      <c r="AZ122" s="301">
        <f t="shared" si="131"/>
        <v>0</v>
      </c>
      <c r="BD122" s="301">
        <f t="shared" si="132"/>
        <v>0</v>
      </c>
      <c r="BH122" s="301">
        <f t="shared" si="149"/>
        <v>0</v>
      </c>
      <c r="BL122" s="301">
        <f t="shared" si="133"/>
        <v>0</v>
      </c>
      <c r="BP122" s="301">
        <f t="shared" si="134"/>
        <v>0</v>
      </c>
      <c r="BT122" s="301">
        <f t="shared" si="135"/>
        <v>0</v>
      </c>
      <c r="BV122" s="310">
        <f>BU122*76.77*1.1*0.9/1000</f>
        <v>0</v>
      </c>
      <c r="BW122" s="338">
        <f>BV122</f>
        <v>0</v>
      </c>
      <c r="BX122" s="301">
        <f t="shared" si="137"/>
        <v>0</v>
      </c>
      <c r="CB122" s="301">
        <f t="shared" si="138"/>
        <v>0</v>
      </c>
      <c r="CF122" s="300">
        <f t="shared" si="107"/>
        <v>0</v>
      </c>
      <c r="CJ122" s="301">
        <f t="shared" si="122"/>
        <v>0</v>
      </c>
      <c r="CN122" s="301">
        <f t="shared" si="84"/>
        <v>0</v>
      </c>
      <c r="CR122" s="301">
        <f t="shared" si="85"/>
        <v>0</v>
      </c>
      <c r="CV122" s="301">
        <f t="shared" si="86"/>
        <v>0</v>
      </c>
      <c r="CZ122" s="301">
        <f t="shared" si="87"/>
        <v>0</v>
      </c>
      <c r="DD122" s="300">
        <f t="shared" si="115"/>
        <v>0</v>
      </c>
      <c r="DH122" s="301">
        <f t="shared" si="159"/>
        <v>0</v>
      </c>
      <c r="DL122" s="301">
        <f t="shared" si="139"/>
        <v>0</v>
      </c>
      <c r="DP122" s="301">
        <f t="shared" si="82"/>
        <v>0</v>
      </c>
      <c r="DT122" s="300">
        <f t="shared" si="89"/>
        <v>0</v>
      </c>
      <c r="DX122" s="301">
        <f t="shared" si="112"/>
        <v>0</v>
      </c>
      <c r="EB122" s="301">
        <f t="shared" si="90"/>
        <v>0</v>
      </c>
      <c r="EF122" s="301">
        <f t="shared" si="91"/>
        <v>0</v>
      </c>
      <c r="EH122" s="310"/>
      <c r="EJ122" s="301">
        <f t="shared" si="92"/>
        <v>0</v>
      </c>
      <c r="EL122" s="310"/>
      <c r="EN122" s="301">
        <f t="shared" si="93"/>
        <v>0</v>
      </c>
      <c r="EO122" s="310"/>
      <c r="EP122" s="310"/>
      <c r="EQ122" s="310"/>
      <c r="ER122" s="300">
        <f t="shared" si="94"/>
        <v>0</v>
      </c>
      <c r="ET122" s="310"/>
      <c r="EV122" s="300">
        <f t="shared" si="95"/>
        <v>0</v>
      </c>
      <c r="EZ122" s="301">
        <f t="shared" si="96"/>
        <v>0</v>
      </c>
      <c r="FB122" s="310"/>
      <c r="FD122" s="301">
        <f t="shared" si="97"/>
        <v>0</v>
      </c>
      <c r="FF122" s="310"/>
      <c r="FH122" s="300">
        <f t="shared" si="98"/>
        <v>0</v>
      </c>
      <c r="FJ122" s="310"/>
      <c r="FL122" s="301">
        <f t="shared" si="113"/>
        <v>0</v>
      </c>
      <c r="FN122" s="310"/>
      <c r="FP122" s="301">
        <f t="shared" si="108"/>
        <v>0</v>
      </c>
      <c r="FR122" s="310"/>
      <c r="FT122" s="301">
        <f t="shared" si="99"/>
        <v>0</v>
      </c>
      <c r="FV122" s="310"/>
      <c r="FX122" s="301">
        <f t="shared" si="173"/>
        <v>0</v>
      </c>
      <c r="FZ122" s="310"/>
      <c r="GB122" s="301">
        <f t="shared" si="101"/>
        <v>0</v>
      </c>
      <c r="GD122" s="310"/>
      <c r="GF122" s="301">
        <f t="shared" si="174"/>
        <v>0</v>
      </c>
      <c r="GH122" s="310"/>
      <c r="GJ122" s="301">
        <f>GI122-GH122</f>
        <v>0</v>
      </c>
      <c r="GL122" s="310"/>
      <c r="GN122" s="301">
        <f t="shared" si="103"/>
        <v>0</v>
      </c>
      <c r="GP122" s="310"/>
      <c r="GR122" s="301">
        <f>GQ122-GP122</f>
        <v>0</v>
      </c>
      <c r="GT122" s="310"/>
      <c r="GV122" s="301">
        <f t="shared" si="105"/>
        <v>0</v>
      </c>
      <c r="GX122" s="310"/>
      <c r="GZ122" s="301">
        <f t="shared" si="150"/>
        <v>0</v>
      </c>
      <c r="HA122" s="328"/>
      <c r="HB122" s="339"/>
      <c r="HC122" s="286"/>
      <c r="HD122" s="286"/>
      <c r="HE122" s="286"/>
      <c r="HF122" s="286"/>
      <c r="HG122" s="286"/>
      <c r="HH122" s="286"/>
      <c r="HI122" s="286"/>
      <c r="HJ122" s="286"/>
      <c r="HK122" s="286"/>
      <c r="HL122" s="286"/>
      <c r="HM122" s="286"/>
      <c r="HN122" s="286"/>
      <c r="HO122" s="286"/>
      <c r="HP122" s="286"/>
      <c r="HQ122" s="286"/>
      <c r="HR122" s="286"/>
      <c r="HS122" s="306"/>
      <c r="HT122" s="306"/>
      <c r="HU122" s="306"/>
      <c r="HV122" s="306"/>
      <c r="HW122" s="286"/>
      <c r="HX122" s="286"/>
      <c r="HY122" s="286"/>
      <c r="HZ122" s="286"/>
      <c r="IA122" s="286"/>
      <c r="IB122" s="286"/>
      <c r="IC122" s="286"/>
      <c r="ID122" s="286"/>
      <c r="IE122" s="286"/>
      <c r="IF122" s="286"/>
      <c r="IG122" s="286"/>
      <c r="IH122" s="286"/>
      <c r="II122" s="286"/>
      <c r="IJ122" s="286"/>
      <c r="IK122" s="286"/>
      <c r="IL122" s="286"/>
      <c r="IM122" s="286"/>
      <c r="IN122" s="286"/>
      <c r="IO122" s="286"/>
      <c r="IP122" s="286"/>
      <c r="IQ122" s="286"/>
      <c r="IR122" s="286"/>
      <c r="IS122" s="286"/>
      <c r="IT122" s="286"/>
      <c r="IU122" s="286"/>
      <c r="IV122" s="286"/>
    </row>
    <row r="123" spans="1:256" s="338" customFormat="1" ht="13.5" hidden="1" customHeight="1">
      <c r="A123" s="909"/>
      <c r="B123" s="346"/>
      <c r="C123" s="384" t="s">
        <v>254</v>
      </c>
      <c r="D123" s="385" t="s">
        <v>223</v>
      </c>
      <c r="E123" s="299">
        <f t="shared" si="172"/>
        <v>595</v>
      </c>
      <c r="F123" s="299">
        <f t="shared" si="172"/>
        <v>14.162365000000001</v>
      </c>
      <c r="G123" s="299">
        <f t="shared" si="172"/>
        <v>14.162365000000001</v>
      </c>
      <c r="H123" s="299">
        <f t="shared" si="172"/>
        <v>0</v>
      </c>
      <c r="L123" s="301">
        <f t="shared" si="146"/>
        <v>0</v>
      </c>
      <c r="P123" s="301">
        <f t="shared" si="126"/>
        <v>0</v>
      </c>
      <c r="T123" s="301">
        <f t="shared" si="148"/>
        <v>0</v>
      </c>
      <c r="X123" s="301">
        <f t="shared" si="154"/>
        <v>0</v>
      </c>
      <c r="AB123" s="301">
        <f t="shared" si="127"/>
        <v>0</v>
      </c>
      <c r="AF123" s="300">
        <f t="shared" si="152"/>
        <v>0</v>
      </c>
      <c r="AJ123" s="300">
        <f t="shared" si="128"/>
        <v>0</v>
      </c>
      <c r="AN123" s="301">
        <f t="shared" si="129"/>
        <v>0</v>
      </c>
      <c r="AR123" s="300">
        <f t="shared" si="120"/>
        <v>0</v>
      </c>
      <c r="AV123" s="301">
        <f t="shared" si="130"/>
        <v>0</v>
      </c>
      <c r="AZ123" s="301">
        <f t="shared" si="131"/>
        <v>0</v>
      </c>
      <c r="BD123" s="301">
        <f t="shared" si="132"/>
        <v>0</v>
      </c>
      <c r="BH123" s="301">
        <f t="shared" si="149"/>
        <v>0</v>
      </c>
      <c r="BL123" s="301">
        <f t="shared" si="133"/>
        <v>0</v>
      </c>
      <c r="BP123" s="301">
        <f t="shared" si="134"/>
        <v>0</v>
      </c>
      <c r="BT123" s="301">
        <f t="shared" si="135"/>
        <v>0</v>
      </c>
      <c r="BX123" s="301">
        <f t="shared" si="137"/>
        <v>0</v>
      </c>
      <c r="CB123" s="301">
        <f t="shared" si="138"/>
        <v>0</v>
      </c>
      <c r="CF123" s="300">
        <f t="shared" si="107"/>
        <v>0</v>
      </c>
      <c r="CJ123" s="301">
        <f t="shared" si="122"/>
        <v>0</v>
      </c>
      <c r="CN123" s="301">
        <f t="shared" si="84"/>
        <v>0</v>
      </c>
      <c r="CO123" s="338">
        <v>53</v>
      </c>
      <c r="CP123" s="310">
        <f>CO123*0.5*16.87/1000</f>
        <v>0.44705499999999998</v>
      </c>
      <c r="CQ123" s="338">
        <f>CP123</f>
        <v>0.44705499999999998</v>
      </c>
      <c r="CR123" s="301">
        <f t="shared" si="85"/>
        <v>0</v>
      </c>
      <c r="CV123" s="301">
        <f t="shared" si="86"/>
        <v>0</v>
      </c>
      <c r="CZ123" s="301">
        <f t="shared" si="87"/>
        <v>0</v>
      </c>
      <c r="DD123" s="300">
        <f t="shared" si="115"/>
        <v>0</v>
      </c>
      <c r="DH123" s="301">
        <f t="shared" si="159"/>
        <v>0</v>
      </c>
      <c r="DL123" s="301">
        <f t="shared" si="139"/>
        <v>0</v>
      </c>
      <c r="DP123" s="301">
        <f t="shared" si="82"/>
        <v>0</v>
      </c>
      <c r="DT123" s="300">
        <f t="shared" si="89"/>
        <v>0</v>
      </c>
      <c r="DX123" s="301">
        <f t="shared" si="112"/>
        <v>0</v>
      </c>
      <c r="EB123" s="301">
        <f t="shared" si="90"/>
        <v>0</v>
      </c>
      <c r="EF123" s="301">
        <f t="shared" si="91"/>
        <v>0</v>
      </c>
      <c r="EJ123" s="301">
        <f t="shared" si="92"/>
        <v>0</v>
      </c>
      <c r="EN123" s="301">
        <f t="shared" si="93"/>
        <v>0</v>
      </c>
      <c r="EO123" s="310"/>
      <c r="EP123" s="310">
        <f>EO123*1*16.87*0.9/1000</f>
        <v>0</v>
      </c>
      <c r="EQ123" s="310">
        <f>EP123</f>
        <v>0</v>
      </c>
      <c r="ER123" s="300">
        <f t="shared" si="94"/>
        <v>0</v>
      </c>
      <c r="ET123" s="310"/>
      <c r="EV123" s="300">
        <f t="shared" si="95"/>
        <v>0</v>
      </c>
      <c r="EZ123" s="301">
        <f t="shared" si="96"/>
        <v>0</v>
      </c>
      <c r="FA123" s="338">
        <f>224+318</f>
        <v>542</v>
      </c>
      <c r="FB123" s="310">
        <f>FA123*1.5*16.87/1000</f>
        <v>13.715310000000001</v>
      </c>
      <c r="FC123" s="338">
        <f>FB123</f>
        <v>13.715310000000001</v>
      </c>
      <c r="FD123" s="301">
        <f t="shared" si="97"/>
        <v>0</v>
      </c>
      <c r="FH123" s="300">
        <f t="shared" si="98"/>
        <v>0</v>
      </c>
      <c r="FL123" s="301">
        <f t="shared" si="113"/>
        <v>0</v>
      </c>
      <c r="FP123" s="301">
        <f t="shared" si="108"/>
        <v>0</v>
      </c>
      <c r="FT123" s="301">
        <f t="shared" si="99"/>
        <v>0</v>
      </c>
      <c r="FX123" s="301">
        <f t="shared" si="173"/>
        <v>0</v>
      </c>
      <c r="GB123" s="301">
        <f t="shared" si="101"/>
        <v>0</v>
      </c>
      <c r="GF123" s="301">
        <f t="shared" si="174"/>
        <v>0</v>
      </c>
      <c r="GJ123" s="301">
        <f>GI123-GH123</f>
        <v>0</v>
      </c>
      <c r="GN123" s="301">
        <f t="shared" si="103"/>
        <v>0</v>
      </c>
      <c r="GR123" s="301">
        <f>GQ123-GP123</f>
        <v>0</v>
      </c>
      <c r="GV123" s="301">
        <f t="shared" si="105"/>
        <v>0</v>
      </c>
      <c r="GZ123" s="301">
        <f t="shared" si="150"/>
        <v>0</v>
      </c>
      <c r="HA123" s="328"/>
      <c r="HB123" s="339"/>
      <c r="HC123" s="286"/>
      <c r="HD123" s="286"/>
      <c r="HE123" s="286"/>
      <c r="HF123" s="286"/>
      <c r="HG123" s="286"/>
      <c r="HH123" s="286"/>
      <c r="HI123" s="286"/>
      <c r="HJ123" s="286"/>
      <c r="HK123" s="286"/>
      <c r="HL123" s="286"/>
      <c r="HM123" s="286"/>
      <c r="HN123" s="286"/>
      <c r="HO123" s="286"/>
      <c r="HP123" s="286"/>
      <c r="HQ123" s="286"/>
      <c r="HR123" s="286"/>
      <c r="HS123" s="306"/>
      <c r="HT123" s="306"/>
      <c r="HU123" s="306"/>
      <c r="HV123" s="306"/>
      <c r="HW123" s="286"/>
      <c r="HX123" s="286"/>
      <c r="HY123" s="286"/>
      <c r="HZ123" s="286"/>
      <c r="IA123" s="286"/>
      <c r="IB123" s="286"/>
      <c r="IC123" s="286"/>
      <c r="ID123" s="286"/>
      <c r="IE123" s="286"/>
      <c r="IF123" s="286"/>
      <c r="IG123" s="286"/>
      <c r="IH123" s="286"/>
      <c r="II123" s="286"/>
      <c r="IJ123" s="286"/>
      <c r="IK123" s="286"/>
      <c r="IL123" s="286"/>
      <c r="IM123" s="286"/>
      <c r="IN123" s="286"/>
      <c r="IO123" s="286"/>
      <c r="IP123" s="286"/>
      <c r="IQ123" s="286"/>
      <c r="IR123" s="286"/>
      <c r="IS123" s="286"/>
      <c r="IT123" s="286"/>
      <c r="IU123" s="286"/>
      <c r="IV123" s="286"/>
    </row>
    <row r="124" spans="1:256" s="338" customFormat="1" ht="13.5" hidden="1" customHeight="1">
      <c r="A124" s="909"/>
      <c r="B124" s="346"/>
      <c r="C124" s="384" t="s">
        <v>255</v>
      </c>
      <c r="D124" s="385" t="s">
        <v>223</v>
      </c>
      <c r="E124" s="299">
        <f t="shared" si="172"/>
        <v>84</v>
      </c>
      <c r="F124" s="299">
        <f t="shared" si="172"/>
        <v>8.2530000000000001</v>
      </c>
      <c r="G124" s="299">
        <f t="shared" si="172"/>
        <v>8.2530000000000001</v>
      </c>
      <c r="H124" s="299">
        <f t="shared" si="172"/>
        <v>0</v>
      </c>
      <c r="L124" s="301">
        <f>K124-J124</f>
        <v>0</v>
      </c>
      <c r="P124" s="301">
        <f t="shared" si="126"/>
        <v>0</v>
      </c>
      <c r="T124" s="301">
        <f t="shared" si="148"/>
        <v>0</v>
      </c>
      <c r="X124" s="301">
        <f t="shared" si="154"/>
        <v>0</v>
      </c>
      <c r="AB124" s="301">
        <f t="shared" si="127"/>
        <v>0</v>
      </c>
      <c r="AF124" s="300">
        <f t="shared" si="152"/>
        <v>0</v>
      </c>
      <c r="AJ124" s="300">
        <f t="shared" si="128"/>
        <v>0</v>
      </c>
      <c r="AN124" s="301">
        <f t="shared" si="129"/>
        <v>0</v>
      </c>
      <c r="AR124" s="300">
        <f t="shared" si="120"/>
        <v>0</v>
      </c>
      <c r="AV124" s="301">
        <f t="shared" si="130"/>
        <v>0</v>
      </c>
      <c r="AZ124" s="301">
        <f t="shared" si="131"/>
        <v>0</v>
      </c>
      <c r="BD124" s="301">
        <f t="shared" si="132"/>
        <v>0</v>
      </c>
      <c r="BH124" s="301">
        <f t="shared" si="149"/>
        <v>0</v>
      </c>
      <c r="BL124" s="301">
        <f t="shared" si="133"/>
        <v>0</v>
      </c>
      <c r="BP124" s="301">
        <f t="shared" si="134"/>
        <v>0</v>
      </c>
      <c r="BT124" s="301">
        <f t="shared" si="135"/>
        <v>0</v>
      </c>
      <c r="BX124" s="301">
        <f t="shared" si="137"/>
        <v>0</v>
      </c>
      <c r="CB124" s="301">
        <f t="shared" si="138"/>
        <v>0</v>
      </c>
      <c r="CF124" s="300">
        <f t="shared" si="107"/>
        <v>0</v>
      </c>
      <c r="CJ124" s="301">
        <f t="shared" si="122"/>
        <v>0</v>
      </c>
      <c r="CN124" s="301">
        <f t="shared" si="84"/>
        <v>0</v>
      </c>
      <c r="CR124" s="301">
        <f t="shared" si="85"/>
        <v>0</v>
      </c>
      <c r="CV124" s="301">
        <f t="shared" si="86"/>
        <v>0</v>
      </c>
      <c r="CZ124" s="301">
        <f t="shared" si="87"/>
        <v>0</v>
      </c>
      <c r="DD124" s="300">
        <f t="shared" si="115"/>
        <v>0</v>
      </c>
      <c r="DH124" s="301">
        <f>DG124-DF124</f>
        <v>0</v>
      </c>
      <c r="DL124" s="301">
        <f t="shared" si="139"/>
        <v>0</v>
      </c>
      <c r="DP124" s="301">
        <f t="shared" si="82"/>
        <v>0</v>
      </c>
      <c r="DT124" s="300">
        <f t="shared" si="89"/>
        <v>0</v>
      </c>
      <c r="DX124" s="301">
        <f t="shared" si="112"/>
        <v>0</v>
      </c>
      <c r="EB124" s="301">
        <f t="shared" si="90"/>
        <v>0</v>
      </c>
      <c r="EF124" s="301">
        <f t="shared" si="91"/>
        <v>0</v>
      </c>
      <c r="EJ124" s="301">
        <f t="shared" si="92"/>
        <v>0</v>
      </c>
      <c r="EN124" s="301">
        <f t="shared" si="93"/>
        <v>0</v>
      </c>
      <c r="EO124" s="338">
        <f>'[1]ООО ЖЭК'!K112</f>
        <v>0</v>
      </c>
      <c r="EP124" s="338">
        <f>'[1]ООО ЖЭК'!L112/1000</f>
        <v>0</v>
      </c>
      <c r="EQ124" s="338">
        <f>'[1]ООО ЖЭК'!M112/1000</f>
        <v>0</v>
      </c>
      <c r="ER124" s="300">
        <f t="shared" si="94"/>
        <v>0</v>
      </c>
      <c r="ET124" s="310"/>
      <c r="EV124" s="300">
        <f t="shared" si="95"/>
        <v>0</v>
      </c>
      <c r="EZ124" s="301">
        <f t="shared" si="96"/>
        <v>0</v>
      </c>
      <c r="FA124" s="338">
        <f>'[1]ООО Истоки+'!K139</f>
        <v>84</v>
      </c>
      <c r="FB124" s="338">
        <f>'[1]ООО Истоки+'!L139/1000</f>
        <v>8.2530000000000001</v>
      </c>
      <c r="FC124" s="338">
        <f>'[1]ООО Истоки+'!M139/1000</f>
        <v>8.2530000000000001</v>
      </c>
      <c r="FD124" s="301">
        <f t="shared" si="97"/>
        <v>0</v>
      </c>
      <c r="FH124" s="300">
        <f t="shared" si="98"/>
        <v>0</v>
      </c>
      <c r="FL124" s="301">
        <f t="shared" si="113"/>
        <v>0</v>
      </c>
      <c r="FP124" s="301">
        <f t="shared" si="108"/>
        <v>0</v>
      </c>
      <c r="FT124" s="301">
        <f t="shared" si="99"/>
        <v>0</v>
      </c>
      <c r="FX124" s="301">
        <f t="shared" si="173"/>
        <v>0</v>
      </c>
      <c r="GB124" s="301">
        <f t="shared" si="101"/>
        <v>0</v>
      </c>
      <c r="GF124" s="301">
        <f t="shared" si="174"/>
        <v>0</v>
      </c>
      <c r="GJ124" s="301">
        <f>GI124-GH124</f>
        <v>0</v>
      </c>
      <c r="GN124" s="301">
        <f t="shared" si="103"/>
        <v>0</v>
      </c>
      <c r="GR124" s="301">
        <f>GQ124-GP124</f>
        <v>0</v>
      </c>
      <c r="GV124" s="301">
        <f t="shared" si="105"/>
        <v>0</v>
      </c>
      <c r="GZ124" s="301">
        <f t="shared" si="150"/>
        <v>0</v>
      </c>
      <c r="HA124" s="328"/>
      <c r="HB124" s="339"/>
      <c r="HC124" s="286"/>
      <c r="HD124" s="286"/>
      <c r="HE124" s="286"/>
      <c r="HF124" s="286"/>
      <c r="HG124" s="286"/>
      <c r="HH124" s="286"/>
      <c r="HI124" s="286"/>
      <c r="HJ124" s="286"/>
      <c r="HK124" s="286"/>
      <c r="HL124" s="286"/>
      <c r="HM124" s="286"/>
      <c r="HN124" s="286"/>
      <c r="HO124" s="286"/>
      <c r="HP124" s="286"/>
      <c r="HQ124" s="286"/>
      <c r="HR124" s="286"/>
      <c r="HS124" s="306"/>
      <c r="HT124" s="306"/>
      <c r="HU124" s="306"/>
      <c r="HV124" s="306"/>
      <c r="HW124" s="286"/>
      <c r="HX124" s="286"/>
      <c r="HY124" s="286"/>
      <c r="HZ124" s="286"/>
      <c r="IA124" s="286"/>
      <c r="IB124" s="286"/>
      <c r="IC124" s="286"/>
      <c r="ID124" s="286"/>
      <c r="IE124" s="286"/>
      <c r="IF124" s="286"/>
      <c r="IG124" s="286"/>
      <c r="IH124" s="286"/>
      <c r="II124" s="286"/>
      <c r="IJ124" s="286"/>
      <c r="IK124" s="286"/>
      <c r="IL124" s="286"/>
      <c r="IM124" s="286"/>
      <c r="IN124" s="286"/>
      <c r="IO124" s="286"/>
      <c r="IP124" s="286"/>
      <c r="IQ124" s="286"/>
      <c r="IR124" s="286"/>
      <c r="IS124" s="286"/>
      <c r="IT124" s="286"/>
      <c r="IU124" s="286"/>
      <c r="IV124" s="286"/>
    </row>
    <row r="125" spans="1:256" s="338" customFormat="1" ht="13.5" hidden="1" customHeight="1">
      <c r="A125" s="909"/>
      <c r="B125" s="346"/>
      <c r="C125" s="384" t="s">
        <v>256</v>
      </c>
      <c r="D125" s="385" t="s">
        <v>223</v>
      </c>
      <c r="E125" s="299">
        <f t="shared" si="172"/>
        <v>216</v>
      </c>
      <c r="F125" s="299">
        <f t="shared" si="172"/>
        <v>27.332639999999998</v>
      </c>
      <c r="G125" s="299">
        <f t="shared" si="172"/>
        <v>27.332639999999998</v>
      </c>
      <c r="H125" s="299">
        <f t="shared" si="172"/>
        <v>0</v>
      </c>
      <c r="L125" s="301">
        <f t="shared" ref="L125:L133" si="175">K125-J125</f>
        <v>0</v>
      </c>
      <c r="P125" s="301">
        <f t="shared" si="126"/>
        <v>0</v>
      </c>
      <c r="T125" s="301">
        <f t="shared" si="148"/>
        <v>0</v>
      </c>
      <c r="X125" s="301">
        <f t="shared" si="154"/>
        <v>0</v>
      </c>
      <c r="AB125" s="301">
        <f t="shared" si="127"/>
        <v>0</v>
      </c>
      <c r="AF125" s="300">
        <f t="shared" si="152"/>
        <v>0</v>
      </c>
      <c r="AJ125" s="300">
        <f t="shared" si="128"/>
        <v>0</v>
      </c>
      <c r="AN125" s="301">
        <f t="shared" si="129"/>
        <v>0</v>
      </c>
      <c r="AR125" s="300">
        <f t="shared" si="120"/>
        <v>0</v>
      </c>
      <c r="AV125" s="301">
        <f t="shared" si="130"/>
        <v>0</v>
      </c>
      <c r="AZ125" s="301">
        <f t="shared" si="131"/>
        <v>0</v>
      </c>
      <c r="BD125" s="301">
        <f t="shared" si="132"/>
        <v>0</v>
      </c>
      <c r="BH125" s="301">
        <f t="shared" si="149"/>
        <v>0</v>
      </c>
      <c r="BL125" s="301">
        <f t="shared" si="133"/>
        <v>0</v>
      </c>
      <c r="BP125" s="301">
        <f t="shared" si="134"/>
        <v>0</v>
      </c>
      <c r="BT125" s="301">
        <f t="shared" si="135"/>
        <v>0</v>
      </c>
      <c r="BX125" s="301">
        <f t="shared" si="137"/>
        <v>0</v>
      </c>
      <c r="CB125" s="301">
        <f t="shared" si="138"/>
        <v>0</v>
      </c>
      <c r="CF125" s="300">
        <f t="shared" si="107"/>
        <v>0</v>
      </c>
      <c r="CJ125" s="301">
        <f t="shared" si="122"/>
        <v>0</v>
      </c>
      <c r="CN125" s="301">
        <f t="shared" si="84"/>
        <v>0</v>
      </c>
      <c r="CR125" s="301">
        <f t="shared" si="85"/>
        <v>0</v>
      </c>
      <c r="CV125" s="301">
        <f>CU125-CT125</f>
        <v>0</v>
      </c>
      <c r="CZ125" s="301">
        <f t="shared" si="87"/>
        <v>0</v>
      </c>
      <c r="DD125" s="300">
        <f t="shared" si="115"/>
        <v>0</v>
      </c>
      <c r="DH125" s="301">
        <f t="shared" ref="DH125:DH131" si="176">DG125-DF125</f>
        <v>0</v>
      </c>
      <c r="DI125" s="338">
        <v>216</v>
      </c>
      <c r="DJ125" s="338">
        <f>DI125*70.3*1.8/1000</f>
        <v>27.332639999999998</v>
      </c>
      <c r="DK125" s="338">
        <f>DJ125</f>
        <v>27.332639999999998</v>
      </c>
      <c r="DL125" s="301">
        <f t="shared" si="139"/>
        <v>0</v>
      </c>
      <c r="DP125" s="301">
        <f t="shared" si="82"/>
        <v>0</v>
      </c>
      <c r="DT125" s="300">
        <f t="shared" si="89"/>
        <v>0</v>
      </c>
      <c r="DX125" s="301">
        <f t="shared" si="112"/>
        <v>0</v>
      </c>
      <c r="EB125" s="301">
        <f>EA125-DZ125</f>
        <v>0</v>
      </c>
      <c r="EF125" s="301">
        <f t="shared" si="91"/>
        <v>0</v>
      </c>
      <c r="EJ125" s="301">
        <f t="shared" si="92"/>
        <v>0</v>
      </c>
      <c r="EN125" s="301">
        <f t="shared" si="93"/>
        <v>0</v>
      </c>
      <c r="ER125" s="300">
        <f t="shared" si="94"/>
        <v>0</v>
      </c>
      <c r="EV125" s="300">
        <f t="shared" si="95"/>
        <v>0</v>
      </c>
      <c r="EZ125" s="301">
        <f t="shared" si="96"/>
        <v>0</v>
      </c>
      <c r="FD125" s="301">
        <f t="shared" si="97"/>
        <v>0</v>
      </c>
      <c r="FH125" s="300">
        <f t="shared" si="98"/>
        <v>0</v>
      </c>
      <c r="FL125" s="301">
        <f t="shared" si="113"/>
        <v>0</v>
      </c>
      <c r="FP125" s="301">
        <f t="shared" si="108"/>
        <v>0</v>
      </c>
      <c r="FT125" s="301">
        <f t="shared" si="99"/>
        <v>0</v>
      </c>
      <c r="FX125" s="301">
        <f t="shared" si="173"/>
        <v>0</v>
      </c>
      <c r="GB125" s="301">
        <f t="shared" si="101"/>
        <v>0</v>
      </c>
      <c r="GF125" s="301">
        <f t="shared" si="174"/>
        <v>0</v>
      </c>
      <c r="GJ125" s="301">
        <f>GI125-GH125</f>
        <v>0</v>
      </c>
      <c r="GN125" s="301">
        <f t="shared" si="103"/>
        <v>0</v>
      </c>
      <c r="GR125" s="301">
        <f>GQ125-GP125</f>
        <v>0</v>
      </c>
      <c r="GV125" s="301">
        <f t="shared" si="105"/>
        <v>0</v>
      </c>
      <c r="GZ125" s="301">
        <f t="shared" si="150"/>
        <v>0</v>
      </c>
      <c r="HA125" s="328"/>
      <c r="HB125" s="339"/>
      <c r="HC125" s="286"/>
      <c r="HD125" s="286"/>
      <c r="HE125" s="286"/>
      <c r="HF125" s="286"/>
      <c r="HG125" s="286"/>
      <c r="HH125" s="286"/>
      <c r="HI125" s="286"/>
      <c r="HJ125" s="286"/>
      <c r="HK125" s="286"/>
      <c r="HL125" s="286"/>
      <c r="HM125" s="286"/>
      <c r="HN125" s="286"/>
      <c r="HO125" s="286"/>
      <c r="HP125" s="286"/>
      <c r="HQ125" s="286"/>
      <c r="HR125" s="286"/>
      <c r="HS125" s="306"/>
      <c r="HT125" s="306"/>
      <c r="HU125" s="306"/>
      <c r="HV125" s="306"/>
      <c r="HW125" s="286"/>
      <c r="HX125" s="286"/>
      <c r="HY125" s="286"/>
      <c r="HZ125" s="286"/>
      <c r="IA125" s="286"/>
      <c r="IB125" s="286"/>
      <c r="IC125" s="286"/>
      <c r="ID125" s="286"/>
      <c r="IE125" s="286"/>
      <c r="IF125" s="286"/>
      <c r="IG125" s="286"/>
      <c r="IH125" s="286"/>
      <c r="II125" s="286"/>
      <c r="IJ125" s="286"/>
      <c r="IK125" s="286"/>
      <c r="IL125" s="286"/>
      <c r="IM125" s="286"/>
      <c r="IN125" s="286"/>
      <c r="IO125" s="286"/>
      <c r="IP125" s="286"/>
      <c r="IQ125" s="286"/>
      <c r="IR125" s="286"/>
      <c r="IS125" s="286"/>
      <c r="IT125" s="286"/>
      <c r="IU125" s="286"/>
      <c r="IV125" s="286"/>
    </row>
    <row r="126" spans="1:256" s="338" customFormat="1" ht="13.5" hidden="1" customHeight="1">
      <c r="A126" s="909"/>
      <c r="B126" s="346"/>
      <c r="C126" s="384" t="s">
        <v>257</v>
      </c>
      <c r="D126" s="385" t="s">
        <v>223</v>
      </c>
      <c r="E126" s="299">
        <f t="shared" si="172"/>
        <v>260</v>
      </c>
      <c r="F126" s="299">
        <f t="shared" si="172"/>
        <v>26.933400000000002</v>
      </c>
      <c r="G126" s="299">
        <f t="shared" si="172"/>
        <v>26.933400000000002</v>
      </c>
      <c r="H126" s="299">
        <f t="shared" si="172"/>
        <v>0</v>
      </c>
      <c r="L126" s="301">
        <f t="shared" si="175"/>
        <v>0</v>
      </c>
      <c r="P126" s="301">
        <f t="shared" si="126"/>
        <v>0</v>
      </c>
      <c r="T126" s="301">
        <f t="shared" si="148"/>
        <v>0</v>
      </c>
      <c r="X126" s="301">
        <f t="shared" si="154"/>
        <v>0</v>
      </c>
      <c r="AB126" s="301">
        <f t="shared" si="127"/>
        <v>0</v>
      </c>
      <c r="AF126" s="300">
        <f t="shared" si="152"/>
        <v>0</v>
      </c>
      <c r="AJ126" s="300">
        <f t="shared" si="128"/>
        <v>0</v>
      </c>
      <c r="AN126" s="301">
        <f t="shared" si="129"/>
        <v>0</v>
      </c>
      <c r="AR126" s="300">
        <f>AQ126-AP126</f>
        <v>0</v>
      </c>
      <c r="AV126" s="301">
        <f t="shared" si="130"/>
        <v>0</v>
      </c>
      <c r="AZ126" s="301">
        <f t="shared" si="131"/>
        <v>0</v>
      </c>
      <c r="BD126" s="301">
        <f t="shared" si="132"/>
        <v>0</v>
      </c>
      <c r="BH126" s="301">
        <f t="shared" si="149"/>
        <v>0</v>
      </c>
      <c r="BL126" s="301">
        <f t="shared" si="133"/>
        <v>0</v>
      </c>
      <c r="BP126" s="301">
        <f t="shared" si="134"/>
        <v>0</v>
      </c>
      <c r="BT126" s="301">
        <f t="shared" si="135"/>
        <v>0</v>
      </c>
      <c r="BX126" s="301">
        <f t="shared" si="137"/>
        <v>0</v>
      </c>
      <c r="CB126" s="301">
        <f t="shared" si="138"/>
        <v>0</v>
      </c>
      <c r="CF126" s="300">
        <f t="shared" si="107"/>
        <v>0</v>
      </c>
      <c r="CJ126" s="301">
        <f t="shared" si="122"/>
        <v>0</v>
      </c>
      <c r="CN126" s="301">
        <f t="shared" si="84"/>
        <v>0</v>
      </c>
      <c r="CR126" s="301">
        <f t="shared" si="85"/>
        <v>0</v>
      </c>
      <c r="CV126" s="301">
        <f t="shared" ref="CV126:CV133" si="177">CU126-CT126</f>
        <v>0</v>
      </c>
      <c r="CZ126" s="301">
        <f t="shared" si="87"/>
        <v>0</v>
      </c>
      <c r="DD126" s="300">
        <f t="shared" si="115"/>
        <v>0</v>
      </c>
      <c r="DH126" s="301">
        <f t="shared" si="176"/>
        <v>0</v>
      </c>
      <c r="DL126" s="301">
        <f t="shared" si="139"/>
        <v>0</v>
      </c>
      <c r="DP126" s="301">
        <f t="shared" si="82"/>
        <v>0</v>
      </c>
      <c r="DT126" s="300">
        <f t="shared" si="89"/>
        <v>0</v>
      </c>
      <c r="DX126" s="301">
        <f t="shared" si="112"/>
        <v>0</v>
      </c>
      <c r="EB126" s="301">
        <f t="shared" ref="EB126:EB131" si="178">EA126-DZ126</f>
        <v>0</v>
      </c>
      <c r="EF126" s="301">
        <f t="shared" si="91"/>
        <v>0</v>
      </c>
      <c r="EJ126" s="301">
        <f t="shared" si="92"/>
        <v>0</v>
      </c>
      <c r="EN126" s="301">
        <f t="shared" si="93"/>
        <v>0</v>
      </c>
      <c r="ER126" s="300">
        <f t="shared" si="94"/>
        <v>0</v>
      </c>
      <c r="EV126" s="300">
        <f t="shared" si="95"/>
        <v>0</v>
      </c>
      <c r="EZ126" s="301">
        <f t="shared" si="96"/>
        <v>0</v>
      </c>
      <c r="FD126" s="301">
        <f t="shared" si="97"/>
        <v>0</v>
      </c>
      <c r="FH126" s="300">
        <f t="shared" si="98"/>
        <v>0</v>
      </c>
      <c r="FL126" s="301">
        <f t="shared" si="113"/>
        <v>0</v>
      </c>
      <c r="FP126" s="301">
        <f t="shared" si="108"/>
        <v>0</v>
      </c>
      <c r="FT126" s="301">
        <f t="shared" si="99"/>
        <v>0</v>
      </c>
      <c r="FU126" s="338">
        <v>260</v>
      </c>
      <c r="FV126" s="338">
        <f>FU126*1*103.59/1000</f>
        <v>26.933400000000002</v>
      </c>
      <c r="FW126" s="338">
        <f>FV126</f>
        <v>26.933400000000002</v>
      </c>
      <c r="FX126" s="301">
        <f t="shared" si="173"/>
        <v>0</v>
      </c>
      <c r="GB126" s="301">
        <f t="shared" si="101"/>
        <v>0</v>
      </c>
      <c r="GF126" s="301">
        <f t="shared" si="174"/>
        <v>0</v>
      </c>
      <c r="GJ126" s="301">
        <f t="shared" ref="GJ126:GJ148" si="179">GI126-GH126</f>
        <v>0</v>
      </c>
      <c r="GN126" s="301">
        <f t="shared" si="103"/>
        <v>0</v>
      </c>
      <c r="GR126" s="301">
        <f t="shared" ref="GR126:GR148" si="180">GQ126-GP126</f>
        <v>0</v>
      </c>
      <c r="GV126" s="301">
        <f t="shared" si="105"/>
        <v>0</v>
      </c>
      <c r="GZ126" s="301">
        <f t="shared" si="150"/>
        <v>0</v>
      </c>
      <c r="HA126" s="328"/>
      <c r="HB126" s="339"/>
      <c r="HC126" s="286"/>
      <c r="HD126" s="286"/>
      <c r="HE126" s="286"/>
      <c r="HF126" s="286"/>
      <c r="HG126" s="286"/>
      <c r="HH126" s="286"/>
      <c r="HI126" s="286"/>
      <c r="HJ126" s="286"/>
      <c r="HK126" s="286"/>
      <c r="HL126" s="286"/>
      <c r="HM126" s="286"/>
      <c r="HN126" s="286"/>
      <c r="HO126" s="286"/>
      <c r="HP126" s="286"/>
      <c r="HQ126" s="286"/>
      <c r="HR126" s="286"/>
      <c r="HS126" s="306"/>
      <c r="HT126" s="306"/>
      <c r="HU126" s="306"/>
      <c r="HV126" s="306"/>
      <c r="HW126" s="286"/>
      <c r="HX126" s="286"/>
      <c r="HY126" s="286"/>
      <c r="HZ126" s="286"/>
      <c r="IA126" s="286"/>
      <c r="IB126" s="286"/>
      <c r="IC126" s="286"/>
      <c r="ID126" s="286"/>
      <c r="IE126" s="286"/>
      <c r="IF126" s="286"/>
      <c r="IG126" s="286"/>
      <c r="IH126" s="286"/>
      <c r="II126" s="286"/>
      <c r="IJ126" s="286"/>
      <c r="IK126" s="286"/>
      <c r="IL126" s="286"/>
      <c r="IM126" s="286"/>
      <c r="IN126" s="286"/>
      <c r="IO126" s="286"/>
      <c r="IP126" s="286"/>
      <c r="IQ126" s="286"/>
      <c r="IR126" s="286"/>
      <c r="IS126" s="286"/>
      <c r="IT126" s="286"/>
      <c r="IU126" s="286"/>
      <c r="IV126" s="286"/>
    </row>
    <row r="127" spans="1:256" s="338" customFormat="1" ht="13.5" hidden="1" customHeight="1">
      <c r="A127" s="909"/>
      <c r="B127" s="346"/>
      <c r="C127" s="384" t="s">
        <v>258</v>
      </c>
      <c r="D127" s="385" t="s">
        <v>223</v>
      </c>
      <c r="E127" s="299">
        <f t="shared" si="172"/>
        <v>63</v>
      </c>
      <c r="F127" s="299">
        <f t="shared" si="172"/>
        <v>2.4418800000000003</v>
      </c>
      <c r="G127" s="299">
        <f t="shared" si="172"/>
        <v>2.4418800000000003</v>
      </c>
      <c r="H127" s="299">
        <f t="shared" si="172"/>
        <v>0</v>
      </c>
      <c r="L127" s="301">
        <f t="shared" si="175"/>
        <v>0</v>
      </c>
      <c r="P127" s="301">
        <f t="shared" si="126"/>
        <v>0</v>
      </c>
      <c r="T127" s="301">
        <f t="shared" si="148"/>
        <v>0</v>
      </c>
      <c r="X127" s="301">
        <f t="shared" si="154"/>
        <v>0</v>
      </c>
      <c r="AB127" s="301">
        <f t="shared" si="127"/>
        <v>0</v>
      </c>
      <c r="AF127" s="300">
        <f t="shared" si="152"/>
        <v>0</v>
      </c>
      <c r="AJ127" s="300">
        <f t="shared" si="128"/>
        <v>0</v>
      </c>
      <c r="AN127" s="301">
        <f t="shared" si="129"/>
        <v>0</v>
      </c>
      <c r="AR127" s="300">
        <f>AQ127-AP127</f>
        <v>0</v>
      </c>
      <c r="AV127" s="301">
        <f t="shared" si="130"/>
        <v>0</v>
      </c>
      <c r="AZ127" s="301">
        <f t="shared" si="131"/>
        <v>0</v>
      </c>
      <c r="BD127" s="301">
        <f t="shared" si="132"/>
        <v>0</v>
      </c>
      <c r="BH127" s="301">
        <f t="shared" si="149"/>
        <v>0</v>
      </c>
      <c r="BL127" s="301">
        <f t="shared" si="133"/>
        <v>0</v>
      </c>
      <c r="BP127" s="301">
        <f t="shared" si="134"/>
        <v>0</v>
      </c>
      <c r="BT127" s="301">
        <f t="shared" si="135"/>
        <v>0</v>
      </c>
      <c r="BX127" s="301">
        <f t="shared" si="137"/>
        <v>0</v>
      </c>
      <c r="CB127" s="301">
        <f t="shared" si="138"/>
        <v>0</v>
      </c>
      <c r="CF127" s="300">
        <f t="shared" si="107"/>
        <v>0</v>
      </c>
      <c r="CJ127" s="301">
        <f t="shared" si="122"/>
        <v>0</v>
      </c>
      <c r="CN127" s="301">
        <f t="shared" si="84"/>
        <v>0</v>
      </c>
      <c r="CR127" s="301">
        <f t="shared" si="85"/>
        <v>0</v>
      </c>
      <c r="CV127" s="301">
        <f t="shared" si="177"/>
        <v>0</v>
      </c>
      <c r="CZ127" s="301">
        <f t="shared" si="87"/>
        <v>0</v>
      </c>
      <c r="DD127" s="300">
        <f t="shared" si="115"/>
        <v>0</v>
      </c>
      <c r="DH127" s="301">
        <f t="shared" si="176"/>
        <v>0</v>
      </c>
      <c r="DL127" s="301">
        <f t="shared" si="139"/>
        <v>0</v>
      </c>
      <c r="DP127" s="301">
        <f t="shared" si="82"/>
        <v>0</v>
      </c>
      <c r="DT127" s="300">
        <f t="shared" si="89"/>
        <v>0</v>
      </c>
      <c r="DX127" s="301">
        <f t="shared" si="112"/>
        <v>0</v>
      </c>
      <c r="EB127" s="301">
        <f t="shared" si="178"/>
        <v>0</v>
      </c>
      <c r="EF127" s="301">
        <f t="shared" si="91"/>
        <v>0</v>
      </c>
      <c r="EJ127" s="301">
        <f t="shared" si="92"/>
        <v>0</v>
      </c>
      <c r="EN127" s="301">
        <f t="shared" si="93"/>
        <v>0</v>
      </c>
      <c r="ER127" s="300">
        <f t="shared" si="94"/>
        <v>0</v>
      </c>
      <c r="EV127" s="300">
        <f t="shared" si="95"/>
        <v>0</v>
      </c>
      <c r="EZ127" s="301">
        <f t="shared" si="96"/>
        <v>0</v>
      </c>
      <c r="FD127" s="301">
        <f t="shared" si="97"/>
        <v>0</v>
      </c>
      <c r="FH127" s="300">
        <f t="shared" si="98"/>
        <v>0</v>
      </c>
      <c r="FL127" s="301">
        <f t="shared" si="113"/>
        <v>0</v>
      </c>
      <c r="FP127" s="301">
        <f t="shared" si="108"/>
        <v>0</v>
      </c>
      <c r="FT127" s="301">
        <f t="shared" si="99"/>
        <v>0</v>
      </c>
      <c r="FX127" s="301">
        <f t="shared" si="173"/>
        <v>0</v>
      </c>
      <c r="FY127" s="338">
        <v>63</v>
      </c>
      <c r="FZ127" s="338">
        <f>FY127*1.5*25.84/1000</f>
        <v>2.4418800000000003</v>
      </c>
      <c r="GA127" s="338">
        <f>FZ127</f>
        <v>2.4418800000000003</v>
      </c>
      <c r="GB127" s="301">
        <f t="shared" si="101"/>
        <v>0</v>
      </c>
      <c r="GF127" s="301">
        <f t="shared" si="174"/>
        <v>0</v>
      </c>
      <c r="GJ127" s="301">
        <f t="shared" si="179"/>
        <v>0</v>
      </c>
      <c r="GN127" s="301">
        <f t="shared" si="103"/>
        <v>0</v>
      </c>
      <c r="GR127" s="301">
        <f t="shared" si="180"/>
        <v>0</v>
      </c>
      <c r="GV127" s="301">
        <f t="shared" si="105"/>
        <v>0</v>
      </c>
      <c r="GZ127" s="301">
        <f t="shared" si="150"/>
        <v>0</v>
      </c>
      <c r="HA127" s="328"/>
      <c r="HB127" s="339"/>
      <c r="HC127" s="286"/>
      <c r="HD127" s="286"/>
      <c r="HE127" s="286"/>
      <c r="HF127" s="286"/>
      <c r="HG127" s="286"/>
      <c r="HH127" s="286"/>
      <c r="HI127" s="286"/>
      <c r="HJ127" s="286"/>
      <c r="HK127" s="286"/>
      <c r="HL127" s="286"/>
      <c r="HM127" s="286"/>
      <c r="HN127" s="286"/>
      <c r="HO127" s="286"/>
      <c r="HP127" s="286"/>
      <c r="HQ127" s="286"/>
      <c r="HR127" s="286"/>
      <c r="HS127" s="306"/>
      <c r="HT127" s="306"/>
      <c r="HU127" s="306"/>
      <c r="HV127" s="306"/>
      <c r="HW127" s="286"/>
      <c r="HX127" s="286"/>
      <c r="HY127" s="286"/>
      <c r="HZ127" s="286"/>
      <c r="IA127" s="286"/>
      <c r="IB127" s="286"/>
      <c r="IC127" s="286"/>
      <c r="ID127" s="286"/>
      <c r="IE127" s="286"/>
      <c r="IF127" s="286"/>
      <c r="IG127" s="286"/>
      <c r="IH127" s="286"/>
      <c r="II127" s="286"/>
      <c r="IJ127" s="286"/>
      <c r="IK127" s="286"/>
      <c r="IL127" s="286"/>
      <c r="IM127" s="286"/>
      <c r="IN127" s="286"/>
      <c r="IO127" s="286"/>
      <c r="IP127" s="286"/>
      <c r="IQ127" s="286"/>
      <c r="IR127" s="286"/>
      <c r="IS127" s="286"/>
      <c r="IT127" s="286"/>
      <c r="IU127" s="286"/>
      <c r="IV127" s="286"/>
    </row>
    <row r="128" spans="1:256" s="338" customFormat="1" ht="13.5" hidden="1" customHeight="1">
      <c r="A128" s="909"/>
      <c r="B128" s="346"/>
      <c r="C128" s="384" t="s">
        <v>17</v>
      </c>
      <c r="D128" s="385" t="s">
        <v>223</v>
      </c>
      <c r="E128" s="301">
        <f>E129+E130</f>
        <v>198</v>
      </c>
      <c r="F128" s="301">
        <f>F129+F130</f>
        <v>13.264950000000002</v>
      </c>
      <c r="G128" s="301">
        <f>G129+G130</f>
        <v>13.264950000000002</v>
      </c>
      <c r="H128" s="301">
        <f>L128+P128+T128+X128+AB128+AF128+AJ128+AN128+AR128+AV128+AZ128+BD128+BH128+BL128+BP128+BT128+BX128+CB128+CF128+CJ128+CN128+CR128+CV128+CZ128+DD128+DH128+DL128+DP128+DT128+DX128+EB128+EF128+EJ128+EN128+ER128+EV128+EZ128+FD128+FH128+FL128+FP128</f>
        <v>0</v>
      </c>
      <c r="L128" s="301">
        <f t="shared" si="175"/>
        <v>0</v>
      </c>
      <c r="P128" s="301">
        <f t="shared" si="126"/>
        <v>0</v>
      </c>
      <c r="T128" s="301">
        <f t="shared" si="148"/>
        <v>0</v>
      </c>
      <c r="X128" s="301">
        <f t="shared" si="154"/>
        <v>0</v>
      </c>
      <c r="AB128" s="301">
        <f t="shared" si="127"/>
        <v>0</v>
      </c>
      <c r="AF128" s="300">
        <f t="shared" si="152"/>
        <v>0</v>
      </c>
      <c r="AJ128" s="300">
        <f t="shared" si="128"/>
        <v>0</v>
      </c>
      <c r="AN128" s="301">
        <f t="shared" si="129"/>
        <v>0</v>
      </c>
      <c r="AR128" s="300">
        <f>AQ128-AP128</f>
        <v>0</v>
      </c>
      <c r="AV128" s="301">
        <f t="shared" si="130"/>
        <v>0</v>
      </c>
      <c r="AZ128" s="301">
        <f t="shared" si="131"/>
        <v>0</v>
      </c>
      <c r="BD128" s="301">
        <f t="shared" si="132"/>
        <v>0</v>
      </c>
      <c r="BH128" s="301">
        <f t="shared" si="149"/>
        <v>0</v>
      </c>
      <c r="BL128" s="301">
        <f t="shared" si="133"/>
        <v>0</v>
      </c>
      <c r="BP128" s="301">
        <f t="shared" si="134"/>
        <v>0</v>
      </c>
      <c r="BT128" s="301">
        <f t="shared" si="135"/>
        <v>0</v>
      </c>
      <c r="BU128" s="309"/>
      <c r="BV128" s="309"/>
      <c r="BW128" s="309"/>
      <c r="BX128" s="301">
        <f t="shared" si="137"/>
        <v>0</v>
      </c>
      <c r="CB128" s="301">
        <f t="shared" si="138"/>
        <v>0</v>
      </c>
      <c r="CF128" s="300">
        <f t="shared" si="107"/>
        <v>0</v>
      </c>
      <c r="CJ128" s="301">
        <f t="shared" si="122"/>
        <v>0</v>
      </c>
      <c r="CN128" s="301">
        <f t="shared" si="84"/>
        <v>0</v>
      </c>
      <c r="CR128" s="301">
        <f t="shared" si="85"/>
        <v>0</v>
      </c>
      <c r="CV128" s="301">
        <f t="shared" si="177"/>
        <v>0</v>
      </c>
      <c r="CZ128" s="301">
        <f t="shared" si="87"/>
        <v>0</v>
      </c>
      <c r="DD128" s="300">
        <f t="shared" si="115"/>
        <v>0</v>
      </c>
      <c r="DH128" s="301">
        <f t="shared" si="176"/>
        <v>0</v>
      </c>
      <c r="DL128" s="301">
        <f t="shared" si="139"/>
        <v>0</v>
      </c>
      <c r="DP128" s="301">
        <f t="shared" si="82"/>
        <v>0</v>
      </c>
      <c r="DT128" s="300">
        <f t="shared" si="89"/>
        <v>0</v>
      </c>
      <c r="DX128" s="301">
        <f t="shared" si="112"/>
        <v>0</v>
      </c>
      <c r="EB128" s="301">
        <f t="shared" si="178"/>
        <v>0</v>
      </c>
      <c r="EF128" s="301">
        <f t="shared" si="91"/>
        <v>0</v>
      </c>
      <c r="EG128" s="301">
        <f>SUM(EG129:EG130)</f>
        <v>198</v>
      </c>
      <c r="EH128" s="301">
        <f>SUM(EH129:EH130)</f>
        <v>13.264950000000002</v>
      </c>
      <c r="EI128" s="301">
        <f>SUM(EI129:EI130)</f>
        <v>13.264950000000002</v>
      </c>
      <c r="EJ128" s="301">
        <f t="shared" si="92"/>
        <v>0</v>
      </c>
      <c r="EN128" s="301">
        <f t="shared" si="93"/>
        <v>0</v>
      </c>
      <c r="ER128" s="300">
        <f t="shared" si="94"/>
        <v>0</v>
      </c>
      <c r="EV128" s="300">
        <f t="shared" si="95"/>
        <v>0</v>
      </c>
      <c r="EZ128" s="301">
        <f t="shared" si="96"/>
        <v>0</v>
      </c>
      <c r="FD128" s="301">
        <f t="shared" si="97"/>
        <v>0</v>
      </c>
      <c r="FH128" s="300">
        <f t="shared" si="98"/>
        <v>0</v>
      </c>
      <c r="FL128" s="301">
        <f t="shared" si="113"/>
        <v>0</v>
      </c>
      <c r="FP128" s="301">
        <f t="shared" si="108"/>
        <v>0</v>
      </c>
      <c r="FT128" s="301">
        <f t="shared" si="99"/>
        <v>0</v>
      </c>
      <c r="FX128" s="301">
        <f t="shared" si="173"/>
        <v>0</v>
      </c>
      <c r="GB128" s="301">
        <f t="shared" si="101"/>
        <v>0</v>
      </c>
      <c r="GF128" s="301">
        <f t="shared" si="174"/>
        <v>0</v>
      </c>
      <c r="GJ128" s="301">
        <f t="shared" si="179"/>
        <v>0</v>
      </c>
      <c r="GN128" s="301">
        <f t="shared" si="103"/>
        <v>0</v>
      </c>
      <c r="GR128" s="301">
        <f t="shared" si="180"/>
        <v>0</v>
      </c>
      <c r="GV128" s="301">
        <f t="shared" si="105"/>
        <v>0</v>
      </c>
      <c r="GZ128" s="301">
        <f t="shared" si="150"/>
        <v>0</v>
      </c>
      <c r="HA128" s="328"/>
      <c r="HB128" s="339"/>
      <c r="HC128" s="286"/>
      <c r="HD128" s="286"/>
      <c r="HE128" s="286"/>
      <c r="HF128" s="286"/>
      <c r="HG128" s="286"/>
      <c r="HH128" s="286"/>
      <c r="HI128" s="286"/>
      <c r="HJ128" s="286"/>
      <c r="HK128" s="286"/>
      <c r="HL128" s="286"/>
      <c r="HM128" s="286"/>
      <c r="HN128" s="286"/>
      <c r="HO128" s="286"/>
      <c r="HP128" s="286"/>
      <c r="HQ128" s="286"/>
      <c r="HR128" s="286"/>
      <c r="HS128" s="306"/>
      <c r="HT128" s="306"/>
      <c r="HU128" s="306"/>
      <c r="HV128" s="306"/>
      <c r="HW128" s="286"/>
      <c r="HX128" s="286"/>
      <c r="HY128" s="286"/>
      <c r="HZ128" s="286"/>
      <c r="IA128" s="286"/>
      <c r="IB128" s="286"/>
      <c r="IC128" s="286"/>
      <c r="ID128" s="286"/>
      <c r="IE128" s="286"/>
      <c r="IF128" s="286"/>
      <c r="IG128" s="286"/>
      <c r="IH128" s="286"/>
      <c r="II128" s="286"/>
      <c r="IJ128" s="286"/>
      <c r="IK128" s="286"/>
      <c r="IL128" s="286"/>
      <c r="IM128" s="286"/>
      <c r="IN128" s="286"/>
      <c r="IO128" s="286"/>
      <c r="IP128" s="286"/>
      <c r="IQ128" s="286"/>
      <c r="IR128" s="286"/>
      <c r="IS128" s="286"/>
      <c r="IT128" s="286"/>
      <c r="IU128" s="286"/>
      <c r="IV128" s="286"/>
    </row>
    <row r="129" spans="1:256" s="338" customFormat="1" ht="13.5" hidden="1" customHeight="1">
      <c r="A129" s="909"/>
      <c r="B129" s="346"/>
      <c r="C129" s="383" t="s">
        <v>259</v>
      </c>
      <c r="D129" s="385" t="s">
        <v>223</v>
      </c>
      <c r="E129" s="299">
        <f t="shared" si="172"/>
        <v>23</v>
      </c>
      <c r="F129" s="299">
        <f t="shared" si="172"/>
        <v>1.5248999999999999</v>
      </c>
      <c r="G129" s="299">
        <f t="shared" si="172"/>
        <v>1.5248999999999999</v>
      </c>
      <c r="H129" s="299">
        <f t="shared" si="172"/>
        <v>0</v>
      </c>
      <c r="L129" s="301">
        <f t="shared" si="175"/>
        <v>0</v>
      </c>
      <c r="P129" s="301">
        <f t="shared" si="126"/>
        <v>0</v>
      </c>
      <c r="T129" s="301">
        <f t="shared" si="148"/>
        <v>0</v>
      </c>
      <c r="X129" s="301">
        <f t="shared" si="154"/>
        <v>0</v>
      </c>
      <c r="AB129" s="301">
        <f t="shared" si="127"/>
        <v>0</v>
      </c>
      <c r="AF129" s="300">
        <f t="shared" si="152"/>
        <v>0</v>
      </c>
      <c r="AJ129" s="300">
        <f t="shared" si="128"/>
        <v>0</v>
      </c>
      <c r="AN129" s="301">
        <f t="shared" si="129"/>
        <v>0</v>
      </c>
      <c r="AR129" s="300">
        <f t="shared" si="120"/>
        <v>0</v>
      </c>
      <c r="AV129" s="301">
        <f t="shared" si="130"/>
        <v>0</v>
      </c>
      <c r="AZ129" s="301">
        <f t="shared" si="131"/>
        <v>0</v>
      </c>
      <c r="BD129" s="301">
        <f t="shared" si="132"/>
        <v>0</v>
      </c>
      <c r="BH129" s="301">
        <f t="shared" si="149"/>
        <v>0</v>
      </c>
      <c r="BL129" s="301">
        <f t="shared" si="133"/>
        <v>0</v>
      </c>
      <c r="BP129" s="301">
        <f t="shared" si="134"/>
        <v>0</v>
      </c>
      <c r="BT129" s="301">
        <f t="shared" si="135"/>
        <v>0</v>
      </c>
      <c r="BU129" s="309"/>
      <c r="BV129" s="309"/>
      <c r="BW129" s="309"/>
      <c r="BX129" s="301">
        <f t="shared" si="137"/>
        <v>0</v>
      </c>
      <c r="CB129" s="301">
        <f t="shared" si="138"/>
        <v>0</v>
      </c>
      <c r="CF129" s="300">
        <f t="shared" si="107"/>
        <v>0</v>
      </c>
      <c r="CJ129" s="301">
        <f t="shared" si="122"/>
        <v>0</v>
      </c>
      <c r="CN129" s="301">
        <f t="shared" si="84"/>
        <v>0</v>
      </c>
      <c r="CR129" s="301">
        <f t="shared" si="85"/>
        <v>0</v>
      </c>
      <c r="CV129" s="301">
        <f t="shared" si="177"/>
        <v>0</v>
      </c>
      <c r="CZ129" s="301">
        <f t="shared" si="87"/>
        <v>0</v>
      </c>
      <c r="DD129" s="300">
        <f t="shared" si="115"/>
        <v>0</v>
      </c>
      <c r="DH129" s="301">
        <f t="shared" si="176"/>
        <v>0</v>
      </c>
      <c r="DL129" s="301">
        <f t="shared" si="139"/>
        <v>0</v>
      </c>
      <c r="DP129" s="301">
        <f t="shared" si="82"/>
        <v>0</v>
      </c>
      <c r="DT129" s="300">
        <f t="shared" si="89"/>
        <v>0</v>
      </c>
      <c r="DX129" s="301">
        <f t="shared" si="112"/>
        <v>0</v>
      </c>
      <c r="EB129" s="301">
        <f t="shared" si="178"/>
        <v>0</v>
      </c>
      <c r="EF129" s="301">
        <f t="shared" si="91"/>
        <v>0</v>
      </c>
      <c r="EG129" s="338">
        <f>'[1]ООО ЦЭТ'!K237</f>
        <v>23</v>
      </c>
      <c r="EH129" s="338">
        <f>'[1]ООО ЦЭТ'!L237/1000</f>
        <v>1.5248999999999999</v>
      </c>
      <c r="EI129" s="338">
        <f>'[1]ООО ЦЭТ'!M237/1000</f>
        <v>1.5248999999999999</v>
      </c>
      <c r="EJ129" s="301">
        <f t="shared" si="92"/>
        <v>0</v>
      </c>
      <c r="EN129" s="301">
        <f t="shared" si="93"/>
        <v>0</v>
      </c>
      <c r="ER129" s="300">
        <f t="shared" si="94"/>
        <v>0</v>
      </c>
      <c r="EV129" s="300">
        <f t="shared" si="95"/>
        <v>0</v>
      </c>
      <c r="EZ129" s="301">
        <f t="shared" si="96"/>
        <v>0</v>
      </c>
      <c r="FD129" s="301">
        <f t="shared" si="97"/>
        <v>0</v>
      </c>
      <c r="FH129" s="300">
        <f t="shared" si="98"/>
        <v>0</v>
      </c>
      <c r="FL129" s="301">
        <f t="shared" si="113"/>
        <v>0</v>
      </c>
      <c r="FP129" s="301">
        <f t="shared" si="108"/>
        <v>0</v>
      </c>
      <c r="FT129" s="301">
        <f t="shared" si="99"/>
        <v>0</v>
      </c>
      <c r="FX129" s="301">
        <f t="shared" si="173"/>
        <v>0</v>
      </c>
      <c r="GB129" s="301">
        <f t="shared" si="101"/>
        <v>0</v>
      </c>
      <c r="GF129" s="301">
        <f t="shared" si="174"/>
        <v>0</v>
      </c>
      <c r="GJ129" s="301">
        <f t="shared" si="179"/>
        <v>0</v>
      </c>
      <c r="GN129" s="301">
        <f t="shared" si="103"/>
        <v>0</v>
      </c>
      <c r="GR129" s="301">
        <f t="shared" si="180"/>
        <v>0</v>
      </c>
      <c r="GV129" s="301">
        <f t="shared" si="105"/>
        <v>0</v>
      </c>
      <c r="GZ129" s="301">
        <f t="shared" si="150"/>
        <v>0</v>
      </c>
      <c r="HA129" s="328"/>
      <c r="HB129" s="339"/>
      <c r="HC129" s="286"/>
      <c r="HD129" s="286"/>
      <c r="HE129" s="286"/>
      <c r="HF129" s="286"/>
      <c r="HG129" s="286"/>
      <c r="HH129" s="286"/>
      <c r="HI129" s="286"/>
      <c r="HJ129" s="286"/>
      <c r="HK129" s="286"/>
      <c r="HL129" s="286"/>
      <c r="HM129" s="286"/>
      <c r="HN129" s="286"/>
      <c r="HO129" s="286"/>
      <c r="HP129" s="286"/>
      <c r="HQ129" s="286"/>
      <c r="HR129" s="286"/>
      <c r="HS129" s="306"/>
      <c r="HT129" s="306"/>
      <c r="HU129" s="306"/>
      <c r="HV129" s="306"/>
      <c r="HW129" s="286"/>
      <c r="HX129" s="286"/>
      <c r="HY129" s="286"/>
      <c r="HZ129" s="286"/>
      <c r="IA129" s="286"/>
      <c r="IB129" s="286"/>
      <c r="IC129" s="286"/>
      <c r="ID129" s="286"/>
      <c r="IE129" s="286"/>
      <c r="IF129" s="286"/>
      <c r="IG129" s="286"/>
      <c r="IH129" s="286"/>
      <c r="II129" s="286"/>
      <c r="IJ129" s="286"/>
      <c r="IK129" s="286"/>
      <c r="IL129" s="286"/>
      <c r="IM129" s="286"/>
      <c r="IN129" s="286"/>
      <c r="IO129" s="286"/>
      <c r="IP129" s="286"/>
      <c r="IQ129" s="286"/>
      <c r="IR129" s="286"/>
      <c r="IS129" s="286"/>
      <c r="IT129" s="286"/>
      <c r="IU129" s="286"/>
      <c r="IV129" s="286"/>
    </row>
    <row r="130" spans="1:256" s="338" customFormat="1" ht="13.5" hidden="1" customHeight="1">
      <c r="A130" s="909"/>
      <c r="B130" s="347"/>
      <c r="C130" s="432" t="s">
        <v>260</v>
      </c>
      <c r="D130" s="389" t="s">
        <v>223</v>
      </c>
      <c r="E130" s="299">
        <f>I130+M130+Q130+U130+Y130+AC130+AG130+AK130+AO130+AS130+AW130+BA130+BE130+BI130+BM130+BQ130+BU130+BY130+CC130+CG130+CK130+CO130+CS130+CW130+DA130+DE130+DI130+DM130+DQ130+DU130+DY130+EC130+EG130+EK130+EO130+ES130+EW130+FA130+FE130+FI130+FM130+FQ130+FU130+FY130+GC130+GK130+GG130+GO130+GS130+GW130</f>
        <v>175</v>
      </c>
      <c r="F130" s="299">
        <f t="shared" si="172"/>
        <v>11.740050000000002</v>
      </c>
      <c r="G130" s="299">
        <f t="shared" si="172"/>
        <v>11.740050000000002</v>
      </c>
      <c r="H130" s="299">
        <f t="shared" si="172"/>
        <v>0</v>
      </c>
      <c r="L130" s="301">
        <f t="shared" si="175"/>
        <v>0</v>
      </c>
      <c r="P130" s="301">
        <f t="shared" si="126"/>
        <v>0</v>
      </c>
      <c r="T130" s="301">
        <f t="shared" si="148"/>
        <v>0</v>
      </c>
      <c r="X130" s="301">
        <f t="shared" si="154"/>
        <v>0</v>
      </c>
      <c r="AB130" s="301">
        <f t="shared" si="127"/>
        <v>0</v>
      </c>
      <c r="AF130" s="300">
        <f t="shared" si="152"/>
        <v>0</v>
      </c>
      <c r="AJ130" s="300">
        <f t="shared" si="128"/>
        <v>0</v>
      </c>
      <c r="AN130" s="301">
        <f t="shared" si="129"/>
        <v>0</v>
      </c>
      <c r="AR130" s="300">
        <f t="shared" si="120"/>
        <v>0</v>
      </c>
      <c r="AV130" s="301">
        <f t="shared" si="130"/>
        <v>0</v>
      </c>
      <c r="AZ130" s="301">
        <f t="shared" si="131"/>
        <v>0</v>
      </c>
      <c r="BD130" s="301">
        <f t="shared" si="132"/>
        <v>0</v>
      </c>
      <c r="BH130" s="301">
        <f t="shared" si="149"/>
        <v>0</v>
      </c>
      <c r="BL130" s="301">
        <f t="shared" si="133"/>
        <v>0</v>
      </c>
      <c r="BP130" s="301">
        <f t="shared" si="134"/>
        <v>0</v>
      </c>
      <c r="BT130" s="301">
        <f t="shared" si="135"/>
        <v>0</v>
      </c>
      <c r="BX130" s="301">
        <f t="shared" si="137"/>
        <v>0</v>
      </c>
      <c r="CB130" s="301">
        <f t="shared" si="138"/>
        <v>0</v>
      </c>
      <c r="CF130" s="300">
        <f t="shared" si="107"/>
        <v>0</v>
      </c>
      <c r="CJ130" s="301">
        <f t="shared" si="122"/>
        <v>0</v>
      </c>
      <c r="CN130" s="301">
        <f t="shared" si="84"/>
        <v>0</v>
      </c>
      <c r="CR130" s="301">
        <f t="shared" si="85"/>
        <v>0</v>
      </c>
      <c r="CV130" s="301">
        <f t="shared" si="177"/>
        <v>0</v>
      </c>
      <c r="CZ130" s="301">
        <f t="shared" si="87"/>
        <v>0</v>
      </c>
      <c r="DD130" s="300">
        <f t="shared" si="115"/>
        <v>0</v>
      </c>
      <c r="DH130" s="301">
        <f t="shared" si="176"/>
        <v>0</v>
      </c>
      <c r="DL130" s="301">
        <f t="shared" si="139"/>
        <v>0</v>
      </c>
      <c r="DP130" s="301">
        <f t="shared" si="82"/>
        <v>0</v>
      </c>
      <c r="DT130" s="300">
        <f t="shared" si="89"/>
        <v>0</v>
      </c>
      <c r="DX130" s="301">
        <f t="shared" si="112"/>
        <v>0</v>
      </c>
      <c r="EB130" s="301">
        <f t="shared" si="178"/>
        <v>0</v>
      </c>
      <c r="EF130" s="301">
        <f t="shared" si="91"/>
        <v>0</v>
      </c>
      <c r="EG130" s="338">
        <v>175</v>
      </c>
      <c r="EH130" s="338">
        <f>EG130*74.54*0.9/1000</f>
        <v>11.740050000000002</v>
      </c>
      <c r="EI130" s="338">
        <f>EH130</f>
        <v>11.740050000000002</v>
      </c>
      <c r="EJ130" s="301">
        <f t="shared" si="92"/>
        <v>0</v>
      </c>
      <c r="EN130" s="301">
        <f t="shared" si="93"/>
        <v>0</v>
      </c>
      <c r="ER130" s="300">
        <f t="shared" si="94"/>
        <v>0</v>
      </c>
      <c r="EV130" s="300">
        <f t="shared" si="95"/>
        <v>0</v>
      </c>
      <c r="EZ130" s="301">
        <f t="shared" si="96"/>
        <v>0</v>
      </c>
      <c r="FD130" s="301">
        <f t="shared" si="97"/>
        <v>0</v>
      </c>
      <c r="FH130" s="300">
        <f t="shared" si="98"/>
        <v>0</v>
      </c>
      <c r="FL130" s="301">
        <f t="shared" si="113"/>
        <v>0</v>
      </c>
      <c r="FP130" s="301">
        <f t="shared" si="108"/>
        <v>0</v>
      </c>
      <c r="FT130" s="301">
        <f t="shared" si="99"/>
        <v>0</v>
      </c>
      <c r="FX130" s="301">
        <f t="shared" si="173"/>
        <v>0</v>
      </c>
      <c r="GB130" s="301">
        <f t="shared" si="101"/>
        <v>0</v>
      </c>
      <c r="GF130" s="301">
        <f t="shared" si="174"/>
        <v>0</v>
      </c>
      <c r="GJ130" s="301">
        <f t="shared" si="179"/>
        <v>0</v>
      </c>
      <c r="GN130" s="301">
        <f t="shared" si="103"/>
        <v>0</v>
      </c>
      <c r="GR130" s="301">
        <f t="shared" si="180"/>
        <v>0</v>
      </c>
      <c r="GV130" s="301">
        <f t="shared" si="105"/>
        <v>0</v>
      </c>
      <c r="GZ130" s="301">
        <f t="shared" si="150"/>
        <v>0</v>
      </c>
      <c r="HA130" s="328"/>
      <c r="HB130" s="339"/>
      <c r="HC130" s="286"/>
      <c r="HD130" s="286"/>
      <c r="HE130" s="286"/>
      <c r="HF130" s="286"/>
      <c r="HG130" s="286"/>
      <c r="HH130" s="286"/>
      <c r="HI130" s="286"/>
      <c r="HJ130" s="286"/>
      <c r="HK130" s="286"/>
      <c r="HL130" s="286"/>
      <c r="HM130" s="286"/>
      <c r="HN130" s="286"/>
      <c r="HO130" s="286"/>
      <c r="HP130" s="286"/>
      <c r="HQ130" s="286"/>
      <c r="HR130" s="286"/>
      <c r="HS130" s="306"/>
      <c r="HT130" s="306"/>
      <c r="HU130" s="306"/>
      <c r="HV130" s="306"/>
      <c r="HW130" s="286"/>
      <c r="HX130" s="286"/>
      <c r="HY130" s="286"/>
      <c r="HZ130" s="286"/>
      <c r="IA130" s="286"/>
      <c r="IB130" s="286"/>
      <c r="IC130" s="286"/>
      <c r="ID130" s="286"/>
      <c r="IE130" s="286"/>
      <c r="IF130" s="286"/>
      <c r="IG130" s="286"/>
      <c r="IH130" s="286"/>
      <c r="II130" s="286"/>
      <c r="IJ130" s="286"/>
      <c r="IK130" s="286"/>
      <c r="IL130" s="286"/>
      <c r="IM130" s="286"/>
      <c r="IN130" s="286"/>
      <c r="IO130" s="286"/>
      <c r="IP130" s="286"/>
      <c r="IQ130" s="286"/>
      <c r="IR130" s="286"/>
      <c r="IS130" s="286"/>
      <c r="IT130" s="286"/>
      <c r="IU130" s="286"/>
      <c r="IV130" s="286"/>
    </row>
    <row r="131" spans="1:256" ht="13.5" customHeight="1">
      <c r="A131" s="394">
        <v>13</v>
      </c>
      <c r="B131" s="396" t="s">
        <v>261</v>
      </c>
      <c r="C131" s="396"/>
      <c r="D131" s="367" t="s">
        <v>223</v>
      </c>
      <c r="E131" s="301">
        <f>E132+E133</f>
        <v>446688</v>
      </c>
      <c r="F131" s="301">
        <f>F132+F133</f>
        <v>25785.134196400002</v>
      </c>
      <c r="G131" s="301">
        <f>G132+G133</f>
        <v>25785.134196400002</v>
      </c>
      <c r="H131" s="301">
        <f>L131+P131+T131+X131+AB131+AF131+AJ131+AN131+AR131+AV131+AZ131+BD131+BH131+BL131+BP131+BT131+BX131+CB131+CF131+CJ131+CN131+CR131+CV131+CZ131+DD131+DH131+DL131+DP131+DT131+DX131+EB131+EF131+EJ131+EN131+ER131+EV131+EZ131+FD131+FH131+FL131+FP131</f>
        <v>0</v>
      </c>
      <c r="I131" s="301">
        <f>I132+I133</f>
        <v>2518</v>
      </c>
      <c r="J131" s="301">
        <f>J132+J133</f>
        <v>126.54868</v>
      </c>
      <c r="K131" s="301">
        <f>K132+K133</f>
        <v>126.54868</v>
      </c>
      <c r="L131" s="301">
        <f t="shared" si="175"/>
        <v>0</v>
      </c>
      <c r="M131" s="301">
        <f t="shared" ref="M131:BW131" si="181">M132+M133</f>
        <v>376</v>
      </c>
      <c r="N131" s="301">
        <f>N132+N133</f>
        <v>19.424219999999998</v>
      </c>
      <c r="O131" s="301">
        <f>O132+O133</f>
        <v>19.424219999999998</v>
      </c>
      <c r="P131" s="301">
        <f t="shared" si="126"/>
        <v>0</v>
      </c>
      <c r="Q131" s="301">
        <f t="shared" si="181"/>
        <v>64542</v>
      </c>
      <c r="R131" s="301">
        <f t="shared" si="181"/>
        <v>4310.6264499999997</v>
      </c>
      <c r="S131" s="301">
        <f t="shared" si="181"/>
        <v>4310.6264499999997</v>
      </c>
      <c r="T131" s="301">
        <f t="shared" si="148"/>
        <v>0</v>
      </c>
      <c r="U131" s="301">
        <f t="shared" si="181"/>
        <v>35828</v>
      </c>
      <c r="V131" s="301">
        <f>V132+V133</f>
        <v>2419.9377969000002</v>
      </c>
      <c r="W131" s="301">
        <f>W132+W133</f>
        <v>2419.9377969000002</v>
      </c>
      <c r="X131" s="301">
        <f t="shared" si="154"/>
        <v>0</v>
      </c>
      <c r="Y131" s="301">
        <f t="shared" si="181"/>
        <v>21838</v>
      </c>
      <c r="Z131" s="301">
        <f t="shared" si="181"/>
        <v>863.91436299999998</v>
      </c>
      <c r="AA131" s="301">
        <f t="shared" si="181"/>
        <v>863.91436299999998</v>
      </c>
      <c r="AB131" s="301">
        <f t="shared" si="127"/>
        <v>0</v>
      </c>
      <c r="AC131" s="301">
        <f t="shared" si="181"/>
        <v>12866</v>
      </c>
      <c r="AD131" s="301">
        <f t="shared" si="181"/>
        <v>534.74927000000002</v>
      </c>
      <c r="AE131" s="301">
        <f t="shared" si="181"/>
        <v>534.74927000000002</v>
      </c>
      <c r="AF131" s="300">
        <f t="shared" si="152"/>
        <v>0</v>
      </c>
      <c r="AG131" s="301">
        <f t="shared" si="181"/>
        <v>2196</v>
      </c>
      <c r="AH131" s="301">
        <f t="shared" si="181"/>
        <v>102.15077360000001</v>
      </c>
      <c r="AI131" s="301">
        <f t="shared" si="181"/>
        <v>102.15077360000001</v>
      </c>
      <c r="AJ131" s="300">
        <f t="shared" si="128"/>
        <v>0</v>
      </c>
      <c r="AK131" s="301">
        <f t="shared" si="181"/>
        <v>21864</v>
      </c>
      <c r="AL131" s="301">
        <f t="shared" si="181"/>
        <v>989.82943760000012</v>
      </c>
      <c r="AM131" s="301">
        <f t="shared" si="181"/>
        <v>989.82943760000012</v>
      </c>
      <c r="AN131" s="301">
        <f t="shared" si="129"/>
        <v>0</v>
      </c>
      <c r="AO131" s="301">
        <f t="shared" si="181"/>
        <v>53585</v>
      </c>
      <c r="AP131" s="301">
        <f t="shared" si="181"/>
        <v>2428.39005258</v>
      </c>
      <c r="AQ131" s="301">
        <f t="shared" si="181"/>
        <v>2428.39005258</v>
      </c>
      <c r="AR131" s="300">
        <f t="shared" si="120"/>
        <v>0</v>
      </c>
      <c r="AS131" s="301">
        <f t="shared" si="181"/>
        <v>10832</v>
      </c>
      <c r="AT131" s="301">
        <f t="shared" si="181"/>
        <v>491.31802740000001</v>
      </c>
      <c r="AU131" s="301">
        <f t="shared" si="181"/>
        <v>491.31802740000001</v>
      </c>
      <c r="AV131" s="301">
        <f t="shared" si="130"/>
        <v>0</v>
      </c>
      <c r="AW131" s="301">
        <f t="shared" si="181"/>
        <v>1997</v>
      </c>
      <c r="AX131" s="301">
        <f t="shared" si="181"/>
        <v>74.356339900000009</v>
      </c>
      <c r="AY131" s="301">
        <f t="shared" si="181"/>
        <v>74.356339900000009</v>
      </c>
      <c r="AZ131" s="301">
        <f t="shared" si="131"/>
        <v>0</v>
      </c>
      <c r="BA131" s="301">
        <f t="shared" si="181"/>
        <v>809</v>
      </c>
      <c r="BB131" s="301">
        <f t="shared" si="181"/>
        <v>35.700781999999997</v>
      </c>
      <c r="BC131" s="301">
        <f t="shared" si="181"/>
        <v>35.700781999999997</v>
      </c>
      <c r="BD131" s="301">
        <f t="shared" si="132"/>
        <v>0</v>
      </c>
      <c r="BE131" s="301">
        <f t="shared" si="181"/>
        <v>564</v>
      </c>
      <c r="BF131" s="301">
        <f t="shared" si="181"/>
        <v>21.565860000000001</v>
      </c>
      <c r="BG131" s="301">
        <f t="shared" si="181"/>
        <v>21.565860000000001</v>
      </c>
      <c r="BH131" s="301">
        <f t="shared" si="149"/>
        <v>0</v>
      </c>
      <c r="BI131" s="301">
        <f t="shared" si="181"/>
        <v>15319</v>
      </c>
      <c r="BJ131" s="301">
        <f t="shared" si="181"/>
        <v>932.54049380000004</v>
      </c>
      <c r="BK131" s="301">
        <f t="shared" si="181"/>
        <v>932.54049380000004</v>
      </c>
      <c r="BL131" s="301">
        <f t="shared" si="133"/>
        <v>0</v>
      </c>
      <c r="BM131" s="301">
        <f>BM132+BM133</f>
        <v>2805</v>
      </c>
      <c r="BN131" s="301">
        <f>BN132+BN133</f>
        <v>194.58836220000001</v>
      </c>
      <c r="BO131" s="301">
        <f>BO132+BO133</f>
        <v>194.58836220000001</v>
      </c>
      <c r="BP131" s="301">
        <f t="shared" si="134"/>
        <v>0</v>
      </c>
      <c r="BQ131" s="301">
        <f t="shared" si="181"/>
        <v>2408</v>
      </c>
      <c r="BR131" s="301">
        <f t="shared" si="181"/>
        <v>120.54784999999998</v>
      </c>
      <c r="BS131" s="301">
        <f t="shared" si="181"/>
        <v>120.54784999999998</v>
      </c>
      <c r="BT131" s="301">
        <f t="shared" si="135"/>
        <v>0</v>
      </c>
      <c r="BU131" s="301">
        <f t="shared" si="181"/>
        <v>41011</v>
      </c>
      <c r="BV131" s="301">
        <f t="shared" si="181"/>
        <v>3217.1458849999999</v>
      </c>
      <c r="BW131" s="309">
        <f t="shared" si="181"/>
        <v>3217.1458849999999</v>
      </c>
      <c r="BX131" s="301">
        <f t="shared" si="137"/>
        <v>0</v>
      </c>
      <c r="BY131" s="301">
        <f>BY132+BY133</f>
        <v>57280</v>
      </c>
      <c r="BZ131" s="301">
        <f>BZ132+BZ133</f>
        <v>4306.0103740000013</v>
      </c>
      <c r="CA131" s="301">
        <f>CA132+CA133</f>
        <v>4306.0103740000013</v>
      </c>
      <c r="CB131" s="301">
        <f t="shared" si="138"/>
        <v>0</v>
      </c>
      <c r="CC131" s="301">
        <f>CC132+CC133</f>
        <v>162</v>
      </c>
      <c r="CD131" s="301">
        <f>CD132+CD133</f>
        <v>12.052265400000001</v>
      </c>
      <c r="CE131" s="301">
        <f>CE132+CE133</f>
        <v>12.052265400000001</v>
      </c>
      <c r="CF131" s="300">
        <f t="shared" si="107"/>
        <v>0</v>
      </c>
      <c r="CG131" s="301">
        <f>CG132+CG133</f>
        <v>57201</v>
      </c>
      <c r="CH131" s="301">
        <f>CH132+CH133</f>
        <v>2229.1046813200001</v>
      </c>
      <c r="CI131" s="301">
        <f>CI132+CI133</f>
        <v>2229.1046813200001</v>
      </c>
      <c r="CJ131" s="301">
        <f t="shared" si="122"/>
        <v>0</v>
      </c>
      <c r="CK131" s="301">
        <f>CK132+CK133</f>
        <v>2003</v>
      </c>
      <c r="CL131" s="301">
        <f>CL132+CL133</f>
        <v>118.49673000000001</v>
      </c>
      <c r="CM131" s="301">
        <f>CM132+CM133</f>
        <v>118.49673000000001</v>
      </c>
      <c r="CN131" s="301">
        <f t="shared" si="84"/>
        <v>0</v>
      </c>
      <c r="CO131" s="301">
        <f>CO132+CO133</f>
        <v>950</v>
      </c>
      <c r="CP131" s="301">
        <f>CP132+CP133</f>
        <v>75.838210000000004</v>
      </c>
      <c r="CQ131" s="301">
        <f>CQ132+CQ133</f>
        <v>75.838210000000004</v>
      </c>
      <c r="CR131" s="301">
        <f t="shared" si="85"/>
        <v>0</v>
      </c>
      <c r="CS131" s="301">
        <f>CS132+CS133</f>
        <v>657</v>
      </c>
      <c r="CT131" s="301">
        <f>CT132+CT133</f>
        <v>28.952867600000001</v>
      </c>
      <c r="CU131" s="301">
        <f>CU132+CU133</f>
        <v>28.952867600000001</v>
      </c>
      <c r="CV131" s="301">
        <f t="shared" si="177"/>
        <v>0</v>
      </c>
      <c r="CW131" s="301">
        <f>CW132+CW133</f>
        <v>2167</v>
      </c>
      <c r="CX131" s="301">
        <f>CX132+CX133</f>
        <v>185.98535000000001</v>
      </c>
      <c r="CY131" s="301">
        <f>CY132+CY133</f>
        <v>185.98535000000001</v>
      </c>
      <c r="CZ131" s="301">
        <f t="shared" si="87"/>
        <v>0</v>
      </c>
      <c r="DA131" s="301">
        <f>DA132+DA133</f>
        <v>1199</v>
      </c>
      <c r="DB131" s="301">
        <f>DB132+DB133</f>
        <v>73.008173999999997</v>
      </c>
      <c r="DC131" s="301">
        <f>DC132+DC133</f>
        <v>73.008173999999997</v>
      </c>
      <c r="DD131" s="300">
        <f t="shared" si="115"/>
        <v>0</v>
      </c>
      <c r="DE131" s="301">
        <f>DE132+DE133</f>
        <v>1197</v>
      </c>
      <c r="DF131" s="301">
        <f>DF132+DF133</f>
        <v>66.308821800000004</v>
      </c>
      <c r="DG131" s="301">
        <f>DG132+DG133</f>
        <v>66.308821800000004</v>
      </c>
      <c r="DH131" s="301">
        <f t="shared" si="176"/>
        <v>0</v>
      </c>
      <c r="DI131" s="301">
        <f>DI132+DI133</f>
        <v>216</v>
      </c>
      <c r="DJ131" s="301">
        <f>DJ132+DJ133</f>
        <v>12.753720000000001</v>
      </c>
      <c r="DK131" s="301">
        <f>DK132+DK133</f>
        <v>12.753720000000001</v>
      </c>
      <c r="DL131" s="301">
        <f t="shared" si="139"/>
        <v>0</v>
      </c>
      <c r="DM131" s="301">
        <f t="shared" ref="DM131:EI131" si="182">DM132+DM133</f>
        <v>13697</v>
      </c>
      <c r="DN131" s="301">
        <f t="shared" si="182"/>
        <v>699.92122399999994</v>
      </c>
      <c r="DO131" s="301">
        <f t="shared" si="182"/>
        <v>699.92122399999994</v>
      </c>
      <c r="DP131" s="301">
        <f t="shared" si="82"/>
        <v>0</v>
      </c>
      <c r="DQ131" s="301">
        <f t="shared" si="182"/>
        <v>16</v>
      </c>
      <c r="DR131" s="301">
        <f t="shared" si="182"/>
        <v>0.53983999999999999</v>
      </c>
      <c r="DS131" s="301">
        <f t="shared" si="182"/>
        <v>0.53983999999999999</v>
      </c>
      <c r="DT131" s="300">
        <f t="shared" si="89"/>
        <v>0</v>
      </c>
      <c r="DU131" s="301">
        <f t="shared" si="182"/>
        <v>2688</v>
      </c>
      <c r="DV131" s="301">
        <f t="shared" si="182"/>
        <v>134.22844800000001</v>
      </c>
      <c r="DW131" s="301">
        <f t="shared" si="182"/>
        <v>134.22844800000001</v>
      </c>
      <c r="DX131" s="301">
        <f t="shared" si="112"/>
        <v>0</v>
      </c>
      <c r="DY131" s="301">
        <f t="shared" si="182"/>
        <v>554</v>
      </c>
      <c r="DZ131" s="301">
        <f t="shared" si="182"/>
        <v>29.886005600000001</v>
      </c>
      <c r="EA131" s="301">
        <f t="shared" si="182"/>
        <v>29.886005600000001</v>
      </c>
      <c r="EB131" s="301">
        <f t="shared" si="178"/>
        <v>0</v>
      </c>
      <c r="EC131" s="301">
        <f t="shared" si="182"/>
        <v>277</v>
      </c>
      <c r="ED131" s="301">
        <f t="shared" si="182"/>
        <v>10.363159999999999</v>
      </c>
      <c r="EE131" s="301">
        <f t="shared" si="182"/>
        <v>10.363159999999999</v>
      </c>
      <c r="EF131" s="301">
        <f t="shared" si="91"/>
        <v>0</v>
      </c>
      <c r="EG131" s="301">
        <f t="shared" si="182"/>
        <v>7793</v>
      </c>
      <c r="EH131" s="301">
        <f t="shared" si="182"/>
        <v>476.95375850000005</v>
      </c>
      <c r="EI131" s="301">
        <f t="shared" si="182"/>
        <v>476.95375850000005</v>
      </c>
      <c r="EJ131" s="301">
        <f t="shared" si="92"/>
        <v>0</v>
      </c>
      <c r="EK131" s="301">
        <f>EK132+EK133</f>
        <v>15</v>
      </c>
      <c r="EL131" s="301">
        <f>EL132+EL133</f>
        <v>1.3968000000000003</v>
      </c>
      <c r="EM131" s="301">
        <f>EM132+EM133</f>
        <v>1.3968000000000003</v>
      </c>
      <c r="EN131" s="301">
        <f t="shared" si="93"/>
        <v>0</v>
      </c>
      <c r="EO131" s="301">
        <f>EO132+EO133</f>
        <v>675</v>
      </c>
      <c r="EP131" s="301">
        <f>EP132+EP133</f>
        <v>48.108389999999993</v>
      </c>
      <c r="EQ131" s="301">
        <f>EQ132+EQ133</f>
        <v>48.108389999999993</v>
      </c>
      <c r="ER131" s="300">
        <f t="shared" si="94"/>
        <v>0</v>
      </c>
      <c r="ES131" s="301">
        <f>ES132+ES133</f>
        <v>333</v>
      </c>
      <c r="ET131" s="301">
        <f>ET132+ET133</f>
        <v>27.532920000000004</v>
      </c>
      <c r="EU131" s="301">
        <f>EU132+EU133</f>
        <v>27.532920000000004</v>
      </c>
      <c r="EV131" s="300">
        <f t="shared" si="95"/>
        <v>0</v>
      </c>
      <c r="EW131" s="301">
        <f>EW132+EW133</f>
        <v>0</v>
      </c>
      <c r="EX131" s="301">
        <f>EX132+EX133</f>
        <v>0</v>
      </c>
      <c r="EY131" s="301">
        <f>EY132+EY133</f>
        <v>0</v>
      </c>
      <c r="EZ131" s="301">
        <f t="shared" si="96"/>
        <v>0</v>
      </c>
      <c r="FA131" s="301">
        <f>FA132+FA133</f>
        <v>1417</v>
      </c>
      <c r="FB131" s="301">
        <f>FB132+FB133</f>
        <v>67.001418000000001</v>
      </c>
      <c r="FC131" s="301">
        <f>FC132+FC133</f>
        <v>67.001418000000001</v>
      </c>
      <c r="FD131" s="301">
        <f t="shared" si="97"/>
        <v>0</v>
      </c>
      <c r="FE131" s="301">
        <f>FE132+FE133</f>
        <v>1084</v>
      </c>
      <c r="FF131" s="301">
        <f>FF132+FF133</f>
        <v>71.023910000000001</v>
      </c>
      <c r="FG131" s="301">
        <f>FG132+FG133</f>
        <v>71.023910000000001</v>
      </c>
      <c r="FH131" s="301">
        <f t="shared" si="98"/>
        <v>0</v>
      </c>
      <c r="FI131" s="301">
        <f>FI132+FI133</f>
        <v>288</v>
      </c>
      <c r="FJ131" s="301">
        <f>FJ132+FJ133</f>
        <v>14.405925000000002</v>
      </c>
      <c r="FK131" s="301">
        <f>FK132+FK133</f>
        <v>14.405925000000002</v>
      </c>
      <c r="FL131" s="301">
        <f t="shared" si="113"/>
        <v>0</v>
      </c>
      <c r="FM131" s="301">
        <f>FM132+FM133</f>
        <v>0</v>
      </c>
      <c r="FN131" s="301">
        <f>FN132+FN133</f>
        <v>0</v>
      </c>
      <c r="FO131" s="301">
        <f>FO132+FO133</f>
        <v>0</v>
      </c>
      <c r="FP131" s="301">
        <f t="shared" si="108"/>
        <v>0</v>
      </c>
      <c r="FQ131" s="301">
        <f>FQ132+FQ133</f>
        <v>1322</v>
      </c>
      <c r="FR131" s="301">
        <f>FR132+FR133</f>
        <v>110.9494242</v>
      </c>
      <c r="FS131" s="301">
        <f>FS132+FS133</f>
        <v>110.9494242</v>
      </c>
      <c r="FT131" s="301">
        <f t="shared" si="99"/>
        <v>0</v>
      </c>
      <c r="FU131" s="301">
        <f>FU132+FU133</f>
        <v>1417</v>
      </c>
      <c r="FV131" s="301">
        <f>FV132+FV133</f>
        <v>60.579250000000002</v>
      </c>
      <c r="FW131" s="301">
        <f>FW132+FW133</f>
        <v>60.579250000000002</v>
      </c>
      <c r="FX131" s="301">
        <f t="shared" si="173"/>
        <v>0</v>
      </c>
      <c r="FY131" s="301">
        <f>FY132+FY133</f>
        <v>76</v>
      </c>
      <c r="FZ131" s="301">
        <f>FZ132+FZ133</f>
        <v>3.8302749999999999</v>
      </c>
      <c r="GA131" s="301">
        <f>GA132+GA133</f>
        <v>3.8302749999999999</v>
      </c>
      <c r="GB131" s="301">
        <f t="shared" si="101"/>
        <v>0</v>
      </c>
      <c r="GC131" s="301">
        <f>GC132+GC133</f>
        <v>373</v>
      </c>
      <c r="GD131" s="301">
        <f>GD132+GD133</f>
        <v>20.597196999999998</v>
      </c>
      <c r="GE131" s="301">
        <f>GE132+GE133</f>
        <v>20.597196999999998</v>
      </c>
      <c r="GF131" s="301">
        <f t="shared" si="174"/>
        <v>0</v>
      </c>
      <c r="GG131" s="301">
        <f>GG132+GG133</f>
        <v>37</v>
      </c>
      <c r="GH131" s="301">
        <f>GH132+GH133</f>
        <v>1.6853130000000001</v>
      </c>
      <c r="GI131" s="301">
        <f>GI132+GI133</f>
        <v>1.6853130000000001</v>
      </c>
      <c r="GJ131" s="301">
        <f t="shared" si="179"/>
        <v>0</v>
      </c>
      <c r="GK131" s="301">
        <f>GK132+GK133</f>
        <v>20</v>
      </c>
      <c r="GL131" s="301">
        <f>GL132+GL133</f>
        <v>2.06155</v>
      </c>
      <c r="GM131" s="301">
        <f>GM132+GM133</f>
        <v>2.06155</v>
      </c>
      <c r="GN131" s="301">
        <f t="shared" si="103"/>
        <v>0</v>
      </c>
      <c r="GO131" s="301">
        <f>GO132+GO133</f>
        <v>135</v>
      </c>
      <c r="GP131" s="301">
        <f>GP132+GP133</f>
        <v>9.4906100000000002</v>
      </c>
      <c r="GQ131" s="301">
        <f>GQ132+GQ133</f>
        <v>9.4906100000000002</v>
      </c>
      <c r="GR131" s="301">
        <f t="shared" si="180"/>
        <v>0</v>
      </c>
      <c r="GS131" s="301">
        <f>GS132+GS133</f>
        <v>81</v>
      </c>
      <c r="GT131" s="301">
        <f>GT132+GT133</f>
        <v>2.7329400000000001</v>
      </c>
      <c r="GU131" s="301">
        <f>GU132+GU133</f>
        <v>2.7329400000000001</v>
      </c>
      <c r="GV131" s="301">
        <f t="shared" si="105"/>
        <v>0</v>
      </c>
      <c r="GW131" s="301">
        <f>GW132+GW133</f>
        <v>0</v>
      </c>
      <c r="GX131" s="301">
        <f>GX132+GX133</f>
        <v>0</v>
      </c>
      <c r="GY131" s="301">
        <f>GY132+GY133</f>
        <v>0</v>
      </c>
      <c r="GZ131" s="301">
        <f t="shared" si="150"/>
        <v>0</v>
      </c>
      <c r="HA131" s="328"/>
      <c r="HB131" s="339"/>
      <c r="HS131" s="306"/>
      <c r="HT131" s="306"/>
      <c r="HU131" s="306"/>
      <c r="HV131" s="306"/>
    </row>
    <row r="132" spans="1:256" ht="13.5" hidden="1" customHeight="1">
      <c r="A132" s="909"/>
      <c r="B132" s="433">
        <v>16.87</v>
      </c>
      <c r="C132" s="434" t="s">
        <v>248</v>
      </c>
      <c r="D132" s="435" t="s">
        <v>223</v>
      </c>
      <c r="E132" s="299">
        <f t="shared" ref="E132:H133" si="183">I132+M132+Q132+U132+Y132+AC132+AG132+AK132+AO132+AS132+AW132+BA132+BE132+BI132+BM132+BQ132+BU132+BY132+CC132+CG132+CK132+CO132+CS132+CW132+DA132+DE132+DI132+DM132+DQ132+DU132+DY132+EC132+EG132+EK132+EO132+ES132+EW132+FA132+FE132+FI132+FM132+FQ132+FU132+FY132+GC132+GK132+GG132+GO132+GS132+GW132</f>
        <v>175491</v>
      </c>
      <c r="F132" s="299">
        <f t="shared" si="183"/>
        <v>16863.444481000002</v>
      </c>
      <c r="G132" s="299">
        <f t="shared" si="183"/>
        <v>16863.444481000002</v>
      </c>
      <c r="H132" s="299">
        <f t="shared" si="183"/>
        <v>0</v>
      </c>
      <c r="I132" s="338">
        <f>'[1]ГК РЭС'!K109</f>
        <v>736</v>
      </c>
      <c r="J132" s="338">
        <f>'[1]ГК РЭС'!L109/1000</f>
        <v>66.424000000000007</v>
      </c>
      <c r="K132" s="338">
        <f>'[1]ГК РЭС'!M109/1000</f>
        <v>66.424000000000007</v>
      </c>
      <c r="L132" s="301">
        <f t="shared" si="175"/>
        <v>0</v>
      </c>
      <c r="M132" s="338">
        <f>'[1]УМУП УК ЖКХ г.Ульяновска'!K290</f>
        <v>138</v>
      </c>
      <c r="N132" s="338">
        <f>'[1]УМУП УК ЖКХ г.Ульяновска'!L290/1000</f>
        <v>11.394099999999998</v>
      </c>
      <c r="O132" s="338">
        <f>'[1]УМУП УК ЖКХ г.Ульяновска'!M290/1000</f>
        <v>11.394099999999998</v>
      </c>
      <c r="P132" s="301">
        <f>O132-N132</f>
        <v>0</v>
      </c>
      <c r="Q132" s="338">
        <f>'[1]ОАО ДК Засвияжье 1'!K348</f>
        <v>34961</v>
      </c>
      <c r="R132" s="338">
        <f>'[1]ОАО ДК Засвияжье 1'!L348/1000</f>
        <v>3312.56351</v>
      </c>
      <c r="S132" s="338">
        <f>'[1]ОАО ДК Засвияжье 1'!M348/1000</f>
        <v>3312.56351</v>
      </c>
      <c r="T132" s="301">
        <f t="shared" si="148"/>
        <v>0</v>
      </c>
      <c r="U132" s="338">
        <f>'[1]ОАО ДК Заволж р-на'!K413</f>
        <v>18415</v>
      </c>
      <c r="V132" s="338">
        <f>'[1]ОАО ДК Заволж р-на'!L413/1000</f>
        <v>1835.3607500000001</v>
      </c>
      <c r="W132" s="338">
        <f>'[1]ОАО ДК Заволж р-на'!M413/1000</f>
        <v>1835.3607500000001</v>
      </c>
      <c r="X132" s="301">
        <f t="shared" si="154"/>
        <v>0</v>
      </c>
      <c r="Y132" s="338">
        <f>'[1]ООО ЖСС'!K136</f>
        <v>2817</v>
      </c>
      <c r="Z132" s="338">
        <f>'[1]ООО ЖСС'!L136/1000</f>
        <v>254.23425</v>
      </c>
      <c r="AA132" s="338">
        <f>'[1]ООО ЖСС'!M136/1000</f>
        <v>254.23425</v>
      </c>
      <c r="AB132" s="301">
        <f t="shared" si="127"/>
        <v>0</v>
      </c>
      <c r="AC132" s="338">
        <f>[1]МегаЛинк!K155</f>
        <v>1951</v>
      </c>
      <c r="AD132" s="338">
        <f>[1]МегаЛинк!L155/1000</f>
        <v>166.47717</v>
      </c>
      <c r="AE132" s="338">
        <f>[1]МегаЛинк!M155/1000</f>
        <v>166.47717</v>
      </c>
      <c r="AF132" s="300">
        <f t="shared" si="152"/>
        <v>0</v>
      </c>
      <c r="AG132" s="338">
        <f>[1]Вымпел!K97</f>
        <v>400</v>
      </c>
      <c r="AH132" s="338">
        <f>[1]Вымпел!L97/1000</f>
        <v>36.1</v>
      </c>
      <c r="AI132" s="338">
        <f>[1]Вымпел!M97/1000</f>
        <v>36.1</v>
      </c>
      <c r="AJ132" s="300">
        <f t="shared" si="128"/>
        <v>0</v>
      </c>
      <c r="AK132" s="338">
        <f>'[1]ООО РЭС'!K161</f>
        <v>4156</v>
      </c>
      <c r="AL132" s="338">
        <f>'[1]ООО РЭС'!L161/1000</f>
        <v>374.43747999999999</v>
      </c>
      <c r="AM132" s="338">
        <f>'[1]ООО РЭС'!M161/1000</f>
        <v>374.43747999999999</v>
      </c>
      <c r="AN132" s="301">
        <f t="shared" si="129"/>
        <v>0</v>
      </c>
      <c r="AO132" s="338">
        <f>'[1]ЗАО ГК Аметист'!K408</f>
        <v>14887</v>
      </c>
      <c r="AP132" s="338">
        <f>'[1]ЗАО ГК Аметист'!L408/1000</f>
        <v>1329.6683099999998</v>
      </c>
      <c r="AQ132" s="338">
        <f>'[1]ЗАО ГК Аметист'!M408/1000</f>
        <v>1329.6683099999998</v>
      </c>
      <c r="AR132" s="300">
        <f t="shared" si="120"/>
        <v>0</v>
      </c>
      <c r="AS132" s="338">
        <f>'[1]Фундамент СК ООО'!K219</f>
        <v>2514</v>
      </c>
      <c r="AT132" s="338">
        <f>'[1]Фундамент СК ООО'!L219/1000</f>
        <v>226.10442</v>
      </c>
      <c r="AU132" s="338">
        <f>'[1]Фундамент СК ООО'!M219/1000</f>
        <v>226.10442</v>
      </c>
      <c r="AV132" s="301">
        <f t="shared" si="130"/>
        <v>0</v>
      </c>
      <c r="AW132" s="338">
        <f>'[1]Ульяновский _2 ТСЖ'!K96</f>
        <v>234</v>
      </c>
      <c r="AX132" s="338">
        <f>'[1]Ульяновский _2 ТСЖ'!L96/1000</f>
        <v>21.118500000000001</v>
      </c>
      <c r="AY132" s="338">
        <f>'[1]Ульяновский _2 ТСЖ'!M96/1000</f>
        <v>21.118500000000001</v>
      </c>
      <c r="AZ132" s="301">
        <f t="shared" si="131"/>
        <v>0</v>
      </c>
      <c r="BA132" s="338">
        <f>'[1]ДоМ ТСЖ'!K96</f>
        <v>79</v>
      </c>
      <c r="BB132" s="338">
        <f>'[1]ДоМ ТСЖ'!L96/1000</f>
        <v>7.1297499999999996</v>
      </c>
      <c r="BC132" s="338">
        <f>'[1]ДоМ ТСЖ'!M96/1000</f>
        <v>7.1297499999999996</v>
      </c>
      <c r="BD132" s="301">
        <f t="shared" si="132"/>
        <v>0</v>
      </c>
      <c r="BE132" s="338">
        <f>'[1]ООО ТехноГрад'!K96</f>
        <v>50</v>
      </c>
      <c r="BF132" s="338">
        <f>'[1]ООО ТехноГрад'!L96/1000</f>
        <v>4.2234999999999996</v>
      </c>
      <c r="BG132" s="338">
        <f>'[1]ООО ТехноГрад'!M96/1000</f>
        <v>4.2234999999999996</v>
      </c>
      <c r="BH132" s="301">
        <f t="shared" si="149"/>
        <v>0</v>
      </c>
      <c r="BI132" s="338">
        <f>[1]СМУ!K300</f>
        <v>6405</v>
      </c>
      <c r="BJ132" s="338">
        <f>[1]СМУ!L300/1000</f>
        <v>645.31626000000006</v>
      </c>
      <c r="BK132" s="338">
        <f>[1]СМУ!M300/1000</f>
        <v>645.31626000000006</v>
      </c>
      <c r="BL132" s="301">
        <f t="shared" si="133"/>
        <v>0</v>
      </c>
      <c r="BM132" s="338">
        <f>'[1]Евро-Строй-Сервис'!K158</f>
        <v>1256</v>
      </c>
      <c r="BN132" s="338">
        <f>'[1]Евро-Строй-Сервис'!L158/1000</f>
        <v>143.893</v>
      </c>
      <c r="BO132" s="338">
        <f>'[1]Евро-Строй-Сервис'!M158/1000</f>
        <v>143.893</v>
      </c>
      <c r="BP132" s="301">
        <f t="shared" si="134"/>
        <v>0</v>
      </c>
      <c r="BQ132" s="338">
        <f>'[1]ОАО ДК Засвияжье 2'!K341</f>
        <v>1878</v>
      </c>
      <c r="BR132" s="338">
        <f>'[1]ОАО ДК Засвияжье 2'!L341/1000</f>
        <v>107.13619999999999</v>
      </c>
      <c r="BS132" s="338">
        <f>'[1]ОАО ДК Засвияжье 2'!M341/1000</f>
        <v>107.13619999999999</v>
      </c>
      <c r="BT132" s="301">
        <f t="shared" si="135"/>
        <v>0</v>
      </c>
      <c r="BU132" s="338">
        <f>('[1]ОАО ДК Лен р-на'!K581+'[1]ООО Технология'!K276)</f>
        <v>24571</v>
      </c>
      <c r="BV132" s="338">
        <f>('[1]ОАО ДК Лен р-на'!L581+'[1]ООО Технология'!L276)/1000</f>
        <v>2570.9371609999998</v>
      </c>
      <c r="BW132" s="338">
        <f>('[1]ОАО ДК Лен р-на'!M581+'[1]ООО Технология'!M276)/1000</f>
        <v>2570.9371609999998</v>
      </c>
      <c r="BX132" s="301">
        <f t="shared" si="137"/>
        <v>0</v>
      </c>
      <c r="BY132" s="338">
        <f>'[1]ОАО ДК ЖД р-на'!K757</f>
        <v>34094</v>
      </c>
      <c r="BZ132" s="338">
        <f>'[1]ОАО ДК ЖД р-на'!L757/1000</f>
        <v>3445.4851700000008</v>
      </c>
      <c r="CA132" s="338">
        <f>'[1]ОАО ДК ЖД р-на'!M757/1000</f>
        <v>3445.4851700000008</v>
      </c>
      <c r="CB132" s="301">
        <f t="shared" si="138"/>
        <v>0</v>
      </c>
      <c r="CC132" s="338">
        <f>[1]СУК!K97</f>
        <v>0</v>
      </c>
      <c r="CD132" s="338">
        <f>[1]СУК!L97/1000</f>
        <v>0</v>
      </c>
      <c r="CE132" s="338">
        <f>[1]СУК!M97/1000</f>
        <v>0</v>
      </c>
      <c r="CF132" s="300">
        <f t="shared" si="107"/>
        <v>0</v>
      </c>
      <c r="CG132" s="338">
        <f>'[1]УК ЖСС'!K164</f>
        <v>7999</v>
      </c>
      <c r="CH132" s="338">
        <f>'[1]УК ЖСС'!L164/1000</f>
        <v>720.09606999999994</v>
      </c>
      <c r="CI132" s="338">
        <f>'[1]УК ЖСС'!M164/1000</f>
        <v>720.09606999999994</v>
      </c>
      <c r="CJ132" s="301">
        <f t="shared" si="122"/>
        <v>0</v>
      </c>
      <c r="CK132" s="338">
        <f>'[1]ТСЖ Народ контроль R'!K97</f>
        <v>901</v>
      </c>
      <c r="CL132" s="338">
        <f>'[1]ТСЖ Народ контроль R'!L97/1000</f>
        <v>81.315250000000006</v>
      </c>
      <c r="CM132" s="338">
        <f>'[1]ТСЖ Народ контроль R'!M97/1000</f>
        <v>81.315250000000006</v>
      </c>
      <c r="CN132" s="301">
        <f t="shared" si="84"/>
        <v>0</v>
      </c>
      <c r="CO132" s="338">
        <f>'[1]Север-1'!K369</f>
        <v>658</v>
      </c>
      <c r="CP132" s="338">
        <f>'[1]Север-1'!L369/1000</f>
        <v>68.449150000000003</v>
      </c>
      <c r="CQ132" s="338">
        <f>'[1]Север-1'!M369/1000</f>
        <v>68.449150000000003</v>
      </c>
      <c r="CR132" s="301">
        <f t="shared" si="85"/>
        <v>0</v>
      </c>
      <c r="CS132" s="338">
        <f>'[1]МостОтряд №51'!K97</f>
        <v>606</v>
      </c>
      <c r="CT132" s="338">
        <f>'[1]МостОтряд №51'!L97/1000</f>
        <v>27.67952</v>
      </c>
      <c r="CU132" s="338">
        <f>'[1]МостОтряд №51'!M97/1000</f>
        <v>27.67952</v>
      </c>
      <c r="CV132" s="301">
        <f t="shared" si="177"/>
        <v>0</v>
      </c>
      <c r="CW132" s="338">
        <f>'[1]Пр-т Гая'!K372</f>
        <v>1769</v>
      </c>
      <c r="CX132" s="338">
        <f>'[1]Пр-т Гая'!L372/1000</f>
        <v>172.55683000000002</v>
      </c>
      <c r="CY132" s="338">
        <f>'[1]Пр-т Гая'!M372/1000</f>
        <v>172.55683000000002</v>
      </c>
      <c r="CZ132" s="301">
        <f t="shared" si="87"/>
        <v>0</v>
      </c>
      <c r="DA132" s="338">
        <f>[1]Стасова!K224</f>
        <v>843</v>
      </c>
      <c r="DB132" s="338">
        <f>[1]Стасова!L224/1000</f>
        <v>62.798449999999995</v>
      </c>
      <c r="DC132" s="338">
        <f>[1]Стасова!M224/1000</f>
        <v>62.798449999999995</v>
      </c>
      <c r="DD132" s="300">
        <f t="shared" si="115"/>
        <v>0</v>
      </c>
      <c r="DE132" s="338">
        <f>'[1]Мегаполис ТСЖ'!K97</f>
        <v>543</v>
      </c>
      <c r="DF132" s="338">
        <f>'[1]Мегаполис ТСЖ'!L97/1000</f>
        <v>45.23583</v>
      </c>
      <c r="DG132" s="338">
        <f>'[1]Мегаполис ТСЖ'!M97/1000</f>
        <v>45.23583</v>
      </c>
      <c r="DH132" s="301">
        <f>DG132-DF132</f>
        <v>0</v>
      </c>
      <c r="DI132" s="338">
        <f>'[1]ООО УК Инвестстрой М'!K97</f>
        <v>0</v>
      </c>
      <c r="DJ132" s="338">
        <f>'[1]ООО УК Инвестстрой М'!L97/1000</f>
        <v>0</v>
      </c>
      <c r="DK132" s="338">
        <f>'[1]ООО УК Инвестстрой М'!M97/1000</f>
        <v>0</v>
      </c>
      <c r="DL132" s="301">
        <f t="shared" si="139"/>
        <v>0</v>
      </c>
      <c r="DM132" s="338">
        <f>'[1]Альфаком-У'!K260</f>
        <v>5119</v>
      </c>
      <c r="DN132" s="338">
        <f>'[1]Альфаком-У'!L260/1000</f>
        <v>424.97058999999996</v>
      </c>
      <c r="DO132" s="338">
        <f>'[1]Альфаком-У'!M260/1000</f>
        <v>424.97058999999996</v>
      </c>
      <c r="DP132" s="301">
        <f t="shared" si="82"/>
        <v>0</v>
      </c>
      <c r="DQ132" s="338">
        <f>'[1]ТСЖ Дачный'!K224</f>
        <v>0</v>
      </c>
      <c r="DR132" s="338">
        <f>'[1]ТСЖ Дачный'!L224/1000</f>
        <v>0</v>
      </c>
      <c r="DS132" s="338">
        <f>'[1]ТСЖ Дачный'!M224/1000</f>
        <v>0</v>
      </c>
      <c r="DT132" s="300">
        <f t="shared" si="89"/>
        <v>0</v>
      </c>
      <c r="DU132" s="338">
        <f>'[1]Альфаком-У-ТСЖ З-2'!K237</f>
        <v>900</v>
      </c>
      <c r="DV132" s="338">
        <f>'[1]Альфаком-У-ТСЖ З-2'!L237/1000</f>
        <v>79.934039999999996</v>
      </c>
      <c r="DW132" s="338">
        <f>'[1]Альфаком-У-ТСЖ З-2'!M237/1000</f>
        <v>79.934039999999996</v>
      </c>
      <c r="DX132" s="301">
        <f t="shared" si="112"/>
        <v>0</v>
      </c>
      <c r="DY132" s="338">
        <f>'[1]ЖСК Электромаш'!K97</f>
        <v>122</v>
      </c>
      <c r="DZ132" s="338">
        <f>'[1]ЖСК Электромаш'!L97/1000</f>
        <v>11.0105</v>
      </c>
      <c r="EA132" s="338">
        <f>'[1]ЖСК Электромаш'!M97/1000</f>
        <v>11.0105</v>
      </c>
      <c r="EB132" s="301">
        <f t="shared" si="90"/>
        <v>0</v>
      </c>
      <c r="EC132" s="338">
        <f>'[1]ЗАО Авиастар-СП'!K97</f>
        <v>18</v>
      </c>
      <c r="ED132" s="338">
        <f>'[1]ЗАО Авиастар-СП'!L97/1000</f>
        <v>1.6245000000000001</v>
      </c>
      <c r="EE132" s="338">
        <f>'[1]ЗАО Авиастар-СП'!M97/1000</f>
        <v>1.6245000000000001</v>
      </c>
      <c r="EF132" s="301">
        <f t="shared" si="91"/>
        <v>0</v>
      </c>
      <c r="EG132" s="338">
        <f>'[1]ООО ЦЭТ'!K404</f>
        <v>3664</v>
      </c>
      <c r="EH132" s="338">
        <f>'[1]ООО ЦЭТ'!L404/1000</f>
        <v>341.12411000000003</v>
      </c>
      <c r="EI132" s="338">
        <f>'[1]ООО ЦЭТ'!M404/1000</f>
        <v>341.12411000000003</v>
      </c>
      <c r="EJ132" s="301">
        <f t="shared" si="92"/>
        <v>0</v>
      </c>
      <c r="EK132" s="338">
        <f>'[1]ТСЖ Форт'!K97</f>
        <v>15</v>
      </c>
      <c r="EL132" s="338">
        <f>'[1]ТСЖ Форт'!L97/1000</f>
        <v>1.3968000000000003</v>
      </c>
      <c r="EM132" s="338">
        <f>'[1]ТСЖ Форт'!M97/1000</f>
        <v>1.3968000000000003</v>
      </c>
      <c r="EN132" s="301">
        <f t="shared" si="93"/>
        <v>0</v>
      </c>
      <c r="EO132" s="338">
        <f>'[1]ООО ЖЭК'!K159</f>
        <v>370</v>
      </c>
      <c r="EP132" s="338">
        <f>'[1]ООО ЖЭК'!L159/1000</f>
        <v>37.817689999999992</v>
      </c>
      <c r="EQ132" s="338">
        <f>'[1]ООО ЖЭК'!M159/1000</f>
        <v>37.817689999999992</v>
      </c>
      <c r="ER132" s="300">
        <f t="shared" si="94"/>
        <v>0</v>
      </c>
      <c r="ES132" s="338">
        <f>'[1]УК ЖКХ Симбирск'!K391</f>
        <v>208</v>
      </c>
      <c r="ET132" s="338">
        <f>'[1]УК ЖКХ Симбирск'!L391/1000</f>
        <v>23.315420000000003</v>
      </c>
      <c r="EU132" s="338">
        <f>'[1]УК ЖКХ Симбирск'!M391/1000</f>
        <v>23.315420000000003</v>
      </c>
      <c r="EV132" s="300">
        <f t="shared" si="95"/>
        <v>0</v>
      </c>
      <c r="EW132" s="338">
        <f>'[1]ООО Наш Дом 010212'!K252</f>
        <v>0</v>
      </c>
      <c r="EX132" s="338">
        <f>'[1]ООО Наш Дом 010212'!L252/1000</f>
        <v>0</v>
      </c>
      <c r="EY132" s="338">
        <f>'[1]ООО Наш Дом 010212'!M252/1000</f>
        <v>0</v>
      </c>
      <c r="EZ132" s="301">
        <f t="shared" si="96"/>
        <v>0</v>
      </c>
      <c r="FA132" s="338">
        <f>'[1]ООО Истоки+'!K237</f>
        <v>201</v>
      </c>
      <c r="FB132" s="338">
        <f>'[1]ООО Истоки+'!L237/1000</f>
        <v>17.768009999999997</v>
      </c>
      <c r="FC132" s="338">
        <f>'[1]ООО Истоки+'!M237/1000</f>
        <v>17.768009999999997</v>
      </c>
      <c r="FD132" s="301">
        <f t="shared" si="97"/>
        <v>0</v>
      </c>
      <c r="FE132" s="338">
        <f>'[1]ООО ЖКиСР УправДом'!K307</f>
        <v>429</v>
      </c>
      <c r="FF132" s="338">
        <f>'[1]ООО ЖКиСР УправДом'!L307/1000</f>
        <v>48.924210000000002</v>
      </c>
      <c r="FG132" s="338">
        <f>'[1]ООО ЖКиСР УправДом'!M307/1000</f>
        <v>48.924210000000002</v>
      </c>
      <c r="FH132" s="301">
        <f t="shared" si="98"/>
        <v>0</v>
      </c>
      <c r="FI132" s="338">
        <f>'[1]ТСЖ Малахит'!K95</f>
        <v>47</v>
      </c>
      <c r="FJ132" s="338">
        <f>'[1]ТСЖ Малахит'!L95/1000</f>
        <v>4.2417499999999997</v>
      </c>
      <c r="FK132" s="338">
        <f>'[1]ТСЖ Малахит'!M95/1000</f>
        <v>4.2417499999999997</v>
      </c>
      <c r="FL132" s="301">
        <f t="shared" si="113"/>
        <v>0</v>
      </c>
      <c r="FM132" s="338">
        <v>0</v>
      </c>
      <c r="FN132" s="338">
        <v>0</v>
      </c>
      <c r="FO132" s="338">
        <v>0</v>
      </c>
      <c r="FP132" s="301">
        <f t="shared" si="108"/>
        <v>0</v>
      </c>
      <c r="FQ132" s="338">
        <f>'[1]ООО ЖКХ Лен-го района'!K336</f>
        <v>1229</v>
      </c>
      <c r="FR132" s="338">
        <f>'[1]ООО ЖКХ Лен-го района'!L336/1000</f>
        <v>108.40778999999999</v>
      </c>
      <c r="FS132" s="338">
        <f>'[1]ООО ЖКХ Лен-го района'!M336/1000</f>
        <v>108.40778999999999</v>
      </c>
      <c r="FT132" s="301">
        <f t="shared" si="99"/>
        <v>0</v>
      </c>
      <c r="FU132" s="338">
        <f>'[1]ООО УК КПД-1'!K121</f>
        <v>17</v>
      </c>
      <c r="FV132" s="338">
        <f>'[1]ООО УК КПД-1'!L121/1000</f>
        <v>1.5342499999999999</v>
      </c>
      <c r="FW132" s="338">
        <f>'[1]ООО УК КПД-1'!M121/1000</f>
        <v>1.5342499999999999</v>
      </c>
      <c r="FX132" s="301">
        <f t="shared" si="173"/>
        <v>0</v>
      </c>
      <c r="FY132" s="338">
        <f>'[1]ООО КПД-2 Жилсервис'!K105</f>
        <v>13</v>
      </c>
      <c r="FZ132" s="338">
        <f>'[1]ООО КПД-2 Жилсервис'!L105/1000</f>
        <v>1.1732499999999999</v>
      </c>
      <c r="GA132" s="338">
        <f>'[1]ООО КПД-2 Жилсервис'!M105/1000</f>
        <v>1.1732499999999999</v>
      </c>
      <c r="GB132" s="301">
        <f t="shared" si="101"/>
        <v>0</v>
      </c>
      <c r="GC132" s="338">
        <f>'[1]ООО УК ЦЭТ'!K373</f>
        <v>164</v>
      </c>
      <c r="GD132" s="338">
        <f>'[1]ООО УК ЦЭТ'!L373/1000</f>
        <v>13.898119999999999</v>
      </c>
      <c r="GE132" s="338">
        <f>'[1]ООО УК ЦЭТ'!M373/1000</f>
        <v>13.898119999999999</v>
      </c>
      <c r="GF132" s="301">
        <f t="shared" si="174"/>
        <v>0</v>
      </c>
      <c r="GG132" s="338">
        <f>'[1]ЖСК пер Рылеева-14'!K391</f>
        <v>0</v>
      </c>
      <c r="GH132" s="338">
        <f>'[1]ЖСК пер Рылеева-14'!L391/1000</f>
        <v>0</v>
      </c>
      <c r="GI132" s="338">
        <f>'[1]ЖСК пер Рылеева-14'!M391/1000</f>
        <v>0</v>
      </c>
      <c r="GJ132" s="301">
        <f t="shared" si="179"/>
        <v>0</v>
      </c>
      <c r="GK132" s="338">
        <f>'[1]ООО УК Симбирская'!K159</f>
        <v>15</v>
      </c>
      <c r="GL132" s="338">
        <f>'[1]ООО УК Симбирская'!L159/1000</f>
        <v>1.8928499999999999</v>
      </c>
      <c r="GM132" s="338">
        <f>'[1]ООО УК Симбирская'!M159/1000</f>
        <v>1.8928499999999999</v>
      </c>
      <c r="GN132" s="301">
        <f t="shared" si="103"/>
        <v>0</v>
      </c>
      <c r="GO132" s="338">
        <f>'[1]ООО УО Партнер'!K137</f>
        <v>99</v>
      </c>
      <c r="GP132" s="338">
        <f>'[1]ООО УО Партнер'!L137/1000</f>
        <v>8.2759700000000009</v>
      </c>
      <c r="GQ132" s="338">
        <f>'[1]ООО УО Партнер'!M137/1000</f>
        <v>8.2759700000000009</v>
      </c>
      <c r="GR132" s="301">
        <f t="shared" si="180"/>
        <v>0</v>
      </c>
      <c r="GS132" s="338">
        <f>'[1]ООО ТК Святогор'!K97</f>
        <v>0</v>
      </c>
      <c r="GT132" s="338">
        <f>'[1]ООО ТК Святогор'!L97/1000</f>
        <v>0</v>
      </c>
      <c r="GU132" s="338">
        <f>'[1]ООО ТК Святогор'!M97/1000</f>
        <v>0</v>
      </c>
      <c r="GV132" s="301">
        <f t="shared" si="105"/>
        <v>0</v>
      </c>
      <c r="GW132" s="338">
        <f>'[1]ТСЖ Володарец'!K163</f>
        <v>0</v>
      </c>
      <c r="GX132" s="338">
        <f>'[1]ТСЖ Володарец'!L163/1000</f>
        <v>0</v>
      </c>
      <c r="GY132" s="338">
        <f>'[1]ТСЖ Володарец'!M163/1000</f>
        <v>0</v>
      </c>
      <c r="GZ132" s="301">
        <f t="shared" si="150"/>
        <v>0</v>
      </c>
      <c r="HA132" s="328"/>
      <c r="HB132" s="339"/>
      <c r="HS132" s="306"/>
      <c r="HT132" s="306"/>
      <c r="HU132" s="306"/>
      <c r="HV132" s="306"/>
    </row>
    <row r="133" spans="1:256" ht="13.5" hidden="1" customHeight="1">
      <c r="A133" s="909"/>
      <c r="B133" s="436"/>
      <c r="C133" s="437" t="s">
        <v>250</v>
      </c>
      <c r="D133" s="438" t="s">
        <v>223</v>
      </c>
      <c r="E133" s="299">
        <f t="shared" si="183"/>
        <v>271197</v>
      </c>
      <c r="F133" s="299">
        <f t="shared" si="183"/>
        <v>8921.6897154000017</v>
      </c>
      <c r="G133" s="299">
        <f t="shared" si="183"/>
        <v>8921.6897154000017</v>
      </c>
      <c r="H133" s="299">
        <f t="shared" si="183"/>
        <v>0</v>
      </c>
      <c r="I133" s="338">
        <f>I113</f>
        <v>1782</v>
      </c>
      <c r="J133" s="338">
        <f>I133*2*16.87/1000</f>
        <v>60.124679999999998</v>
      </c>
      <c r="K133" s="338">
        <f>J133</f>
        <v>60.124679999999998</v>
      </c>
      <c r="L133" s="301">
        <f t="shared" si="175"/>
        <v>0</v>
      </c>
      <c r="M133" s="338">
        <f>174+48+16</f>
        <v>238</v>
      </c>
      <c r="N133" s="338">
        <f>M133*2*16.87/1000</f>
        <v>8.0301200000000001</v>
      </c>
      <c r="O133" s="338">
        <f>N133</f>
        <v>8.0301200000000001</v>
      </c>
      <c r="P133" s="301">
        <f>O133-N133</f>
        <v>0</v>
      </c>
      <c r="Q133" s="338">
        <f>7307+153+9983+3951+1614+696+483+2649+1313+1432</f>
        <v>29581</v>
      </c>
      <c r="R133" s="338">
        <f>Q133*2*16.87/1000</f>
        <v>998.06294000000003</v>
      </c>
      <c r="S133" s="338">
        <f>R133</f>
        <v>998.06294000000003</v>
      </c>
      <c r="T133" s="301">
        <f t="shared" si="148"/>
        <v>0</v>
      </c>
      <c r="U133" s="338">
        <f>3029+8226+1740+65+2228+1509+616</f>
        <v>17413</v>
      </c>
      <c r="V133" s="338">
        <f>U133*1.99*16.87/1000</f>
        <v>584.57704690000003</v>
      </c>
      <c r="W133" s="338">
        <f>V133</f>
        <v>584.57704690000003</v>
      </c>
      <c r="X133" s="301">
        <f t="shared" si="154"/>
        <v>0</v>
      </c>
      <c r="Y133" s="338">
        <f>Y113</f>
        <v>19021</v>
      </c>
      <c r="Z133" s="338">
        <f>Y133*1.9*16.87/1000</f>
        <v>609.68011300000001</v>
      </c>
      <c r="AA133" s="338">
        <f>Z133</f>
        <v>609.68011300000001</v>
      </c>
      <c r="AB133" s="301">
        <f t="shared" si="127"/>
        <v>0</v>
      </c>
      <c r="AC133" s="338">
        <f>10418+168+329</f>
        <v>10915</v>
      </c>
      <c r="AD133" s="338">
        <f>AC133*2*16.87/1000</f>
        <v>368.27210000000002</v>
      </c>
      <c r="AE133" s="338">
        <f>AD133</f>
        <v>368.27210000000002</v>
      </c>
      <c r="AF133" s="300">
        <f t="shared" si="152"/>
        <v>0</v>
      </c>
      <c r="AG133" s="338">
        <f>AG110</f>
        <v>1796</v>
      </c>
      <c r="AH133" s="338">
        <f>AG133*2.18*16.87/1000</f>
        <v>66.050773599999999</v>
      </c>
      <c r="AI133" s="338">
        <f>AH133</f>
        <v>66.050773599999999</v>
      </c>
      <c r="AJ133" s="300">
        <f t="shared" si="128"/>
        <v>0</v>
      </c>
      <c r="AK133" s="338">
        <f>AK113</f>
        <v>17708</v>
      </c>
      <c r="AL133" s="338">
        <f>AK133*2.06*16.87/1000</f>
        <v>615.39195760000007</v>
      </c>
      <c r="AM133" s="338">
        <f>AL133</f>
        <v>615.39195760000007</v>
      </c>
      <c r="AN133" s="301">
        <f t="shared" si="129"/>
        <v>0</v>
      </c>
      <c r="AO133" s="338">
        <f>304+6944+15634+14818+806+192</f>
        <v>38698</v>
      </c>
      <c r="AP133" s="338">
        <f>AO133*1.87*16.87*0.9/1000</f>
        <v>1098.7217425800002</v>
      </c>
      <c r="AQ133" s="338">
        <f>AP133</f>
        <v>1098.7217425800002</v>
      </c>
      <c r="AR133" s="300">
        <f t="shared" si="120"/>
        <v>0</v>
      </c>
      <c r="AS133" s="338">
        <f>953+257+7108</f>
        <v>8318</v>
      </c>
      <c r="AT133" s="338">
        <f>AS133*1.89*16.87/1000</f>
        <v>265.2136074</v>
      </c>
      <c r="AU133" s="338">
        <f>AT133</f>
        <v>265.2136074</v>
      </c>
      <c r="AV133" s="301">
        <f t="shared" si="130"/>
        <v>0</v>
      </c>
      <c r="AW133" s="338">
        <f>AW110</f>
        <v>1763</v>
      </c>
      <c r="AX133" s="338">
        <f>AW133*1.79*16.87/1000</f>
        <v>53.237839900000004</v>
      </c>
      <c r="AY133" s="338">
        <f>AX133</f>
        <v>53.237839900000004</v>
      </c>
      <c r="AZ133" s="301">
        <f t="shared" si="131"/>
        <v>0</v>
      </c>
      <c r="BA133" s="338">
        <f>BA113</f>
        <v>730</v>
      </c>
      <c r="BB133" s="338">
        <f>BA133*2.32*16.87/1000</f>
        <v>28.571031999999999</v>
      </c>
      <c r="BC133" s="338">
        <f>BB133</f>
        <v>28.571031999999999</v>
      </c>
      <c r="BD133" s="301">
        <f t="shared" si="132"/>
        <v>0</v>
      </c>
      <c r="BE133" s="338">
        <f>BE113</f>
        <v>514</v>
      </c>
      <c r="BF133" s="338">
        <f>BE133*2*16.87/1000</f>
        <v>17.342359999999999</v>
      </c>
      <c r="BG133" s="338">
        <f>BF133</f>
        <v>17.342359999999999</v>
      </c>
      <c r="BH133" s="301">
        <f t="shared" si="149"/>
        <v>0</v>
      </c>
      <c r="BI133" s="338">
        <f>1771+7143</f>
        <v>8914</v>
      </c>
      <c r="BJ133" s="338">
        <f>BI133*1.91*16.87/1000</f>
        <v>287.22423379999998</v>
      </c>
      <c r="BK133" s="338">
        <f>BJ133</f>
        <v>287.22423379999998</v>
      </c>
      <c r="BL133" s="301">
        <f t="shared" si="133"/>
        <v>0</v>
      </c>
      <c r="BM133" s="338">
        <f>292+586+671</f>
        <v>1549</v>
      </c>
      <c r="BN133" s="338">
        <f>BM133*1.94*16.87/1000</f>
        <v>50.695362200000005</v>
      </c>
      <c r="BO133" s="338">
        <f>BN133</f>
        <v>50.695362200000005</v>
      </c>
      <c r="BP133" s="301">
        <f t="shared" si="134"/>
        <v>0</v>
      </c>
      <c r="BQ133" s="338">
        <f>42+185+303</f>
        <v>530</v>
      </c>
      <c r="BR133" s="338">
        <f>BQ133*1.5*16.87/1000</f>
        <v>13.411650000000002</v>
      </c>
      <c r="BS133" s="338">
        <f>BR133</f>
        <v>13.411650000000002</v>
      </c>
      <c r="BT133" s="301">
        <f t="shared" si="135"/>
        <v>0</v>
      </c>
      <c r="BU133" s="338">
        <f>1112+2018+448+267+38+166+78+2860+112+1174+1923+4645+58+256+893+392</f>
        <v>16440</v>
      </c>
      <c r="BV133" s="338">
        <f>BU133*2.33*16.87/1000</f>
        <v>646.20872400000019</v>
      </c>
      <c r="BW133" s="338">
        <f>BV133</f>
        <v>646.20872400000019</v>
      </c>
      <c r="BX133" s="301">
        <f t="shared" si="137"/>
        <v>0</v>
      </c>
      <c r="BY133" s="338">
        <f>1105+1205+364+260+222+4687+156+160+930+5694+4138+1004+2378+578+305</f>
        <v>23186</v>
      </c>
      <c r="BZ133" s="338">
        <f>BY133*2.2*16.87/1000</f>
        <v>860.52520400000014</v>
      </c>
      <c r="CA133" s="338">
        <f>BZ133</f>
        <v>860.52520400000014</v>
      </c>
      <c r="CB133" s="301">
        <f t="shared" si="138"/>
        <v>0</v>
      </c>
      <c r="CC133" s="338">
        <f>CC110</f>
        <v>162</v>
      </c>
      <c r="CD133" s="338">
        <f>CC133*4.41*16.87/1000</f>
        <v>12.052265400000001</v>
      </c>
      <c r="CE133" s="338">
        <f>CD133</f>
        <v>12.052265400000001</v>
      </c>
      <c r="CF133" s="300">
        <f t="shared" si="107"/>
        <v>0</v>
      </c>
      <c r="CG133" s="338">
        <f>CG113</f>
        <v>49202</v>
      </c>
      <c r="CH133" s="338">
        <f>CG133*2.02*16.87*0.9/1000</f>
        <v>1509.0086113200002</v>
      </c>
      <c r="CI133" s="338">
        <f>CH133</f>
        <v>1509.0086113200002</v>
      </c>
      <c r="CJ133" s="301">
        <f t="shared" si="122"/>
        <v>0</v>
      </c>
      <c r="CK133" s="338">
        <v>1102</v>
      </c>
      <c r="CL133" s="338">
        <f>CK133*2*16.87/1000</f>
        <v>37.181480000000001</v>
      </c>
      <c r="CM133" s="338">
        <f>CL133</f>
        <v>37.181480000000001</v>
      </c>
      <c r="CN133" s="301">
        <f t="shared" si="84"/>
        <v>0</v>
      </c>
      <c r="CO133" s="338">
        <f>53+239</f>
        <v>292</v>
      </c>
      <c r="CP133" s="338">
        <f>CO133*1.5*16.87/1000</f>
        <v>7.3890600000000006</v>
      </c>
      <c r="CQ133" s="338">
        <f>CP133</f>
        <v>7.3890600000000006</v>
      </c>
      <c r="CR133" s="301">
        <f t="shared" si="85"/>
        <v>0</v>
      </c>
      <c r="CS133" s="338">
        <v>51</v>
      </c>
      <c r="CT133" s="338">
        <f>CS133*1.48*16.87/1000</f>
        <v>1.2733476000000001</v>
      </c>
      <c r="CU133" s="338">
        <f>CT133</f>
        <v>1.2733476000000001</v>
      </c>
      <c r="CV133" s="301">
        <f t="shared" si="177"/>
        <v>0</v>
      </c>
      <c r="CW133" s="338">
        <f>183+2+70+143</f>
        <v>398</v>
      </c>
      <c r="CX133" s="338">
        <f>CW133*2*16.87/1000</f>
        <v>13.428520000000001</v>
      </c>
      <c r="CY133" s="338">
        <f>CX133</f>
        <v>13.428520000000001</v>
      </c>
      <c r="CZ133" s="301">
        <f t="shared" si="87"/>
        <v>0</v>
      </c>
      <c r="DA133" s="338">
        <f>2+333+21</f>
        <v>356</v>
      </c>
      <c r="DB133" s="338">
        <f>DA133*1.7*16.87/1000</f>
        <v>10.209724</v>
      </c>
      <c r="DC133" s="338">
        <f>DB133</f>
        <v>10.209724</v>
      </c>
      <c r="DD133" s="300">
        <f t="shared" si="115"/>
        <v>0</v>
      </c>
      <c r="DE133" s="338">
        <v>654</v>
      </c>
      <c r="DF133" s="338">
        <f>DE133*1.91*16.87/1000</f>
        <v>21.0729918</v>
      </c>
      <c r="DG133" s="338">
        <f>DF133</f>
        <v>21.0729918</v>
      </c>
      <c r="DH133" s="301">
        <f t="shared" si="159"/>
        <v>0</v>
      </c>
      <c r="DI133" s="338">
        <v>216</v>
      </c>
      <c r="DJ133" s="338">
        <f>DI133*3.5*16.87/1000</f>
        <v>12.753720000000001</v>
      </c>
      <c r="DK133" s="338">
        <f>DJ133</f>
        <v>12.753720000000001</v>
      </c>
      <c r="DL133" s="301">
        <f t="shared" si="139"/>
        <v>0</v>
      </c>
      <c r="DM133" s="338">
        <f>200+7984+394</f>
        <v>8578</v>
      </c>
      <c r="DN133" s="338">
        <f>DM133*1.9*16.87/1000</f>
        <v>274.95063400000004</v>
      </c>
      <c r="DO133" s="338">
        <f>DN133</f>
        <v>274.95063400000004</v>
      </c>
      <c r="DP133" s="301">
        <f t="shared" si="82"/>
        <v>0</v>
      </c>
      <c r="DQ133" s="338">
        <f>16</f>
        <v>16</v>
      </c>
      <c r="DR133" s="338">
        <f>DQ133*2*16.87/1000</f>
        <v>0.53983999999999999</v>
      </c>
      <c r="DS133" s="338">
        <f>DR133</f>
        <v>0.53983999999999999</v>
      </c>
      <c r="DT133" s="300">
        <f t="shared" si="89"/>
        <v>0</v>
      </c>
      <c r="DU133" s="338">
        <v>1788</v>
      </c>
      <c r="DV133" s="338">
        <f>DU133*1.8*16.87/1000</f>
        <v>54.294408000000004</v>
      </c>
      <c r="DW133" s="338">
        <f>DV133</f>
        <v>54.294408000000004</v>
      </c>
      <c r="DX133" s="301">
        <f t="shared" si="112"/>
        <v>0</v>
      </c>
      <c r="DY133" s="338">
        <f>DY113</f>
        <v>432</v>
      </c>
      <c r="DZ133" s="338">
        <f>DY133*2.59*16.87/1000</f>
        <v>18.8755056</v>
      </c>
      <c r="EA133" s="338">
        <f>DZ133</f>
        <v>18.8755056</v>
      </c>
      <c r="EB133" s="301">
        <f t="shared" si="90"/>
        <v>0</v>
      </c>
      <c r="EC133" s="338">
        <f>EC110</f>
        <v>259</v>
      </c>
      <c r="ED133" s="338">
        <f>EC133*2*16.87/1000</f>
        <v>8.7386599999999994</v>
      </c>
      <c r="EE133" s="338">
        <f>ED133</f>
        <v>8.7386599999999994</v>
      </c>
      <c r="EF133" s="301">
        <f t="shared" si="91"/>
        <v>0</v>
      </c>
      <c r="EG133" s="338">
        <f>34+20+53+164+137+4+25+30+104+2760+175+73+550</f>
        <v>4129</v>
      </c>
      <c r="EH133" s="338">
        <f>EG133*1.95*16.87/1000</f>
        <v>135.82964850000002</v>
      </c>
      <c r="EI133" s="338">
        <f>EH133</f>
        <v>135.82964850000002</v>
      </c>
      <c r="EJ133" s="301">
        <f t="shared" si="92"/>
        <v>0</v>
      </c>
      <c r="EK133" s="338"/>
      <c r="EL133" s="338">
        <f>EK133*2*16.87*0.9/1000</f>
        <v>0</v>
      </c>
      <c r="EM133" s="338">
        <f>EL133</f>
        <v>0</v>
      </c>
      <c r="EN133" s="301">
        <f t="shared" si="93"/>
        <v>0</v>
      </c>
      <c r="EO133" s="338">
        <f>8+232+65</f>
        <v>305</v>
      </c>
      <c r="EP133" s="338">
        <f>EO133*2*16.87/1000</f>
        <v>10.290700000000001</v>
      </c>
      <c r="EQ133" s="338">
        <f>EP133</f>
        <v>10.290700000000001</v>
      </c>
      <c r="ER133" s="300">
        <f t="shared" si="94"/>
        <v>0</v>
      </c>
      <c r="ES133" s="338">
        <f>48+77</f>
        <v>125</v>
      </c>
      <c r="ET133" s="338">
        <f>ES133*2*16.87/1000</f>
        <v>4.2175000000000002</v>
      </c>
      <c r="EU133" s="338">
        <f>ET133</f>
        <v>4.2175000000000002</v>
      </c>
      <c r="EV133" s="300">
        <f t="shared" si="95"/>
        <v>0</v>
      </c>
      <c r="EW133" s="338"/>
      <c r="EX133" s="338">
        <f>EW133*2*16.87*0.9/1000</f>
        <v>0</v>
      </c>
      <c r="EY133" s="338">
        <f>EX133</f>
        <v>0</v>
      </c>
      <c r="EZ133" s="301">
        <f t="shared" si="96"/>
        <v>0</v>
      </c>
      <c r="FA133" s="338">
        <f>241+186+201+262+326</f>
        <v>1216</v>
      </c>
      <c r="FB133" s="338">
        <f>FA133*2.4*16.87/1000</f>
        <v>49.233408000000004</v>
      </c>
      <c r="FC133" s="338">
        <f>FB133</f>
        <v>49.233408000000004</v>
      </c>
      <c r="FD133" s="301">
        <f t="shared" si="97"/>
        <v>0</v>
      </c>
      <c r="FE133" s="338">
        <f>280+375</f>
        <v>655</v>
      </c>
      <c r="FF133" s="338">
        <f>FE133*2*16.87/1000</f>
        <v>22.099700000000002</v>
      </c>
      <c r="FG133" s="338">
        <f>FF133</f>
        <v>22.099700000000002</v>
      </c>
      <c r="FH133" s="301">
        <f t="shared" si="98"/>
        <v>0</v>
      </c>
      <c r="FI133" s="338">
        <v>241</v>
      </c>
      <c r="FJ133" s="338">
        <f>FI133*2.5*16.87/1000</f>
        <v>10.164175000000002</v>
      </c>
      <c r="FK133" s="338">
        <f>FJ133</f>
        <v>10.164175000000002</v>
      </c>
      <c r="FL133" s="301">
        <f t="shared" si="113"/>
        <v>0</v>
      </c>
      <c r="FM133" s="338">
        <v>0</v>
      </c>
      <c r="FN133" s="338">
        <f>FM133*2*16.87/1000</f>
        <v>0</v>
      </c>
      <c r="FO133" s="338">
        <f>FN133</f>
        <v>0</v>
      </c>
      <c r="FP133" s="301">
        <f t="shared" si="108"/>
        <v>0</v>
      </c>
      <c r="FQ133" s="338">
        <f>66+10+10+4+3</f>
        <v>93</v>
      </c>
      <c r="FR133" s="338">
        <f>FQ133*1.62*16.87/1000</f>
        <v>2.5416341999999998</v>
      </c>
      <c r="FS133" s="338">
        <f>FR133</f>
        <v>2.5416341999999998</v>
      </c>
      <c r="FT133" s="301">
        <f t="shared" si="99"/>
        <v>0</v>
      </c>
      <c r="FU133" s="338">
        <f>260+1140</f>
        <v>1400</v>
      </c>
      <c r="FV133" s="338">
        <f>FU133*2.5*16.87/1000</f>
        <v>59.045000000000002</v>
      </c>
      <c r="FW133" s="338">
        <f>FV133</f>
        <v>59.045000000000002</v>
      </c>
      <c r="FX133" s="301">
        <f t="shared" si="173"/>
        <v>0</v>
      </c>
      <c r="FY133" s="338">
        <v>63</v>
      </c>
      <c r="FZ133" s="338">
        <f>FY133*2.5*16.87/1000</f>
        <v>2.657025</v>
      </c>
      <c r="GA133" s="338">
        <f>FZ133</f>
        <v>2.657025</v>
      </c>
      <c r="GB133" s="301">
        <f t="shared" si="101"/>
        <v>0</v>
      </c>
      <c r="GC133" s="338">
        <v>209</v>
      </c>
      <c r="GD133" s="338">
        <f>GC133*1.9*16.87/1000</f>
        <v>6.6990769999999999</v>
      </c>
      <c r="GE133" s="338">
        <f>GD133</f>
        <v>6.6990769999999999</v>
      </c>
      <c r="GF133" s="301">
        <f t="shared" si="174"/>
        <v>0</v>
      </c>
      <c r="GG133" s="338">
        <v>37</v>
      </c>
      <c r="GH133" s="338">
        <f>GG133*2.7*16.87/1000</f>
        <v>1.6853130000000001</v>
      </c>
      <c r="GI133" s="338">
        <f>GH133</f>
        <v>1.6853130000000001</v>
      </c>
      <c r="GJ133" s="301">
        <f t="shared" si="179"/>
        <v>0</v>
      </c>
      <c r="GK133" s="338">
        <v>5</v>
      </c>
      <c r="GL133" s="338">
        <f>GK133*2*16.87/1000</f>
        <v>0.16870000000000002</v>
      </c>
      <c r="GM133" s="338">
        <f>GL133</f>
        <v>0.16870000000000002</v>
      </c>
      <c r="GN133" s="301">
        <f t="shared" si="103"/>
        <v>0</v>
      </c>
      <c r="GO133" s="338">
        <f>3+3+4+26</f>
        <v>36</v>
      </c>
      <c r="GP133" s="338">
        <f>GO133*2*16.87/1000</f>
        <v>1.2146400000000002</v>
      </c>
      <c r="GQ133" s="338">
        <f>GP133</f>
        <v>1.2146400000000002</v>
      </c>
      <c r="GR133" s="301">
        <f t="shared" si="180"/>
        <v>0</v>
      </c>
      <c r="GS133" s="338">
        <f>GS113</f>
        <v>81</v>
      </c>
      <c r="GT133" s="338">
        <f>GS133*2*16.87/1000</f>
        <v>2.7329400000000001</v>
      </c>
      <c r="GU133" s="338">
        <f>GT133</f>
        <v>2.7329400000000001</v>
      </c>
      <c r="GV133" s="301">
        <f t="shared" si="105"/>
        <v>0</v>
      </c>
      <c r="GW133" s="338"/>
      <c r="GX133" s="338">
        <f>GW133*2*16.87/1000</f>
        <v>0</v>
      </c>
      <c r="GY133" s="338">
        <f>GX133</f>
        <v>0</v>
      </c>
      <c r="GZ133" s="301">
        <f t="shared" si="150"/>
        <v>0</v>
      </c>
      <c r="HA133" s="328"/>
      <c r="HB133" s="339"/>
      <c r="HS133" s="306"/>
      <c r="HT133" s="306"/>
      <c r="HU133" s="306"/>
      <c r="HV133" s="306"/>
    </row>
    <row r="134" spans="1:256" ht="13.5" hidden="1" customHeight="1">
      <c r="A134" s="394">
        <v>14</v>
      </c>
      <c r="B134" s="396" t="s">
        <v>262</v>
      </c>
      <c r="C134" s="396"/>
      <c r="D134" s="367" t="s">
        <v>223</v>
      </c>
      <c r="E134" s="301">
        <f>E135+E136</f>
        <v>441904</v>
      </c>
      <c r="F134" s="301">
        <f>F135+F136</f>
        <v>29987.945244470007</v>
      </c>
      <c r="G134" s="301">
        <f>G135+G136</f>
        <v>29987.945244470007</v>
      </c>
      <c r="H134" s="301">
        <f>L134+P134+T134+X134+AB134+AF134+AJ134+AN134+AR134+AV134+AZ134+BD134+BH134+BL134+BP134+BT134+BX134+CB134+CF134+CJ134+CN134+CR134+CV134+CZ134+DD134+DH134+DL134+DP134+DT134+DX134+EB134+EF134+EJ134+EN134+ER134+EV134+EZ134+FD134+FH134+FL134+FP134</f>
        <v>0</v>
      </c>
      <c r="I134" s="301">
        <f>I135+I136</f>
        <v>2525</v>
      </c>
      <c r="J134" s="301">
        <f>J135+J136</f>
        <v>177.37475000000001</v>
      </c>
      <c r="K134" s="301">
        <f>K135+K136</f>
        <v>177.37475000000001</v>
      </c>
      <c r="L134" s="301">
        <f t="shared" si="146"/>
        <v>0</v>
      </c>
      <c r="M134" s="301">
        <f t="shared" ref="M134:BW134" si="184">M135+M136</f>
        <v>313</v>
      </c>
      <c r="N134" s="301">
        <f t="shared" si="184"/>
        <v>13.72297</v>
      </c>
      <c r="O134" s="301">
        <f t="shared" si="184"/>
        <v>13.72297</v>
      </c>
      <c r="P134" s="301">
        <f t="shared" ref="P134:P148" si="185">O134-N134</f>
        <v>0</v>
      </c>
      <c r="Q134" s="301">
        <f t="shared" si="184"/>
        <v>64528</v>
      </c>
      <c r="R134" s="301">
        <f>R135+R136</f>
        <v>4897.7916078999997</v>
      </c>
      <c r="S134" s="301">
        <f>S135+S136</f>
        <v>4897.7916078999997</v>
      </c>
      <c r="T134" s="301">
        <f t="shared" si="148"/>
        <v>0</v>
      </c>
      <c r="U134" s="301">
        <f t="shared" si="184"/>
        <v>35370</v>
      </c>
      <c r="V134" s="301">
        <f>V135+V136</f>
        <v>2511.92786467</v>
      </c>
      <c r="W134" s="301">
        <f>W135+W136</f>
        <v>2511.92786467</v>
      </c>
      <c r="X134" s="301">
        <f t="shared" si="154"/>
        <v>0</v>
      </c>
      <c r="Y134" s="301">
        <f t="shared" si="184"/>
        <v>21838</v>
      </c>
      <c r="Z134" s="301">
        <f t="shared" si="184"/>
        <v>1098.1552869</v>
      </c>
      <c r="AA134" s="301">
        <f t="shared" si="184"/>
        <v>1098.1552869</v>
      </c>
      <c r="AB134" s="301">
        <f t="shared" si="127"/>
        <v>0</v>
      </c>
      <c r="AC134" s="301">
        <f t="shared" si="184"/>
        <v>12869</v>
      </c>
      <c r="AD134" s="301">
        <f t="shared" si="184"/>
        <v>738.631305</v>
      </c>
      <c r="AE134" s="301">
        <f t="shared" si="184"/>
        <v>738.631305</v>
      </c>
      <c r="AF134" s="300">
        <f t="shared" si="152"/>
        <v>0</v>
      </c>
      <c r="AG134" s="301">
        <f t="shared" si="184"/>
        <v>2196</v>
      </c>
      <c r="AH134" s="301">
        <f t="shared" si="184"/>
        <v>139.663332</v>
      </c>
      <c r="AI134" s="301">
        <f t="shared" si="184"/>
        <v>139.663332</v>
      </c>
      <c r="AJ134" s="300">
        <f t="shared" si="128"/>
        <v>0</v>
      </c>
      <c r="AK134" s="301">
        <f t="shared" si="184"/>
        <v>21880</v>
      </c>
      <c r="AL134" s="301">
        <f t="shared" si="184"/>
        <v>1327.2587708000001</v>
      </c>
      <c r="AM134" s="301">
        <f t="shared" si="184"/>
        <v>1327.2587708000001</v>
      </c>
      <c r="AN134" s="301">
        <f t="shared" si="129"/>
        <v>0</v>
      </c>
      <c r="AO134" s="301">
        <f t="shared" si="184"/>
        <v>53585</v>
      </c>
      <c r="AP134" s="301">
        <f t="shared" si="184"/>
        <v>3367.0268884400002</v>
      </c>
      <c r="AQ134" s="301">
        <f t="shared" si="184"/>
        <v>3367.0268884400002</v>
      </c>
      <c r="AR134" s="300">
        <f t="shared" si="120"/>
        <v>0</v>
      </c>
      <c r="AS134" s="301">
        <f t="shared" si="184"/>
        <v>10832</v>
      </c>
      <c r="AT134" s="301">
        <f t="shared" si="184"/>
        <v>683.48191980000001</v>
      </c>
      <c r="AU134" s="301">
        <f t="shared" si="184"/>
        <v>683.48191980000001</v>
      </c>
      <c r="AV134" s="301">
        <f t="shared" si="130"/>
        <v>0</v>
      </c>
      <c r="AW134" s="301">
        <f t="shared" si="184"/>
        <v>1997</v>
      </c>
      <c r="AX134" s="301">
        <f t="shared" si="184"/>
        <v>104.2717095</v>
      </c>
      <c r="AY134" s="301">
        <f t="shared" si="184"/>
        <v>104.2717095</v>
      </c>
      <c r="AZ134" s="301">
        <f t="shared" si="131"/>
        <v>0</v>
      </c>
      <c r="BA134" s="301">
        <f t="shared" si="184"/>
        <v>809</v>
      </c>
      <c r="BB134" s="301">
        <f t="shared" si="184"/>
        <v>46.798074</v>
      </c>
      <c r="BC134" s="301">
        <f t="shared" si="184"/>
        <v>46.798074</v>
      </c>
      <c r="BD134" s="301">
        <f t="shared" si="132"/>
        <v>0</v>
      </c>
      <c r="BE134" s="301">
        <f t="shared" si="184"/>
        <v>564</v>
      </c>
      <c r="BF134" s="301">
        <f t="shared" si="184"/>
        <v>28.533580000000004</v>
      </c>
      <c r="BG134" s="301">
        <f t="shared" si="184"/>
        <v>28.533580000000004</v>
      </c>
      <c r="BH134" s="301">
        <f t="shared" si="149"/>
        <v>0</v>
      </c>
      <c r="BI134" s="301">
        <f t="shared" si="184"/>
        <v>15319</v>
      </c>
      <c r="BJ134" s="301">
        <f t="shared" si="184"/>
        <v>1092.5548838</v>
      </c>
      <c r="BK134" s="301">
        <f t="shared" si="184"/>
        <v>1092.5548838</v>
      </c>
      <c r="BL134" s="301">
        <f t="shared" si="133"/>
        <v>0</v>
      </c>
      <c r="BM134" s="301">
        <f>BM135+BM136</f>
        <v>2805</v>
      </c>
      <c r="BN134" s="301">
        <f>BN135+BN136</f>
        <v>209.24744659999999</v>
      </c>
      <c r="BO134" s="301">
        <f>BO135+BO136</f>
        <v>209.24744659999999</v>
      </c>
      <c r="BP134" s="301">
        <f t="shared" si="134"/>
        <v>0</v>
      </c>
      <c r="BQ134" s="301">
        <f t="shared" si="184"/>
        <v>2408</v>
      </c>
      <c r="BR134" s="301">
        <f t="shared" si="184"/>
        <v>161.39488449999999</v>
      </c>
      <c r="BS134" s="301">
        <f t="shared" si="184"/>
        <v>161.39488449999999</v>
      </c>
      <c r="BT134" s="301">
        <f t="shared" si="135"/>
        <v>0</v>
      </c>
      <c r="BU134" s="301">
        <f t="shared" si="184"/>
        <v>40302</v>
      </c>
      <c r="BV134" s="301">
        <f t="shared" si="184"/>
        <v>3163.4677808000001</v>
      </c>
      <c r="BW134" s="301">
        <f t="shared" si="184"/>
        <v>3163.4677808000001</v>
      </c>
      <c r="BX134" s="301">
        <f t="shared" si="137"/>
        <v>0</v>
      </c>
      <c r="BY134" s="301">
        <f>BY135+BY136</f>
        <v>54314</v>
      </c>
      <c r="BZ134" s="301">
        <f>BZ135+BZ136</f>
        <v>4221.2509898999997</v>
      </c>
      <c r="CA134" s="301">
        <f>CA135+CA136</f>
        <v>4221.2509898999997</v>
      </c>
      <c r="CB134" s="301">
        <f t="shared" si="138"/>
        <v>0</v>
      </c>
      <c r="CC134" s="301">
        <f>CC135+CC136</f>
        <v>162</v>
      </c>
      <c r="CD134" s="301">
        <f>CD135+CD136</f>
        <v>14.4129132</v>
      </c>
      <c r="CE134" s="301">
        <f>CE135+CE136</f>
        <v>14.4129132</v>
      </c>
      <c r="CF134" s="300">
        <f t="shared" si="107"/>
        <v>0</v>
      </c>
      <c r="CG134" s="301">
        <f>CG135+CG136</f>
        <v>57201</v>
      </c>
      <c r="CH134" s="301">
        <f>CH135+CH136</f>
        <v>3049.1983785600005</v>
      </c>
      <c r="CI134" s="301">
        <f>CI135+CI136</f>
        <v>3049.1983785600005</v>
      </c>
      <c r="CJ134" s="301">
        <f t="shared" si="122"/>
        <v>0</v>
      </c>
      <c r="CK134" s="301">
        <f>CK135+CK136</f>
        <v>2003</v>
      </c>
      <c r="CL134" s="301">
        <f>CL135+CL136</f>
        <v>169.11937</v>
      </c>
      <c r="CM134" s="301">
        <f>CM135+CM136</f>
        <v>169.11937</v>
      </c>
      <c r="CN134" s="301">
        <f t="shared" si="84"/>
        <v>0</v>
      </c>
      <c r="CO134" s="301">
        <f>CO135+CO136</f>
        <v>950</v>
      </c>
      <c r="CP134" s="301">
        <f>CP135+CP136</f>
        <v>65.522414999999995</v>
      </c>
      <c r="CQ134" s="301">
        <f>CQ135+CQ136</f>
        <v>65.522414999999995</v>
      </c>
      <c r="CR134" s="301">
        <f t="shared" si="85"/>
        <v>0</v>
      </c>
      <c r="CS134" s="301">
        <f>CS135+CS136</f>
        <v>71</v>
      </c>
      <c r="CT134" s="301">
        <f>CT135+CT136</f>
        <v>2.3894652000000001</v>
      </c>
      <c r="CU134" s="301">
        <f>CU135+CU136</f>
        <v>2.3894652000000001</v>
      </c>
      <c r="CV134" s="301">
        <f t="shared" si="86"/>
        <v>0</v>
      </c>
      <c r="CW134" s="301">
        <f>CW135+CW136</f>
        <v>2135</v>
      </c>
      <c r="CX134" s="301">
        <f>CX135+CX136</f>
        <v>162.94958400000002</v>
      </c>
      <c r="CY134" s="301">
        <f>CY135+CY136</f>
        <v>162.94958400000002</v>
      </c>
      <c r="CZ134" s="301">
        <f t="shared" si="87"/>
        <v>0</v>
      </c>
      <c r="DA134" s="301">
        <f>DA135+DA136</f>
        <v>1199</v>
      </c>
      <c r="DB134" s="301">
        <f>DB135+DB136</f>
        <v>88.791709000000012</v>
      </c>
      <c r="DC134" s="301">
        <f>DC135+DC136</f>
        <v>88.791709000000012</v>
      </c>
      <c r="DD134" s="300">
        <f t="shared" si="115"/>
        <v>0</v>
      </c>
      <c r="DE134" s="301">
        <f>DE135+DE136</f>
        <v>1197</v>
      </c>
      <c r="DF134" s="301">
        <f>DF135+DF136</f>
        <v>94.773338800000005</v>
      </c>
      <c r="DG134" s="301">
        <f>DG135+DG136</f>
        <v>94.773338800000005</v>
      </c>
      <c r="DH134" s="301">
        <f t="shared" si="159"/>
        <v>0</v>
      </c>
      <c r="DI134" s="301">
        <f>DI135+DI136</f>
        <v>216</v>
      </c>
      <c r="DJ134" s="301">
        <f>DJ135+DJ136</f>
        <v>16.588151999999997</v>
      </c>
      <c r="DK134" s="301">
        <f>DK135+DK136</f>
        <v>16.588151999999997</v>
      </c>
      <c r="DL134" s="301">
        <f t="shared" si="139"/>
        <v>0</v>
      </c>
      <c r="DM134" s="301">
        <f t="shared" ref="DM134:DS134" si="186">DM135+DM136</f>
        <v>13697</v>
      </c>
      <c r="DN134" s="301">
        <f t="shared" si="186"/>
        <v>988.04121799999996</v>
      </c>
      <c r="DO134" s="301">
        <f t="shared" si="186"/>
        <v>988.04121799999996</v>
      </c>
      <c r="DP134" s="301">
        <f t="shared" si="82"/>
        <v>0</v>
      </c>
      <c r="DQ134" s="301">
        <f t="shared" si="186"/>
        <v>16</v>
      </c>
      <c r="DR134" s="301">
        <f t="shared" si="186"/>
        <v>0.46367999999999998</v>
      </c>
      <c r="DS134" s="301">
        <f t="shared" si="186"/>
        <v>0.46367999999999998</v>
      </c>
      <c r="DT134" s="300">
        <f t="shared" si="89"/>
        <v>0</v>
      </c>
      <c r="DU134" s="301">
        <f t="shared" ref="DU134:EI134" si="187">DU135+DU136</f>
        <v>2688</v>
      </c>
      <c r="DV134" s="301">
        <f t="shared" si="187"/>
        <v>195.668744</v>
      </c>
      <c r="DW134" s="301">
        <f t="shared" si="187"/>
        <v>195.668744</v>
      </c>
      <c r="DX134" s="301">
        <f t="shared" si="112"/>
        <v>0</v>
      </c>
      <c r="DY134" s="301">
        <f t="shared" si="187"/>
        <v>554</v>
      </c>
      <c r="DZ134" s="301">
        <f t="shared" si="187"/>
        <v>40.503888000000003</v>
      </c>
      <c r="EA134" s="301">
        <f t="shared" si="187"/>
        <v>40.503888000000003</v>
      </c>
      <c r="EB134" s="301">
        <f t="shared" si="90"/>
        <v>0</v>
      </c>
      <c r="EC134" s="301">
        <f t="shared" si="187"/>
        <v>277</v>
      </c>
      <c r="ED134" s="301">
        <f t="shared" si="187"/>
        <v>13.416486299999999</v>
      </c>
      <c r="EE134" s="301">
        <f t="shared" si="187"/>
        <v>13.416486299999999</v>
      </c>
      <c r="EF134" s="301">
        <f t="shared" si="91"/>
        <v>0</v>
      </c>
      <c r="EG134" s="301">
        <f t="shared" si="187"/>
        <v>7793</v>
      </c>
      <c r="EH134" s="301">
        <f t="shared" si="187"/>
        <v>598.86843450000003</v>
      </c>
      <c r="EI134" s="301">
        <f t="shared" si="187"/>
        <v>598.86843450000003</v>
      </c>
      <c r="EJ134" s="301">
        <f t="shared" si="92"/>
        <v>0</v>
      </c>
      <c r="EK134" s="301">
        <f>EK135+EK136</f>
        <v>15</v>
      </c>
      <c r="EL134" s="301">
        <f>EL135+EL136</f>
        <v>1.1997</v>
      </c>
      <c r="EM134" s="301">
        <f>EM135+EM136</f>
        <v>1.1997</v>
      </c>
      <c r="EN134" s="301">
        <f t="shared" si="93"/>
        <v>0</v>
      </c>
      <c r="EO134" s="301">
        <f>EO135+EO136</f>
        <v>675</v>
      </c>
      <c r="EP134" s="301">
        <f>EP135+EP136</f>
        <v>55.223375099999998</v>
      </c>
      <c r="EQ134" s="301">
        <f>EQ135+EQ136</f>
        <v>55.223375099999998</v>
      </c>
      <c r="ER134" s="300">
        <f t="shared" si="94"/>
        <v>0</v>
      </c>
      <c r="ES134" s="301">
        <f>ES135+ES136</f>
        <v>333</v>
      </c>
      <c r="ET134" s="301">
        <f>ET135+ET136</f>
        <v>28.722170000000006</v>
      </c>
      <c r="EU134" s="301">
        <f>EU135+EU136</f>
        <v>28.722170000000006</v>
      </c>
      <c r="EV134" s="300">
        <f t="shared" si="95"/>
        <v>0</v>
      </c>
      <c r="EW134" s="301">
        <f>EW135+EW136</f>
        <v>0</v>
      </c>
      <c r="EX134" s="301">
        <f>EX135+EX136</f>
        <v>0</v>
      </c>
      <c r="EY134" s="301">
        <f>EY135+EY136</f>
        <v>0</v>
      </c>
      <c r="EZ134" s="301">
        <f t="shared" si="96"/>
        <v>0</v>
      </c>
      <c r="FA134" s="301">
        <f>FA135+FA136</f>
        <v>1417</v>
      </c>
      <c r="FB134" s="301">
        <f>FB135+FB136</f>
        <v>92.52066099999999</v>
      </c>
      <c r="FC134" s="301">
        <f>FC135+FC136</f>
        <v>92.52066099999999</v>
      </c>
      <c r="FD134" s="301">
        <f t="shared" si="97"/>
        <v>0</v>
      </c>
      <c r="FE134" s="301">
        <f>FE135+FE136</f>
        <v>1084</v>
      </c>
      <c r="FF134" s="301">
        <f>FF135+FF136</f>
        <v>75.765922000000003</v>
      </c>
      <c r="FG134" s="301">
        <f>FG135+FG136</f>
        <v>75.765922000000003</v>
      </c>
      <c r="FH134" s="301">
        <f t="shared" si="98"/>
        <v>0</v>
      </c>
      <c r="FI134" s="301">
        <f>FI135+FI136</f>
        <v>288</v>
      </c>
      <c r="FJ134" s="301">
        <f>FJ135+FJ136</f>
        <v>19.590032000000001</v>
      </c>
      <c r="FK134" s="301">
        <f>FK135+FK136</f>
        <v>19.590032000000001</v>
      </c>
      <c r="FL134" s="301">
        <f t="shared" si="113"/>
        <v>0</v>
      </c>
      <c r="FM134" s="301">
        <f>FM135+FM136</f>
        <v>0</v>
      </c>
      <c r="FN134" s="301">
        <f>FN135+FN136</f>
        <v>0</v>
      </c>
      <c r="FO134" s="301">
        <f>FO135+FO136</f>
        <v>0</v>
      </c>
      <c r="FP134" s="301">
        <f t="shared" si="108"/>
        <v>0</v>
      </c>
      <c r="FQ134" s="301">
        <f>FQ135+FQ136</f>
        <v>1260</v>
      </c>
      <c r="FR134" s="301">
        <f>FR135+FR136</f>
        <v>104.13271200000001</v>
      </c>
      <c r="FS134" s="301">
        <f>FS135+FS136</f>
        <v>104.13271200000001</v>
      </c>
      <c r="FT134" s="301">
        <f t="shared" si="99"/>
        <v>0</v>
      </c>
      <c r="FU134" s="301">
        <f>FU135+FU136</f>
        <v>1417</v>
      </c>
      <c r="FV134" s="301">
        <f>FV135+FV136</f>
        <v>73.21454</v>
      </c>
      <c r="FW134" s="301">
        <f>FW135+FW136</f>
        <v>73.21454</v>
      </c>
      <c r="FX134" s="301">
        <f t="shared" si="173"/>
        <v>0</v>
      </c>
      <c r="FY134" s="301">
        <f>FY135+FY136</f>
        <v>76</v>
      </c>
      <c r="FZ134" s="301">
        <f>FZ135+FZ136</f>
        <v>5.3995899999999999</v>
      </c>
      <c r="GA134" s="301">
        <f>GA135+GA136</f>
        <v>5.3995899999999999</v>
      </c>
      <c r="GB134" s="301">
        <f t="shared" si="101"/>
        <v>0</v>
      </c>
      <c r="GC134" s="301">
        <f>GC135+GC136</f>
        <v>373</v>
      </c>
      <c r="GD134" s="301">
        <f>GD135+GD136</f>
        <v>29.784011</v>
      </c>
      <c r="GE134" s="301">
        <f>GE135+GE136</f>
        <v>29.784011</v>
      </c>
      <c r="GF134" s="301">
        <f t="shared" si="174"/>
        <v>0</v>
      </c>
      <c r="GG134" s="301">
        <f>GG135+GG136</f>
        <v>37</v>
      </c>
      <c r="GH134" s="301">
        <f>GH135+GH136</f>
        <v>1.4475510000000003</v>
      </c>
      <c r="GI134" s="301">
        <f>GI135+GI136</f>
        <v>1.4475510000000003</v>
      </c>
      <c r="GJ134" s="301">
        <f t="shared" si="179"/>
        <v>0</v>
      </c>
      <c r="GK134" s="301">
        <f>GK135+GK136</f>
        <v>25</v>
      </c>
      <c r="GL134" s="301">
        <f>GL135+GL136</f>
        <v>2.2866180000000003</v>
      </c>
      <c r="GM134" s="301">
        <f>GM135+GM136</f>
        <v>2.2866180000000003</v>
      </c>
      <c r="GN134" s="301">
        <f t="shared" si="103"/>
        <v>0</v>
      </c>
      <c r="GO134" s="301">
        <f>GO135+GO136</f>
        <v>210</v>
      </c>
      <c r="GP134" s="301">
        <f>GP135+GP136</f>
        <v>12.297999600000001</v>
      </c>
      <c r="GQ134" s="301">
        <f>GQ135+GQ136</f>
        <v>12.297999600000001</v>
      </c>
      <c r="GR134" s="301">
        <f t="shared" si="180"/>
        <v>0</v>
      </c>
      <c r="GS134" s="301">
        <f>GS135+GS136</f>
        <v>81</v>
      </c>
      <c r="GT134" s="301">
        <f>GT135+GT136</f>
        <v>3.0985415999999999</v>
      </c>
      <c r="GU134" s="301">
        <f>GU135+GU136</f>
        <v>3.0985415999999999</v>
      </c>
      <c r="GV134" s="301">
        <f t="shared" si="105"/>
        <v>0</v>
      </c>
      <c r="GW134" s="301">
        <f>GW135+GW136</f>
        <v>0</v>
      </c>
      <c r="GX134" s="301">
        <f>GX135+GX136</f>
        <v>0</v>
      </c>
      <c r="GY134" s="301">
        <f>GY135+GY136</f>
        <v>0</v>
      </c>
      <c r="GZ134" s="301">
        <f t="shared" si="150"/>
        <v>0</v>
      </c>
      <c r="HA134" s="328"/>
      <c r="HB134" s="339"/>
      <c r="HS134" s="306"/>
      <c r="HT134" s="306"/>
      <c r="HU134" s="306"/>
      <c r="HV134" s="306"/>
    </row>
    <row r="135" spans="1:256" ht="13.5" hidden="1" customHeight="1">
      <c r="A135" s="909"/>
      <c r="B135" s="433">
        <v>14.49</v>
      </c>
      <c r="C135" s="439" t="s">
        <v>248</v>
      </c>
      <c r="D135" s="440" t="s">
        <v>223</v>
      </c>
      <c r="E135" s="299">
        <f t="shared" ref="E135:H136" si="188">I135+M135+Q135+U135+Y135+AC135+AG135+AK135+AO135+AS135+AW135+BA135+BE135+BI135+BM135+BQ135+BU135+BY135+CC135+CG135+CK135+CO135+CS135+CW135+DA135+DE135+DI135+DM135+DQ135+DU135+DY135+EC135+EG135+EK135+EO135+ES135+EW135+FA135+FE135+FI135+FM135+FQ135+FU135+FY135+GC135+GK135+GG135+GO135+GS135+GW135</f>
        <v>170707</v>
      </c>
      <c r="F135" s="299">
        <f t="shared" si="188"/>
        <v>19339.627026800001</v>
      </c>
      <c r="G135" s="299">
        <f t="shared" si="188"/>
        <v>19339.627026800001</v>
      </c>
      <c r="H135" s="299">
        <f t="shared" si="188"/>
        <v>0</v>
      </c>
      <c r="I135" s="338">
        <f>'[1]ГК РЭС'!K91</f>
        <v>743</v>
      </c>
      <c r="J135" s="338">
        <f>'[1]ГК РЭС'!L91/1000</f>
        <v>99.911210000000011</v>
      </c>
      <c r="K135" s="338">
        <f>'[1]ГК РЭС'!M91/1000</f>
        <v>99.911210000000011</v>
      </c>
      <c r="L135" s="301">
        <f t="shared" si="146"/>
        <v>0</v>
      </c>
      <c r="M135" s="338">
        <f>'[1]УМУП УК ЖКХ г.Ульяновска'!K240</f>
        <v>75</v>
      </c>
      <c r="N135" s="338">
        <f>'[1]УМУП УК ЖКХ г.Ульяновска'!L240/1000</f>
        <v>4.3044700000000002</v>
      </c>
      <c r="O135" s="338">
        <f>'[1]УМУП УК ЖКХ г.Ульяновска'!M240/1000</f>
        <v>4.3044700000000002</v>
      </c>
      <c r="P135" s="301">
        <f t="shared" si="185"/>
        <v>0</v>
      </c>
      <c r="Q135" s="338">
        <f>'[1]ОАО ДК Засвияжье 1'!K289</f>
        <v>34947</v>
      </c>
      <c r="R135" s="338">
        <f>'[1]ОАО ДК Засвияжье 1'!L289/1000</f>
        <v>3853.44355</v>
      </c>
      <c r="S135" s="338">
        <f>'[1]ОАО ДК Засвияжье 1'!M289/1000</f>
        <v>3853.44355</v>
      </c>
      <c r="T135" s="301">
        <f t="shared" si="148"/>
        <v>0</v>
      </c>
      <c r="U135" s="338">
        <f>'[1]ОАО ДК Заволж р-на'!K376</f>
        <v>17957</v>
      </c>
      <c r="V135" s="338">
        <f>'[1]ОАО ДК Заволж р-на'!L376/1000</f>
        <v>1903.3060899999998</v>
      </c>
      <c r="W135" s="338">
        <f>'[1]ОАО ДК Заволж р-на'!M376/1000</f>
        <v>1903.3060899999998</v>
      </c>
      <c r="X135" s="301">
        <f t="shared" si="154"/>
        <v>0</v>
      </c>
      <c r="Y135" s="338">
        <f>'[1]ООО ЖСС'!K128</f>
        <v>2817</v>
      </c>
      <c r="Z135" s="338">
        <f>'[1]ООО ЖСС'!L128/1000</f>
        <v>378.80198999999999</v>
      </c>
      <c r="AA135" s="338">
        <f>'[1]ООО ЖСС'!M128/1000</f>
        <v>378.80198999999999</v>
      </c>
      <c r="AB135" s="301">
        <f t="shared" si="127"/>
        <v>0</v>
      </c>
      <c r="AC135" s="338">
        <f>[1]МегаЛинк!K136</f>
        <v>1954</v>
      </c>
      <c r="AD135" s="338">
        <f>[1]МегаЛинк!L136/1000</f>
        <v>248.34041999999999</v>
      </c>
      <c r="AE135" s="338">
        <f>[1]МегаЛинк!M136/1000</f>
        <v>248.34041999999999</v>
      </c>
      <c r="AF135" s="300">
        <f t="shared" si="152"/>
        <v>0</v>
      </c>
      <c r="AG135" s="338">
        <f>[1]Вымпел!K79</f>
        <v>400</v>
      </c>
      <c r="AH135" s="338">
        <f>[1]Вымпел!L79/1000</f>
        <v>53.783999999999999</v>
      </c>
      <c r="AI135" s="338">
        <f>[1]Вымпел!M79/1000</f>
        <v>53.783999999999999</v>
      </c>
      <c r="AJ135" s="300">
        <f t="shared" si="128"/>
        <v>0</v>
      </c>
      <c r="AK135" s="338">
        <f>'[1]ООО РЭС'!K143</f>
        <v>4172</v>
      </c>
      <c r="AL135" s="338">
        <f>'[1]ООО РЭС'!L143/1000</f>
        <v>560.05790000000002</v>
      </c>
      <c r="AM135" s="338">
        <f>'[1]ООО РЭС'!M143/1000</f>
        <v>560.05790000000002</v>
      </c>
      <c r="AN135" s="301">
        <f t="shared" si="129"/>
        <v>0</v>
      </c>
      <c r="AO135" s="338">
        <f>'[1]ЗАО ГК Аметист'!K364</f>
        <v>14887</v>
      </c>
      <c r="AP135" s="338">
        <f>'[1]ЗАО ГК Аметист'!L364/1000</f>
        <v>1898.80799</v>
      </c>
      <c r="AQ135" s="338">
        <f>'[1]ЗАО ГК Аметист'!M364/1000</f>
        <v>1898.80799</v>
      </c>
      <c r="AR135" s="300">
        <f t="shared" si="120"/>
        <v>0</v>
      </c>
      <c r="AS135" s="338">
        <f>'[1]Фундамент СК ООО'!K175</f>
        <v>2514</v>
      </c>
      <c r="AT135" s="338">
        <f>'[1]Фундамент СК ООО'!L175/1000</f>
        <v>336.89532000000003</v>
      </c>
      <c r="AU135" s="338">
        <f>'[1]Фундамент СК ООО'!M175/1000</f>
        <v>336.89532000000003</v>
      </c>
      <c r="AV135" s="301">
        <f t="shared" si="130"/>
        <v>0</v>
      </c>
      <c r="AW135" s="338">
        <f>'[1]Ульяновский _2 ТСЖ'!K78</f>
        <v>234</v>
      </c>
      <c r="AX135" s="338">
        <f>'[1]Ульяновский _2 ТСЖ'!L78/1000</f>
        <v>31.465979999999998</v>
      </c>
      <c r="AY135" s="338">
        <f>'[1]Ульяновский _2 ТСЖ'!M78/1000</f>
        <v>31.465979999999998</v>
      </c>
      <c r="AZ135" s="301">
        <f t="shared" si="131"/>
        <v>0</v>
      </c>
      <c r="BA135" s="338">
        <f>'[1]ДоМ ТСЖ'!K78</f>
        <v>79</v>
      </c>
      <c r="BB135" s="338">
        <f>'[1]ДоМ ТСЖ'!L78/1000</f>
        <v>10.622339999999999</v>
      </c>
      <c r="BC135" s="338">
        <f>'[1]ДоМ ТСЖ'!M78/1000</f>
        <v>10.622339999999999</v>
      </c>
      <c r="BD135" s="301">
        <f t="shared" si="132"/>
        <v>0</v>
      </c>
      <c r="BE135" s="338">
        <f>'[1]ООО ТехноГрад'!K78</f>
        <v>50</v>
      </c>
      <c r="BF135" s="338">
        <f>'[1]ООО ТехноГрад'!L78/1000</f>
        <v>6.19</v>
      </c>
      <c r="BG135" s="338">
        <f>'[1]ООО ТехноГрад'!M78/1000</f>
        <v>6.19</v>
      </c>
      <c r="BH135" s="301">
        <f t="shared" si="149"/>
        <v>0</v>
      </c>
      <c r="BI135" s="338">
        <f>[1]СМУ!K269</f>
        <v>6405</v>
      </c>
      <c r="BJ135" s="338">
        <f>[1]СМУ!L269/1000</f>
        <v>734.17921999999999</v>
      </c>
      <c r="BK135" s="338">
        <f>[1]СМУ!M269/1000</f>
        <v>734.17921999999999</v>
      </c>
      <c r="BL135" s="301">
        <f t="shared" si="133"/>
        <v>0</v>
      </c>
      <c r="BM135" s="338">
        <f>'[1]Евро-Строй-Сервис'!K140</f>
        <v>1256</v>
      </c>
      <c r="BN135" s="338">
        <f>'[1]Евро-Строй-Сервис'!L140/1000</f>
        <v>152.58661999999998</v>
      </c>
      <c r="BO135" s="338">
        <f>'[1]Евро-Строй-Сервис'!M140/1000</f>
        <v>152.58661999999998</v>
      </c>
      <c r="BP135" s="301">
        <f t="shared" si="134"/>
        <v>0</v>
      </c>
      <c r="BQ135" s="338">
        <f>'[1]ОАО ДК Засвияжье 2'!K285</f>
        <v>1878</v>
      </c>
      <c r="BR135" s="338">
        <f>'[1]ОАО ДК Засвияжье 2'!L285/1000</f>
        <v>143.55696999999998</v>
      </c>
      <c r="BS135" s="338">
        <f>'[1]ОАО ДК Засвияжье 2'!M285/1000</f>
        <v>143.55696999999998</v>
      </c>
      <c r="BT135" s="301">
        <f t="shared" si="135"/>
        <v>0</v>
      </c>
      <c r="BU135" s="338">
        <f>('[1]ОАО ДК Лен р-на'!K521+'[1]ООО Технология'!K231)</f>
        <v>23862</v>
      </c>
      <c r="BV135" s="338">
        <f>('[1]ОАО ДК Лен р-на'!L521+'[1]ООО Технология'!L231)/1000</f>
        <v>2530.8645200000001</v>
      </c>
      <c r="BW135" s="338">
        <f>('[1]ОАО ДК Лен р-на'!M521+'[1]ООО Технология'!M231)/1000</f>
        <v>2530.8645200000001</v>
      </c>
      <c r="BX135" s="301">
        <f t="shared" si="137"/>
        <v>0</v>
      </c>
      <c r="BY135" s="338">
        <f>'[1]ОАО ДК ЖД р-на'!K661</f>
        <v>31128</v>
      </c>
      <c r="BZ135" s="338">
        <f>'[1]ОАО ДК ЖД р-на'!L661/1000</f>
        <v>3353.6449967999997</v>
      </c>
      <c r="CA135" s="338">
        <f>'[1]ОАО ДК ЖД р-на'!M661/1000</f>
        <v>3353.6449967999997</v>
      </c>
      <c r="CB135" s="301">
        <f t="shared" si="138"/>
        <v>0</v>
      </c>
      <c r="CC135" s="338">
        <f>[1]СУК!K79</f>
        <v>0</v>
      </c>
      <c r="CD135" s="338">
        <f>[1]СУК!L79/1000</f>
        <v>0</v>
      </c>
      <c r="CE135" s="338">
        <f>[1]СУК!M79/1000</f>
        <v>0</v>
      </c>
      <c r="CF135" s="300">
        <f t="shared" si="107"/>
        <v>0</v>
      </c>
      <c r="CG135" s="338">
        <f>'[1]УК ЖСС'!K156</f>
        <v>7999</v>
      </c>
      <c r="CH135" s="338">
        <f>'[1]УК ЖСС'!L156/1000</f>
        <v>1072.9370700000002</v>
      </c>
      <c r="CI135" s="338">
        <f>'[1]УК ЖСС'!M156/1000</f>
        <v>1072.9370700000002</v>
      </c>
      <c r="CJ135" s="301">
        <f t="shared" si="122"/>
        <v>0</v>
      </c>
      <c r="CK135" s="338">
        <f>'[1]ТСЖ Народ контроль R'!K79</f>
        <v>901</v>
      </c>
      <c r="CL135" s="338">
        <f>'[1]ТСЖ Народ контроль R'!L79/1000</f>
        <v>121.15747</v>
      </c>
      <c r="CM135" s="338">
        <f>'[1]ТСЖ Народ контроль R'!M79/1000</f>
        <v>121.15747</v>
      </c>
      <c r="CN135" s="301">
        <f t="shared" si="84"/>
        <v>0</v>
      </c>
      <c r="CO135" s="338">
        <f>'[1]Север-1'!K331</f>
        <v>658</v>
      </c>
      <c r="CP135" s="338">
        <f>'[1]Север-1'!L331/1000</f>
        <v>58.791809999999998</v>
      </c>
      <c r="CQ135" s="338">
        <f>'[1]Север-1'!M331/1000</f>
        <v>58.791809999999998</v>
      </c>
      <c r="CR135" s="301">
        <f t="shared" si="85"/>
        <v>0</v>
      </c>
      <c r="CS135" s="338">
        <f>'[1]МостОтряд №51'!K79</f>
        <v>20</v>
      </c>
      <c r="CT135" s="338">
        <f>'[1]МостОтряд №51'!L79/1000</f>
        <v>1.2957600000000002</v>
      </c>
      <c r="CU135" s="338">
        <f>'[1]МостОтряд №51'!M79/1000</f>
        <v>1.2957600000000002</v>
      </c>
      <c r="CV135" s="301">
        <f t="shared" si="86"/>
        <v>0</v>
      </c>
      <c r="CW135" s="338">
        <f>'[1]Пр-т Гая'!K312</f>
        <v>1737</v>
      </c>
      <c r="CX135" s="338">
        <f>'[1]Пр-т Гая'!L312/1000</f>
        <v>151.36338000000001</v>
      </c>
      <c r="CY135" s="338">
        <f>'[1]Пр-т Гая'!M312/1000</f>
        <v>151.36338000000001</v>
      </c>
      <c r="CZ135" s="301">
        <f t="shared" si="87"/>
        <v>0</v>
      </c>
      <c r="DA135" s="338">
        <f>[1]Стасова!K180</f>
        <v>843</v>
      </c>
      <c r="DB135" s="338">
        <f>[1]Стасова!L180/1000</f>
        <v>75.908650000000009</v>
      </c>
      <c r="DC135" s="338">
        <f>[1]Стасова!M180/1000</f>
        <v>75.908650000000009</v>
      </c>
      <c r="DD135" s="300">
        <f t="shared" si="115"/>
        <v>0</v>
      </c>
      <c r="DE135" s="338">
        <f>'[1]Мегаполис ТСЖ'!K79</f>
        <v>543</v>
      </c>
      <c r="DF135" s="338">
        <f>'[1]Мегаполис ТСЖ'!L79/1000</f>
        <v>67.428970000000007</v>
      </c>
      <c r="DG135" s="338">
        <f>'[1]Мегаполис ТСЖ'!M79/1000</f>
        <v>67.428970000000007</v>
      </c>
      <c r="DH135" s="301">
        <f t="shared" si="159"/>
        <v>0</v>
      </c>
      <c r="DI135" s="338">
        <f>'[1]ООО УК Инвестстрой М'!K79</f>
        <v>0</v>
      </c>
      <c r="DJ135" s="338">
        <f>'[1]ООО УК Инвестстрой М'!L79/1000</f>
        <v>0</v>
      </c>
      <c r="DK135" s="338">
        <f>'[1]ООО УК Инвестстрой М'!M79/1000</f>
        <v>0</v>
      </c>
      <c r="DL135" s="301">
        <f t="shared" si="139"/>
        <v>0</v>
      </c>
      <c r="DM135" s="338">
        <f>'[1]Альфаком-У'!K216</f>
        <v>5119</v>
      </c>
      <c r="DN135" s="338">
        <f>'[1]Альфаком-У'!L216/1000</f>
        <v>631.39594999999997</v>
      </c>
      <c r="DO135" s="338">
        <f>'[1]Альфаком-У'!M216/1000</f>
        <v>631.39594999999997</v>
      </c>
      <c r="DP135" s="301">
        <f t="shared" si="82"/>
        <v>0</v>
      </c>
      <c r="DQ135" s="338">
        <f>'[1]ТСЖ Дачный'!K180</f>
        <v>0</v>
      </c>
      <c r="DR135" s="338">
        <f>'[1]ТСЖ Дачный'!L180/1000</f>
        <v>0</v>
      </c>
      <c r="DS135" s="338">
        <f>'[1]ТСЖ Дачный'!M180/1000</f>
        <v>0</v>
      </c>
      <c r="DT135" s="300">
        <f t="shared" si="89"/>
        <v>0</v>
      </c>
      <c r="DU135" s="338">
        <f>'[1]Альфаком-У-ТСЖ З-2'!K193</f>
        <v>900</v>
      </c>
      <c r="DV135" s="338">
        <f>'[1]Альфаком-У-ТСЖ З-2'!L193/1000</f>
        <v>119.10938</v>
      </c>
      <c r="DW135" s="338">
        <f>'[1]Альфаком-У-ТСЖ З-2'!M193/1000</f>
        <v>119.10938</v>
      </c>
      <c r="DX135" s="301">
        <f t="shared" si="112"/>
        <v>0</v>
      </c>
      <c r="DY135" s="338">
        <f>'[1]ЖСК Электромаш'!K79</f>
        <v>122</v>
      </c>
      <c r="DZ135" s="338">
        <f>'[1]ЖСК Электромаш'!L79/1000</f>
        <v>16.404120000000002</v>
      </c>
      <c r="EA135" s="338">
        <f>'[1]ЖСК Электромаш'!M79/1000</f>
        <v>16.404120000000002</v>
      </c>
      <c r="EB135" s="301">
        <f t="shared" si="90"/>
        <v>0</v>
      </c>
      <c r="EC135" s="338">
        <f>'[1]ЗАО Авиастар-СП'!K79</f>
        <v>18</v>
      </c>
      <c r="ED135" s="338">
        <f>'[1]ЗАО Авиастар-СП'!L79/1000</f>
        <v>2.4204599999999998</v>
      </c>
      <c r="EE135" s="338">
        <f>'[1]ЗАО Авиастар-СП'!M79/1000</f>
        <v>2.4204599999999998</v>
      </c>
      <c r="EF135" s="301">
        <f t="shared" si="91"/>
        <v>0</v>
      </c>
      <c r="EG135" s="338">
        <f>'[1]ООО ЦЭТ'!K366</f>
        <v>3664</v>
      </c>
      <c r="EH135" s="338">
        <f>'[1]ООО ЦЭТ'!L366/1000</f>
        <v>429.58104000000003</v>
      </c>
      <c r="EI135" s="338">
        <f>'[1]ООО ЦЭТ'!M366/1000</f>
        <v>429.58104000000003</v>
      </c>
      <c r="EJ135" s="301">
        <f t="shared" si="92"/>
        <v>0</v>
      </c>
      <c r="EK135" s="338">
        <f>'[1]ТСЖ Форт'!K79</f>
        <v>15</v>
      </c>
      <c r="EL135" s="338">
        <f>'[1]ТСЖ Форт'!L79/1000</f>
        <v>1.1997</v>
      </c>
      <c r="EM135" s="338">
        <f>'[1]ТСЖ Форт'!M79/1000</f>
        <v>1.1997</v>
      </c>
      <c r="EN135" s="301">
        <f t="shared" si="93"/>
        <v>0</v>
      </c>
      <c r="EO135" s="338">
        <f>'[1]ООО ЖЭК'!K141</f>
        <v>370</v>
      </c>
      <c r="EP135" s="338">
        <f>'[1]ООО ЖЭК'!L141/1000</f>
        <v>42.573749999999997</v>
      </c>
      <c r="EQ135" s="338">
        <f>'[1]ООО ЖЭК'!M141/1000</f>
        <v>42.573749999999997</v>
      </c>
      <c r="ER135" s="300">
        <f t="shared" si="94"/>
        <v>0</v>
      </c>
      <c r="ES135" s="338">
        <f>'[1]УК ЖКХ Симбирск'!K353</f>
        <v>208</v>
      </c>
      <c r="ET135" s="338">
        <f>'[1]УК ЖКХ Симбирск'!L353/1000</f>
        <v>24.447620000000004</v>
      </c>
      <c r="EU135" s="338">
        <f>'[1]УК ЖКХ Симбирск'!M353/1000</f>
        <v>24.447620000000004</v>
      </c>
      <c r="EV135" s="300">
        <f t="shared" si="95"/>
        <v>0</v>
      </c>
      <c r="EW135" s="338">
        <f>'[1]ООО Наш Дом 010212'!K197</f>
        <v>0</v>
      </c>
      <c r="EX135" s="338">
        <f>'[1]ООО Наш Дом 010212'!L197/1000</f>
        <v>0</v>
      </c>
      <c r="EY135" s="338">
        <f>'[1]ООО Наш Дом 010212'!M197/1000</f>
        <v>0</v>
      </c>
      <c r="EZ135" s="301">
        <f t="shared" si="96"/>
        <v>0</v>
      </c>
      <c r="FA135" s="338">
        <f>'[1]ООО Истоки+'!K193</f>
        <v>201</v>
      </c>
      <c r="FB135" s="338">
        <f>'[1]ООО Истоки+'!L193/1000</f>
        <v>26.476690000000001</v>
      </c>
      <c r="FC135" s="338">
        <f>'[1]ООО Истоки+'!M193/1000</f>
        <v>26.476690000000001</v>
      </c>
      <c r="FD135" s="301">
        <f t="shared" si="97"/>
        <v>0</v>
      </c>
      <c r="FE135" s="338">
        <f>'[1]ООО ЖКиСР УправДом'!K247</f>
        <v>429</v>
      </c>
      <c r="FF135" s="338">
        <f>'[1]ООО ЖКиСР УправДом'!L247/1000</f>
        <v>50.280910000000006</v>
      </c>
      <c r="FG135" s="338">
        <f>'[1]ООО ЖКиСР УправДом'!M247/1000</f>
        <v>50.280910000000006</v>
      </c>
      <c r="FH135" s="301">
        <f t="shared" si="98"/>
        <v>0</v>
      </c>
      <c r="FI135" s="338">
        <f>'[1]ТСЖ Малахит'!K77</f>
        <v>47</v>
      </c>
      <c r="FJ135" s="338">
        <f>'[1]ТСЖ Малахит'!L77/1000</f>
        <v>6.3200900000000004</v>
      </c>
      <c r="FK135" s="338">
        <f>'[1]ТСЖ Малахит'!M77/1000</f>
        <v>6.3200900000000004</v>
      </c>
      <c r="FL135" s="301">
        <f t="shared" si="113"/>
        <v>0</v>
      </c>
      <c r="FM135" s="338">
        <v>0</v>
      </c>
      <c r="FN135" s="338">
        <v>0</v>
      </c>
      <c r="FO135" s="338">
        <v>0</v>
      </c>
      <c r="FP135" s="301">
        <f t="shared" si="108"/>
        <v>0</v>
      </c>
      <c r="FQ135" s="338">
        <f>'[1]ООО ЖКХ Лен-го района'!K297</f>
        <v>1167</v>
      </c>
      <c r="FR135" s="338">
        <f>'[1]ООО ЖКХ Лен-го района'!L297/1000</f>
        <v>101.78823000000001</v>
      </c>
      <c r="FS135" s="338">
        <f>'[1]ООО ЖКХ Лен-го района'!M297/1000</f>
        <v>101.78823000000001</v>
      </c>
      <c r="FT135" s="301">
        <f t="shared" si="99"/>
        <v>0</v>
      </c>
      <c r="FU135" s="338">
        <f>'[1]ООО УК КПД-1'!K103</f>
        <v>17</v>
      </c>
      <c r="FV135" s="338">
        <f>'[1]ООО УК КПД-1'!L103/1000</f>
        <v>2.28599</v>
      </c>
      <c r="FW135" s="338">
        <f>'[1]ООО УК КПД-1'!M103/1000</f>
        <v>2.28599</v>
      </c>
      <c r="FX135" s="301">
        <f t="shared" si="173"/>
        <v>0</v>
      </c>
      <c r="FY135" s="338">
        <f>'[1]ООО КПД-2 Жилсервис'!K87</f>
        <v>13</v>
      </c>
      <c r="FZ135" s="338">
        <f>'[1]ООО КПД-2 Жилсервис'!L87/1000</f>
        <v>1.7481099999999998</v>
      </c>
      <c r="GA135" s="338">
        <f>'[1]ООО КПД-2 Жилсервис'!M87/1000</f>
        <v>1.7481099999999998</v>
      </c>
      <c r="GB135" s="301">
        <f t="shared" si="101"/>
        <v>0</v>
      </c>
      <c r="GC135" s="338">
        <f>'[1]ООО УК ЦЭТ'!K335</f>
        <v>164</v>
      </c>
      <c r="GD135" s="338">
        <f>'[1]ООО УК ЦЭТ'!L335/1000</f>
        <v>20.71472</v>
      </c>
      <c r="GE135" s="338">
        <f>'[1]ООО УК ЦЭТ'!M335/1000</f>
        <v>20.71472</v>
      </c>
      <c r="GF135" s="301">
        <f t="shared" si="174"/>
        <v>0</v>
      </c>
      <c r="GG135" s="338">
        <f>'[1]ЖСК пер Рылеева-14'!K353</f>
        <v>0</v>
      </c>
      <c r="GH135" s="338">
        <f>'[1]ЖСК пер Рылеева-14'!L353/1000</f>
        <v>0</v>
      </c>
      <c r="GI135" s="338">
        <f>'[1]ЖСК пер Рылеева-14'!M353/1000</f>
        <v>0</v>
      </c>
      <c r="GJ135" s="301">
        <f t="shared" si="179"/>
        <v>0</v>
      </c>
      <c r="GK135" s="338">
        <f>'[1]ООО УК Симбирская'!K141</f>
        <v>20</v>
      </c>
      <c r="GL135" s="338">
        <f>'[1]ООО УК Симбирская'!L141/1000</f>
        <v>2.1678000000000002</v>
      </c>
      <c r="GM135" s="338">
        <f>'[1]ООО УК Симбирская'!M141/1000</f>
        <v>2.1678000000000002</v>
      </c>
      <c r="GN135" s="301">
        <f t="shared" si="103"/>
        <v>0</v>
      </c>
      <c r="GO135" s="338">
        <f>'[1]ООО УО Партнер'!K163</f>
        <v>174</v>
      </c>
      <c r="GP135" s="338">
        <f>'[1]ООО УО Партнер'!L163/1000</f>
        <v>11.065770000000001</v>
      </c>
      <c r="GQ135" s="338">
        <f>'[1]ООО УО Партнер'!M163/1000</f>
        <v>11.065770000000001</v>
      </c>
      <c r="GR135" s="301">
        <f t="shared" si="180"/>
        <v>0</v>
      </c>
      <c r="GS135" s="338">
        <f>'[1]ООО ТК Святогор'!K79</f>
        <v>0</v>
      </c>
      <c r="GT135" s="338">
        <f>'[1]ООО ТК Святогор'!L79/1000</f>
        <v>0</v>
      </c>
      <c r="GU135" s="338">
        <f>'[1]ООО ТК Святогор'!M79/1000</f>
        <v>0</v>
      </c>
      <c r="GV135" s="301">
        <f t="shared" si="105"/>
        <v>0</v>
      </c>
      <c r="GW135" s="338">
        <f>'[1]ТСЖ Володарец'!K145</f>
        <v>0</v>
      </c>
      <c r="GX135" s="338">
        <f>'[1]ТСЖ Володарец'!L145/1000</f>
        <v>0</v>
      </c>
      <c r="GY135" s="338">
        <f>'[1]ТСЖ Володарец'!M145/1000</f>
        <v>0</v>
      </c>
      <c r="GZ135" s="301">
        <f t="shared" si="150"/>
        <v>0</v>
      </c>
      <c r="HA135" s="328"/>
      <c r="HB135" s="339"/>
      <c r="HS135" s="306"/>
      <c r="HT135" s="306"/>
      <c r="HU135" s="306"/>
      <c r="HV135" s="306"/>
    </row>
    <row r="136" spans="1:256" ht="13.5" hidden="1" customHeight="1">
      <c r="A136" s="909"/>
      <c r="B136" s="441"/>
      <c r="C136" s="442" t="s">
        <v>250</v>
      </c>
      <c r="D136" s="443" t="s">
        <v>223</v>
      </c>
      <c r="E136" s="299">
        <f t="shared" si="188"/>
        <v>271197</v>
      </c>
      <c r="F136" s="299">
        <f t="shared" si="188"/>
        <v>10648.318217670005</v>
      </c>
      <c r="G136" s="299">
        <f t="shared" si="188"/>
        <v>10648.318217670005</v>
      </c>
      <c r="H136" s="299">
        <f t="shared" si="188"/>
        <v>0</v>
      </c>
      <c r="I136" s="338">
        <f>I133</f>
        <v>1782</v>
      </c>
      <c r="J136" s="338">
        <f>(I101*1+I133*2)*14.49/1000</f>
        <v>77.463540000000009</v>
      </c>
      <c r="K136" s="338">
        <f>J136</f>
        <v>77.463540000000009</v>
      </c>
      <c r="L136" s="301">
        <f t="shared" si="146"/>
        <v>0</v>
      </c>
      <c r="M136" s="338">
        <f>M133</f>
        <v>238</v>
      </c>
      <c r="N136" s="338">
        <f>(M101*1+M133*2)*14.49/1000</f>
        <v>9.4184999999999999</v>
      </c>
      <c r="O136" s="338">
        <f>N136</f>
        <v>9.4184999999999999</v>
      </c>
      <c r="P136" s="301">
        <f t="shared" si="185"/>
        <v>0</v>
      </c>
      <c r="Q136" s="338">
        <f>Q133</f>
        <v>29581</v>
      </c>
      <c r="R136" s="338">
        <f>(Q101*1+Q133*1.9)*14.49*0.9/1000</f>
        <v>1044.3480579</v>
      </c>
      <c r="S136" s="338">
        <f>R136</f>
        <v>1044.3480579</v>
      </c>
      <c r="T136" s="301">
        <f t="shared" si="148"/>
        <v>0</v>
      </c>
      <c r="U136" s="338">
        <f>U133</f>
        <v>17413</v>
      </c>
      <c r="V136" s="338">
        <f>(U101*1+U133*1.99)*14.49*0.9/1000</f>
        <v>608.62177467000004</v>
      </c>
      <c r="W136" s="338">
        <f>V136</f>
        <v>608.62177467000004</v>
      </c>
      <c r="X136" s="301">
        <f t="shared" si="154"/>
        <v>0</v>
      </c>
      <c r="Y136" s="338">
        <f>Y133</f>
        <v>19021</v>
      </c>
      <c r="Z136" s="338">
        <f>(Y101*1+Y133*1.9)*14.49*0.9/1000</f>
        <v>719.35329689999992</v>
      </c>
      <c r="AA136" s="338">
        <f>Z136</f>
        <v>719.35329689999992</v>
      </c>
      <c r="AB136" s="301">
        <f t="shared" si="127"/>
        <v>0</v>
      </c>
      <c r="AC136" s="338">
        <f>AC133</f>
        <v>10915</v>
      </c>
      <c r="AD136" s="338">
        <f>(AC101*1.1+AC133*2)*14.49/1000</f>
        <v>490.290885</v>
      </c>
      <c r="AE136" s="338">
        <f>AD136</f>
        <v>490.290885</v>
      </c>
      <c r="AF136" s="300">
        <f t="shared" si="152"/>
        <v>0</v>
      </c>
      <c r="AG136" s="338">
        <f>AG133</f>
        <v>1796</v>
      </c>
      <c r="AH136" s="338">
        <f>(AG101*1.12+AG133*2.18)*14.49/1000</f>
        <v>85.879332000000005</v>
      </c>
      <c r="AI136" s="338">
        <f>AH136</f>
        <v>85.879332000000005</v>
      </c>
      <c r="AJ136" s="300">
        <f t="shared" si="128"/>
        <v>0</v>
      </c>
      <c r="AK136" s="338">
        <f>AK133</f>
        <v>17708</v>
      </c>
      <c r="AL136" s="338">
        <f>(AK101*0.93+AK133*2.06)*14.49/1000</f>
        <v>767.20087080000008</v>
      </c>
      <c r="AM136" s="338">
        <f>AL136</f>
        <v>767.20087080000008</v>
      </c>
      <c r="AN136" s="301">
        <f t="shared" si="129"/>
        <v>0</v>
      </c>
      <c r="AO136" s="338">
        <f>AO133</f>
        <v>38698</v>
      </c>
      <c r="AP136" s="338">
        <f>(AO101*1.06+AO133*1.87)*14.49*0.9/1000</f>
        <v>1468.2188984400002</v>
      </c>
      <c r="AQ136" s="338">
        <f>AP136</f>
        <v>1468.2188984400002</v>
      </c>
      <c r="AR136" s="300">
        <f t="shared" si="120"/>
        <v>0</v>
      </c>
      <c r="AS136" s="338">
        <f>AS133</f>
        <v>8318</v>
      </c>
      <c r="AT136" s="338">
        <f>(AS101*1+AS133*1.89)*14.49/1000</f>
        <v>346.58659979999999</v>
      </c>
      <c r="AU136" s="338">
        <f>AT136</f>
        <v>346.58659979999999</v>
      </c>
      <c r="AV136" s="301">
        <f t="shared" si="130"/>
        <v>0</v>
      </c>
      <c r="AW136" s="338">
        <f>AW133</f>
        <v>1763</v>
      </c>
      <c r="AX136" s="338">
        <f>(AW101*1.06+AW133*1.79)*14.49/1000</f>
        <v>72.805729499999998</v>
      </c>
      <c r="AY136" s="338">
        <f>AX136</f>
        <v>72.805729499999998</v>
      </c>
      <c r="AZ136" s="301">
        <f t="shared" si="131"/>
        <v>0</v>
      </c>
      <c r="BA136" s="338">
        <f>BA133</f>
        <v>730</v>
      </c>
      <c r="BB136" s="338">
        <f>(BA101*1.1+BA133*2.32)*14.49/1000</f>
        <v>36.175733999999999</v>
      </c>
      <c r="BC136" s="338">
        <f>BB136</f>
        <v>36.175733999999999</v>
      </c>
      <c r="BD136" s="301">
        <f t="shared" si="132"/>
        <v>0</v>
      </c>
      <c r="BE136" s="338">
        <f>BE133</f>
        <v>514</v>
      </c>
      <c r="BF136" s="338">
        <f>(BE101*1+BE133*2)*14.49/1000</f>
        <v>22.343580000000003</v>
      </c>
      <c r="BG136" s="338">
        <f>BF136</f>
        <v>22.343580000000003</v>
      </c>
      <c r="BH136" s="301">
        <f t="shared" si="149"/>
        <v>0</v>
      </c>
      <c r="BI136" s="338">
        <f>BI133</f>
        <v>8914</v>
      </c>
      <c r="BJ136" s="338">
        <f>(BI101*1.08+BI133*1.91)*14.49/1000</f>
        <v>358.37566379999998</v>
      </c>
      <c r="BK136" s="338">
        <f>BJ136</f>
        <v>358.37566379999998</v>
      </c>
      <c r="BL136" s="301">
        <f t="shared" si="133"/>
        <v>0</v>
      </c>
      <c r="BM136" s="338">
        <f>BM133</f>
        <v>1549</v>
      </c>
      <c r="BN136" s="338">
        <f>(BM101*0.96+BM133*1.94)*14.49/1000</f>
        <v>56.6608266</v>
      </c>
      <c r="BO136" s="338">
        <f>BN136</f>
        <v>56.6608266</v>
      </c>
      <c r="BP136" s="301">
        <f t="shared" si="134"/>
        <v>0</v>
      </c>
      <c r="BQ136" s="338">
        <f>BQ133</f>
        <v>530</v>
      </c>
      <c r="BR136" s="338">
        <f>(BQ101*0.85+BQ133*1.5)*14.49/1000</f>
        <v>17.8379145</v>
      </c>
      <c r="BS136" s="338">
        <f>BR136</f>
        <v>17.8379145</v>
      </c>
      <c r="BT136" s="301">
        <f t="shared" si="135"/>
        <v>0</v>
      </c>
      <c r="BU136" s="338">
        <f>BU133</f>
        <v>16440</v>
      </c>
      <c r="BV136" s="338">
        <f>(BU101*1.1+BU133*2.33)*14.49*0.9/1000</f>
        <v>632.60326080000016</v>
      </c>
      <c r="BW136" s="338">
        <f>BV136</f>
        <v>632.60326080000016</v>
      </c>
      <c r="BX136" s="301">
        <f t="shared" si="137"/>
        <v>0</v>
      </c>
      <c r="BY136" s="338">
        <f>BY133</f>
        <v>23186</v>
      </c>
      <c r="BZ136" s="338">
        <f>(BY101*1.1+BY133*2.2)*14.49*0.9/1000</f>
        <v>867.60599310000009</v>
      </c>
      <c r="CA136" s="338">
        <f>BZ136</f>
        <v>867.60599310000009</v>
      </c>
      <c r="CB136" s="301">
        <f t="shared" si="138"/>
        <v>0</v>
      </c>
      <c r="CC136" s="338">
        <f>CC133</f>
        <v>162</v>
      </c>
      <c r="CD136" s="338">
        <f>(CC101*1.73+CC133*4.41)*14.49/1000</f>
        <v>14.4129132</v>
      </c>
      <c r="CE136" s="338">
        <f>CD136</f>
        <v>14.4129132</v>
      </c>
      <c r="CF136" s="300">
        <f t="shared" si="107"/>
        <v>0</v>
      </c>
      <c r="CG136" s="338">
        <f>CG133</f>
        <v>49202</v>
      </c>
      <c r="CH136" s="338">
        <f>(CG101*1.06+CG133*2.02)*14.49*0.9/1000</f>
        <v>1976.2613085600003</v>
      </c>
      <c r="CI136" s="338">
        <f>CH136</f>
        <v>1976.2613085600003</v>
      </c>
      <c r="CJ136" s="301">
        <f t="shared" si="122"/>
        <v>0</v>
      </c>
      <c r="CK136" s="338">
        <f>CK133</f>
        <v>1102</v>
      </c>
      <c r="CL136" s="338">
        <f>(CK101*1+CK133*2)*14.49/1000</f>
        <v>47.9619</v>
      </c>
      <c r="CM136" s="338">
        <f>CL136</f>
        <v>47.9619</v>
      </c>
      <c r="CN136" s="301">
        <f t="shared" si="84"/>
        <v>0</v>
      </c>
      <c r="CO136" s="338">
        <f>CO133</f>
        <v>292</v>
      </c>
      <c r="CP136" s="338">
        <f>(CO101*0.5+CO133*1.5)*14.49/1000</f>
        <v>6.7306050000000006</v>
      </c>
      <c r="CQ136" s="338">
        <f>CP136</f>
        <v>6.7306050000000006</v>
      </c>
      <c r="CR136" s="301">
        <f t="shared" si="85"/>
        <v>0</v>
      </c>
      <c r="CS136" s="338">
        <f>CS133</f>
        <v>51</v>
      </c>
      <c r="CT136" s="338">
        <f>(CS101*1+CS133*1.48)*14.49/1000</f>
        <v>1.0937052</v>
      </c>
      <c r="CU136" s="338">
        <f>CT136</f>
        <v>1.0937052</v>
      </c>
      <c r="CV136" s="301">
        <f t="shared" si="86"/>
        <v>0</v>
      </c>
      <c r="CW136" s="338">
        <f>CW133</f>
        <v>398</v>
      </c>
      <c r="CX136" s="338">
        <f>(CW101*0.9+CW133*2)*14.49/1000</f>
        <v>11.586204</v>
      </c>
      <c r="CY136" s="338">
        <f>CX136</f>
        <v>11.586204</v>
      </c>
      <c r="CZ136" s="301">
        <f t="shared" si="87"/>
        <v>0</v>
      </c>
      <c r="DA136" s="338">
        <f>DA133</f>
        <v>356</v>
      </c>
      <c r="DB136" s="338">
        <f>(DA101*0.85+DA133*1.7)*14.49/1000</f>
        <v>12.883058999999999</v>
      </c>
      <c r="DC136" s="338">
        <f>DB136</f>
        <v>12.883058999999999</v>
      </c>
      <c r="DD136" s="300">
        <f t="shared" si="115"/>
        <v>0</v>
      </c>
      <c r="DE136" s="338">
        <f>DE133</f>
        <v>654</v>
      </c>
      <c r="DF136" s="338">
        <f>(DE101*0.98+DE133*1.91)*14.49/1000</f>
        <v>27.344368800000002</v>
      </c>
      <c r="DG136" s="338">
        <f>DF136</f>
        <v>27.344368800000002</v>
      </c>
      <c r="DH136" s="301">
        <f t="shared" si="159"/>
        <v>0</v>
      </c>
      <c r="DI136" s="338">
        <f>DI133</f>
        <v>216</v>
      </c>
      <c r="DJ136" s="338">
        <f>(DI101*1.8+DI133*3.5)*14.49/1000</f>
        <v>16.588151999999997</v>
      </c>
      <c r="DK136" s="338">
        <f>DJ136</f>
        <v>16.588151999999997</v>
      </c>
      <c r="DL136" s="301">
        <f t="shared" si="139"/>
        <v>0</v>
      </c>
      <c r="DM136" s="338">
        <f>DM133</f>
        <v>8578</v>
      </c>
      <c r="DN136" s="338">
        <f>(DM101*1+DM133*1.9)*14.49/1000</f>
        <v>356.64526799999999</v>
      </c>
      <c r="DO136" s="338">
        <f>DN136</f>
        <v>356.64526799999999</v>
      </c>
      <c r="DP136" s="301">
        <f t="shared" ref="DP136:DP145" si="189">DO136-DN136</f>
        <v>0</v>
      </c>
      <c r="DQ136" s="338">
        <f>DQ133</f>
        <v>16</v>
      </c>
      <c r="DR136" s="338">
        <f>(DQ101*1+DQ133*2)*14.49/1000</f>
        <v>0.46367999999999998</v>
      </c>
      <c r="DS136" s="338">
        <f>DR136</f>
        <v>0.46367999999999998</v>
      </c>
      <c r="DT136" s="300">
        <f t="shared" si="89"/>
        <v>0</v>
      </c>
      <c r="DU136" s="338">
        <f>DU133</f>
        <v>1788</v>
      </c>
      <c r="DV136" s="338">
        <f>(DU101*1.2+DU133*1.8)*14.49/1000</f>
        <v>76.559364000000002</v>
      </c>
      <c r="DW136" s="338">
        <f>DV136</f>
        <v>76.559364000000002</v>
      </c>
      <c r="DX136" s="301">
        <f t="shared" si="112"/>
        <v>0</v>
      </c>
      <c r="DY136" s="338">
        <f>DY133</f>
        <v>432</v>
      </c>
      <c r="DZ136" s="338">
        <f>(DY101*1.26+DY133*2.59)*14.49/1000</f>
        <v>24.099767999999997</v>
      </c>
      <c r="EA136" s="338">
        <f>DZ136</f>
        <v>24.099767999999997</v>
      </c>
      <c r="EB136" s="301">
        <f t="shared" si="90"/>
        <v>0</v>
      </c>
      <c r="EC136" s="338">
        <f>EC133</f>
        <v>259</v>
      </c>
      <c r="ED136" s="338">
        <f>(EC101*0.93+EC133*2)*14.49/1000</f>
        <v>10.996026299999999</v>
      </c>
      <c r="EE136" s="338">
        <f>ED136</f>
        <v>10.996026299999999</v>
      </c>
      <c r="EF136" s="301">
        <f t="shared" si="91"/>
        <v>0</v>
      </c>
      <c r="EG136" s="338">
        <f>EG133</f>
        <v>4129</v>
      </c>
      <c r="EH136" s="338">
        <f>(EG101*0.9+EG133*1.95)*14.49/1000</f>
        <v>169.2873945</v>
      </c>
      <c r="EI136" s="338">
        <f>EH136</f>
        <v>169.2873945</v>
      </c>
      <c r="EJ136" s="301">
        <f t="shared" ref="EJ136:EJ148" si="190">EI136-EH136</f>
        <v>0</v>
      </c>
      <c r="EK136" s="338">
        <f>EK133</f>
        <v>0</v>
      </c>
      <c r="EL136" s="338">
        <f>(EK101*1+EK133*2)*14.49*0.9/1000</f>
        <v>0</v>
      </c>
      <c r="EM136" s="338">
        <f>EL136</f>
        <v>0</v>
      </c>
      <c r="EN136" s="301">
        <f t="shared" si="93"/>
        <v>0</v>
      </c>
      <c r="EO136" s="338">
        <f>EO133</f>
        <v>305</v>
      </c>
      <c r="EP136" s="338">
        <f>(EO101*1.19+EO133*2)*14.49/1000</f>
        <v>12.649625100000002</v>
      </c>
      <c r="EQ136" s="338">
        <f>EP136</f>
        <v>12.649625100000002</v>
      </c>
      <c r="ER136" s="300">
        <f t="shared" si="94"/>
        <v>0</v>
      </c>
      <c r="ES136" s="338">
        <f>ES133</f>
        <v>125</v>
      </c>
      <c r="ET136" s="338">
        <f>(ES101*0.9+ES133*2)*14.49/1000</f>
        <v>4.2745500000000005</v>
      </c>
      <c r="EU136" s="338">
        <f>ET136</f>
        <v>4.2745500000000005</v>
      </c>
      <c r="EV136" s="300">
        <f t="shared" si="95"/>
        <v>0</v>
      </c>
      <c r="EW136" s="338">
        <f>EW133</f>
        <v>0</v>
      </c>
      <c r="EX136" s="338">
        <f>(EW101*1+EW133*2)*14.49*0.9/1000</f>
        <v>0</v>
      </c>
      <c r="EY136" s="338">
        <f>EX136</f>
        <v>0</v>
      </c>
      <c r="EZ136" s="301">
        <f t="shared" si="96"/>
        <v>0</v>
      </c>
      <c r="FA136" s="338">
        <f>FA133</f>
        <v>1216</v>
      </c>
      <c r="FB136" s="338">
        <f>(FA101*1.5+FA133*2.4)*14.49/1000</f>
        <v>66.043970999999985</v>
      </c>
      <c r="FC136" s="338">
        <f>FB136</f>
        <v>66.043970999999985</v>
      </c>
      <c r="FD136" s="301">
        <f t="shared" si="97"/>
        <v>0</v>
      </c>
      <c r="FE136" s="338">
        <f>FE133</f>
        <v>655</v>
      </c>
      <c r="FF136" s="338">
        <f>(FE101*1.2+FE133*2)*14.49/1000</f>
        <v>25.485011999999998</v>
      </c>
      <c r="FG136" s="338">
        <f>FF136</f>
        <v>25.485011999999998</v>
      </c>
      <c r="FH136" s="301">
        <f t="shared" ref="FH136:FH148" si="191">FG136-FF136</f>
        <v>0</v>
      </c>
      <c r="FI136" s="338">
        <f>FI133</f>
        <v>241</v>
      </c>
      <c r="FJ136" s="338">
        <f>(FI101*1.3+FI133*2.5)*14.49/1000</f>
        <v>13.269941999999999</v>
      </c>
      <c r="FK136" s="338">
        <f>FJ136</f>
        <v>13.269941999999999</v>
      </c>
      <c r="FL136" s="301">
        <f t="shared" si="113"/>
        <v>0</v>
      </c>
      <c r="FM136" s="338">
        <f>FM133</f>
        <v>0</v>
      </c>
      <c r="FN136" s="338">
        <f>(FM101*1+FM133*2)*14.49/1000</f>
        <v>0</v>
      </c>
      <c r="FO136" s="338">
        <f>FN136</f>
        <v>0</v>
      </c>
      <c r="FP136" s="301">
        <f t="shared" si="108"/>
        <v>0</v>
      </c>
      <c r="FQ136" s="338">
        <f>FQ133</f>
        <v>93</v>
      </c>
      <c r="FR136" s="338">
        <f>(FQ101*1+FQ133*1.6)*14.49/1000</f>
        <v>2.3444820000000006</v>
      </c>
      <c r="FS136" s="338">
        <f>FR136</f>
        <v>2.3444820000000006</v>
      </c>
      <c r="FT136" s="301">
        <f t="shared" si="99"/>
        <v>0</v>
      </c>
      <c r="FU136" s="338">
        <f>FU133</f>
        <v>1400</v>
      </c>
      <c r="FV136" s="338">
        <f>(FU101*1+FU133*2.5)*14.49/1000</f>
        <v>70.928550000000001</v>
      </c>
      <c r="FW136" s="338">
        <f>FV136</f>
        <v>70.928550000000001</v>
      </c>
      <c r="FX136" s="301">
        <f t="shared" si="173"/>
        <v>0</v>
      </c>
      <c r="FY136" s="338">
        <f>FY133</f>
        <v>63</v>
      </c>
      <c r="FZ136" s="338">
        <f>(FY101*1.5+FY133*2.5)*14.49/1000</f>
        <v>3.6514799999999998</v>
      </c>
      <c r="GA136" s="338">
        <f>FZ136</f>
        <v>3.6514799999999998</v>
      </c>
      <c r="GB136" s="301">
        <f t="shared" si="101"/>
        <v>0</v>
      </c>
      <c r="GC136" s="338">
        <f>GC133</f>
        <v>209</v>
      </c>
      <c r="GD136" s="338">
        <f>(GC101*1.1+GC133*1.9)*14.49/1000</f>
        <v>9.0692909999999998</v>
      </c>
      <c r="GE136" s="338">
        <f>GD136</f>
        <v>9.0692909999999998</v>
      </c>
      <c r="GF136" s="301">
        <f t="shared" si="174"/>
        <v>0</v>
      </c>
      <c r="GG136" s="338">
        <f>GG133</f>
        <v>37</v>
      </c>
      <c r="GH136" s="338">
        <f>(GG101*1+GG133*2.7)*14.49/1000</f>
        <v>1.4475510000000003</v>
      </c>
      <c r="GI136" s="338">
        <f>GH136</f>
        <v>1.4475510000000003</v>
      </c>
      <c r="GJ136" s="301">
        <f t="shared" si="179"/>
        <v>0</v>
      </c>
      <c r="GK136" s="338">
        <f>GK133</f>
        <v>5</v>
      </c>
      <c r="GL136" s="338">
        <f>(GK101*1+GK133*1.64)*14.49/1000</f>
        <v>0.11881799999999999</v>
      </c>
      <c r="GM136" s="338">
        <f>GL136</f>
        <v>0.11881799999999999</v>
      </c>
      <c r="GN136" s="301">
        <f t="shared" si="103"/>
        <v>0</v>
      </c>
      <c r="GO136" s="338">
        <f>GO133</f>
        <v>36</v>
      </c>
      <c r="GP136" s="338">
        <f>(GO101*1+GO133*1.64)*14.49/1000</f>
        <v>1.2322295999999999</v>
      </c>
      <c r="GQ136" s="338">
        <f>GP136</f>
        <v>1.2322295999999999</v>
      </c>
      <c r="GR136" s="301">
        <f t="shared" si="180"/>
        <v>0</v>
      </c>
      <c r="GS136" s="338">
        <f>GS133</f>
        <v>81</v>
      </c>
      <c r="GT136" s="338">
        <f>(GS101*1+GS133*1.64)*14.49/1000</f>
        <v>3.0985415999999999</v>
      </c>
      <c r="GU136" s="338">
        <f>GT136</f>
        <v>3.0985415999999999</v>
      </c>
      <c r="GV136" s="301">
        <f t="shared" si="105"/>
        <v>0</v>
      </c>
      <c r="GW136" s="338"/>
      <c r="GX136" s="338">
        <f>(GW101*1+GW133*1.64)*14.49/1000</f>
        <v>0</v>
      </c>
      <c r="GY136" s="338">
        <f>GX136</f>
        <v>0</v>
      </c>
      <c r="GZ136" s="301">
        <f t="shared" si="150"/>
        <v>0</v>
      </c>
      <c r="HA136" s="328"/>
      <c r="HB136" s="339"/>
      <c r="HS136" s="306"/>
      <c r="HT136" s="306"/>
      <c r="HU136" s="306"/>
      <c r="HV136" s="306"/>
    </row>
    <row r="137" spans="1:256" ht="13.5" hidden="1" customHeight="1">
      <c r="A137" s="394">
        <v>15</v>
      </c>
      <c r="B137" s="396" t="s">
        <v>263</v>
      </c>
      <c r="C137" s="396"/>
      <c r="D137" s="367" t="s">
        <v>264</v>
      </c>
      <c r="E137" s="301">
        <f>E138+E139+E140</f>
        <v>52854</v>
      </c>
      <c r="F137" s="301">
        <f>F138+F139+F140</f>
        <v>1361.3391999999994</v>
      </c>
      <c r="G137" s="301">
        <f>G138+G139+G140</f>
        <v>1361.3391999999994</v>
      </c>
      <c r="H137" s="301">
        <f>H138+H139+H140</f>
        <v>0</v>
      </c>
      <c r="I137" s="301">
        <f>SUM(I138:I140)</f>
        <v>21</v>
      </c>
      <c r="J137" s="301">
        <f>SUM(J138:J140)</f>
        <v>0.75600000000000001</v>
      </c>
      <c r="K137" s="301">
        <f>SUM(K138:K140)</f>
        <v>0.75600000000000001</v>
      </c>
      <c r="L137" s="301">
        <f t="shared" si="146"/>
        <v>0</v>
      </c>
      <c r="M137" s="301">
        <f>SUM(M138:M140)</f>
        <v>0</v>
      </c>
      <c r="N137" s="301">
        <f>SUM(N138:N140)</f>
        <v>0</v>
      </c>
      <c r="O137" s="301">
        <f>SUM(O138:O140)</f>
        <v>0</v>
      </c>
      <c r="P137" s="301">
        <f t="shared" si="185"/>
        <v>0</v>
      </c>
      <c r="Q137" s="301">
        <f>SUM(Q138:Q140)</f>
        <v>8127</v>
      </c>
      <c r="R137" s="301">
        <f>SUM(R138:R140)</f>
        <v>173.57160000000002</v>
      </c>
      <c r="S137" s="301">
        <f>SUM(S138:S140)</f>
        <v>173.57160000000002</v>
      </c>
      <c r="T137" s="301">
        <f t="shared" si="148"/>
        <v>0</v>
      </c>
      <c r="U137" s="301">
        <f>SUM(U138:U140)</f>
        <v>4057</v>
      </c>
      <c r="V137" s="301">
        <f>SUM(V138:V140)</f>
        <v>91.286299999999983</v>
      </c>
      <c r="W137" s="301">
        <f>SUM(W138:W140)</f>
        <v>91.286299999999983</v>
      </c>
      <c r="X137" s="301">
        <f t="shared" si="154"/>
        <v>0</v>
      </c>
      <c r="Y137" s="301">
        <f>SUM(Y138:Y140)</f>
        <v>1069</v>
      </c>
      <c r="Z137" s="301">
        <f>SUM(Z138:Z140)</f>
        <v>38.484000000000002</v>
      </c>
      <c r="AA137" s="301">
        <f>SUM(AA138:AA140)</f>
        <v>38.484000000000002</v>
      </c>
      <c r="AB137" s="301">
        <f t="shared" si="127"/>
        <v>0</v>
      </c>
      <c r="AC137" s="301">
        <f>SUM(AC138:AC140)</f>
        <v>549</v>
      </c>
      <c r="AD137" s="301">
        <f>SUM(AD138:AD140)</f>
        <v>19.347699999999996</v>
      </c>
      <c r="AE137" s="301">
        <f>SUM(AE138:AE140)</f>
        <v>19.347699999999996</v>
      </c>
      <c r="AF137" s="300">
        <f t="shared" si="152"/>
        <v>0</v>
      </c>
      <c r="AG137" s="301">
        <f>SUM(AG138:AG140)</f>
        <v>147</v>
      </c>
      <c r="AH137" s="301">
        <f>SUM(AH138:AH140)</f>
        <v>5.2919999999999998</v>
      </c>
      <c r="AI137" s="301">
        <f>SUM(AI138:AI140)</f>
        <v>5.2919999999999998</v>
      </c>
      <c r="AJ137" s="300">
        <f t="shared" si="128"/>
        <v>0</v>
      </c>
      <c r="AK137" s="301">
        <f>SUM(AK138:AK140)</f>
        <v>1351</v>
      </c>
      <c r="AL137" s="301">
        <f>SUM(AL138:AL140)</f>
        <v>48.636000000000003</v>
      </c>
      <c r="AM137" s="301">
        <f>SUM(AM138:AM140)</f>
        <v>48.636000000000003</v>
      </c>
      <c r="AN137" s="301">
        <f t="shared" si="129"/>
        <v>0</v>
      </c>
      <c r="AO137" s="301">
        <f>SUM(AO138:AO140)</f>
        <v>12358</v>
      </c>
      <c r="AP137" s="301">
        <f>SUM(AP138:AP140)</f>
        <v>345.51730000000003</v>
      </c>
      <c r="AQ137" s="301">
        <f>SUM(AQ138:AQ140)</f>
        <v>345.51730000000003</v>
      </c>
      <c r="AR137" s="300">
        <f t="shared" si="120"/>
        <v>0</v>
      </c>
      <c r="AS137" s="301">
        <f>SUM(AS138:AS140)</f>
        <v>2323</v>
      </c>
      <c r="AT137" s="301">
        <f>SUM(AT138:AT140)</f>
        <v>60.911799999999999</v>
      </c>
      <c r="AU137" s="301">
        <f>SUM(AU138:AU140)</f>
        <v>60.911799999999999</v>
      </c>
      <c r="AV137" s="301">
        <f t="shared" si="130"/>
        <v>0</v>
      </c>
      <c r="AW137" s="301">
        <f>SUM(AW138:AW140)</f>
        <v>0</v>
      </c>
      <c r="AX137" s="301">
        <f>SUM(AX138:AX140)</f>
        <v>0</v>
      </c>
      <c r="AY137" s="301">
        <f>SUM(AY138:AY140)</f>
        <v>0</v>
      </c>
      <c r="AZ137" s="301">
        <f t="shared" si="131"/>
        <v>0</v>
      </c>
      <c r="BA137" s="301">
        <f>SUM(BA138:BA140)</f>
        <v>53</v>
      </c>
      <c r="BB137" s="301">
        <f>SUM(BB138:BB140)</f>
        <v>1.9079999999999999</v>
      </c>
      <c r="BC137" s="301">
        <f>SUM(BC138:BC140)</f>
        <v>1.9079999999999999</v>
      </c>
      <c r="BD137" s="301">
        <f t="shared" si="132"/>
        <v>0</v>
      </c>
      <c r="BE137" s="301">
        <f>SUM(BE138:BE140)</f>
        <v>48</v>
      </c>
      <c r="BF137" s="301">
        <f>SUM(BF138:BF140)</f>
        <v>1.728</v>
      </c>
      <c r="BG137" s="301">
        <f>SUM(BG138:BG140)</f>
        <v>1.728</v>
      </c>
      <c r="BH137" s="301">
        <f t="shared" si="149"/>
        <v>0</v>
      </c>
      <c r="BI137" s="301">
        <f>SUM(BI138:BI140)</f>
        <v>1669</v>
      </c>
      <c r="BJ137" s="301">
        <f>SUM(BJ138:BJ140)</f>
        <v>34.956800000000001</v>
      </c>
      <c r="BK137" s="301">
        <f>SUM(BK138:BK140)</f>
        <v>34.956800000000001</v>
      </c>
      <c r="BL137" s="301">
        <f t="shared" si="133"/>
        <v>0</v>
      </c>
      <c r="BM137" s="301">
        <f>SUM(BM138:BM140)</f>
        <v>397</v>
      </c>
      <c r="BN137" s="301">
        <f>SUM(BN138:BN140)</f>
        <v>9.5863999999999994</v>
      </c>
      <c r="BO137" s="301">
        <f>SUM(BO138:BO140)</f>
        <v>9.5863999999999994</v>
      </c>
      <c r="BP137" s="301">
        <f t="shared" si="134"/>
        <v>0</v>
      </c>
      <c r="BQ137" s="301">
        <f>SUM(BQ138:BQ140)</f>
        <v>146</v>
      </c>
      <c r="BR137" s="301">
        <f>SUM(BR138:BR140)</f>
        <v>4.5920999999999994</v>
      </c>
      <c r="BS137" s="301">
        <f>SUM(BS138:BS140)</f>
        <v>4.5920999999999994</v>
      </c>
      <c r="BT137" s="301">
        <f t="shared" si="135"/>
        <v>0</v>
      </c>
      <c r="BU137" s="301">
        <f>SUM(BU138:BU140)</f>
        <v>4279</v>
      </c>
      <c r="BV137" s="301">
        <f>SUM(BV138:BV140)</f>
        <v>91.5702</v>
      </c>
      <c r="BW137" s="301">
        <f>SUM(BW138:BW140)</f>
        <v>91.5702</v>
      </c>
      <c r="BX137" s="301">
        <f t="shared" si="137"/>
        <v>0</v>
      </c>
      <c r="BY137" s="301">
        <f>SUM(BY138:BY140)</f>
        <v>7945</v>
      </c>
      <c r="BZ137" s="301">
        <f>SUM(BZ138:BZ140)</f>
        <v>180.38619999999997</v>
      </c>
      <c r="CA137" s="301">
        <f>SUM(CA138:CA140)</f>
        <v>180.38619999999997</v>
      </c>
      <c r="CB137" s="301">
        <f t="shared" si="138"/>
        <v>0</v>
      </c>
      <c r="CC137" s="301">
        <f>SUM(CC138:CC140)</f>
        <v>0</v>
      </c>
      <c r="CD137" s="301">
        <f>SUM(CD138:CD140)</f>
        <v>0</v>
      </c>
      <c r="CE137" s="301">
        <f>SUM(CE138:CE140)</f>
        <v>0</v>
      </c>
      <c r="CF137" s="300">
        <f t="shared" si="107"/>
        <v>0</v>
      </c>
      <c r="CG137" s="301">
        <f>SUM(CG138:CG140)</f>
        <v>2907</v>
      </c>
      <c r="CH137" s="301">
        <f>SUM(CH138:CH140)</f>
        <v>104.652</v>
      </c>
      <c r="CI137" s="301">
        <f>SUM(CI138:CI140)</f>
        <v>104.652</v>
      </c>
      <c r="CJ137" s="301">
        <f t="shared" si="122"/>
        <v>0</v>
      </c>
      <c r="CK137" s="301">
        <f>SUM(CK138:CK140)</f>
        <v>615</v>
      </c>
      <c r="CL137" s="301">
        <f>SUM(CL138:CL140)</f>
        <v>12.792</v>
      </c>
      <c r="CM137" s="301">
        <f>SUM(CM138:CM140)</f>
        <v>12.792</v>
      </c>
      <c r="CN137" s="301">
        <f t="shared" si="84"/>
        <v>0</v>
      </c>
      <c r="CO137" s="301">
        <f>SUM(CO138:CO140)</f>
        <v>0</v>
      </c>
      <c r="CP137" s="301">
        <f>SUM(CP138:CP140)</f>
        <v>0</v>
      </c>
      <c r="CQ137" s="301">
        <f>SUM(CQ138:CQ140)</f>
        <v>0</v>
      </c>
      <c r="CR137" s="301">
        <f t="shared" si="85"/>
        <v>0</v>
      </c>
      <c r="CS137" s="301">
        <f>SUM(CS138:CS140)</f>
        <v>0</v>
      </c>
      <c r="CT137" s="301">
        <f>SUM(CT138:CT140)</f>
        <v>0</v>
      </c>
      <c r="CU137" s="301">
        <f>SUM(CU138:CU140)</f>
        <v>0</v>
      </c>
      <c r="CV137" s="301">
        <f t="shared" si="86"/>
        <v>0</v>
      </c>
      <c r="CW137" s="301">
        <f>SUM(CW138:CW140)</f>
        <v>171</v>
      </c>
      <c r="CX137" s="301">
        <f>SUM(CX138:CX140)</f>
        <v>4.5533999999999999</v>
      </c>
      <c r="CY137" s="301">
        <f>SUM(CY138:CY140)</f>
        <v>4.5533999999999999</v>
      </c>
      <c r="CZ137" s="301">
        <f t="shared" si="87"/>
        <v>0</v>
      </c>
      <c r="DA137" s="301">
        <f>SUM(DA138:DA140)</f>
        <v>18</v>
      </c>
      <c r="DB137" s="301">
        <f>SUM(DB138:DB140)</f>
        <v>0.37440000000000001</v>
      </c>
      <c r="DC137" s="301">
        <f>SUM(DC138:DC140)</f>
        <v>0.37440000000000001</v>
      </c>
      <c r="DD137" s="300">
        <f t="shared" si="115"/>
        <v>0</v>
      </c>
      <c r="DE137" s="301">
        <f>SUM(DE138:DE140)</f>
        <v>225</v>
      </c>
      <c r="DF137" s="301">
        <f>SUM(DF138:DF140)</f>
        <v>4.68</v>
      </c>
      <c r="DG137" s="301">
        <f>SUM(DG138:DG140)</f>
        <v>4.68</v>
      </c>
      <c r="DH137" s="301">
        <f t="shared" si="159"/>
        <v>0</v>
      </c>
      <c r="DI137" s="301">
        <f>SUM(DI138:DI140)</f>
        <v>0</v>
      </c>
      <c r="DJ137" s="301">
        <f>SUM(DJ138:DJ140)</f>
        <v>0</v>
      </c>
      <c r="DK137" s="301">
        <f>SUM(DK138:DK140)</f>
        <v>0</v>
      </c>
      <c r="DL137" s="301">
        <f t="shared" si="139"/>
        <v>0</v>
      </c>
      <c r="DM137" s="301">
        <f>SUM(DM138:DM140)</f>
        <v>3044</v>
      </c>
      <c r="DN137" s="301">
        <f>SUM(DN138:DN140)</f>
        <v>91.733400000000003</v>
      </c>
      <c r="DO137" s="301">
        <f>SUM(DO138:DO140)</f>
        <v>91.733400000000003</v>
      </c>
      <c r="DP137" s="301">
        <f t="shared" si="189"/>
        <v>0</v>
      </c>
      <c r="DQ137" s="301">
        <f>SUM(DQ138:DQ140)</f>
        <v>0</v>
      </c>
      <c r="DR137" s="301">
        <f>SUM(DR138:DR140)</f>
        <v>0</v>
      </c>
      <c r="DS137" s="301">
        <f>SUM(DS138:DS140)</f>
        <v>0</v>
      </c>
      <c r="DT137" s="300">
        <f t="shared" si="89"/>
        <v>0</v>
      </c>
      <c r="DU137" s="301">
        <f>SUM(DU138:DU140)</f>
        <v>657</v>
      </c>
      <c r="DV137" s="301">
        <f>SUM(DV138:DV140)</f>
        <v>18.678799999999999</v>
      </c>
      <c r="DW137" s="301">
        <f>SUM(DW138:DW140)</f>
        <v>18.678799999999999</v>
      </c>
      <c r="DX137" s="301">
        <f t="shared" si="112"/>
        <v>0</v>
      </c>
      <c r="DY137" s="301">
        <f>SUM(DY138:DY140)</f>
        <v>42</v>
      </c>
      <c r="DZ137" s="301">
        <f>SUM(DZ138:DZ140)</f>
        <v>1.512</v>
      </c>
      <c r="EA137" s="301">
        <f>SUM(EA138:EA140)</f>
        <v>1.512</v>
      </c>
      <c r="EB137" s="301">
        <f t="shared" si="90"/>
        <v>0</v>
      </c>
      <c r="EC137" s="301">
        <f>SUM(EC138:EC140)</f>
        <v>0</v>
      </c>
      <c r="ED137" s="301">
        <f>SUM(ED138:ED140)</f>
        <v>0</v>
      </c>
      <c r="EE137" s="301">
        <f>SUM(EE138:EE140)</f>
        <v>0</v>
      </c>
      <c r="EF137" s="301">
        <f t="shared" si="91"/>
        <v>0</v>
      </c>
      <c r="EG137" s="301">
        <f>SUM(EG138:EG140)</f>
        <v>330</v>
      </c>
      <c r="EH137" s="301">
        <f>SUM(EH138:EH140)</f>
        <v>6.8639999999999999</v>
      </c>
      <c r="EI137" s="301">
        <f>SUM(EI138:EI140)</f>
        <v>6.8639999999999999</v>
      </c>
      <c r="EJ137" s="301">
        <f t="shared" si="190"/>
        <v>0</v>
      </c>
      <c r="EK137" s="301">
        <f>SUM(EK138:EK140)</f>
        <v>0</v>
      </c>
      <c r="EL137" s="301">
        <f>SUM(EL138:EL140)</f>
        <v>0</v>
      </c>
      <c r="EM137" s="301">
        <f>SUM(EM138:EM140)</f>
        <v>0</v>
      </c>
      <c r="EN137" s="301">
        <f t="shared" si="93"/>
        <v>0</v>
      </c>
      <c r="EO137" s="301">
        <f>SUM(EO138:EO140)</f>
        <v>67</v>
      </c>
      <c r="EP137" s="301">
        <f>SUM(EP138:EP140)</f>
        <v>1.3936000000000002</v>
      </c>
      <c r="EQ137" s="301">
        <f>SUM(EQ138:EQ140)</f>
        <v>1.3936000000000002</v>
      </c>
      <c r="ER137" s="300">
        <f t="shared" si="94"/>
        <v>0</v>
      </c>
      <c r="ES137" s="301">
        <f>SUM(ES138:ES140)</f>
        <v>52</v>
      </c>
      <c r="ET137" s="301">
        <f>SUM(ET138:ET140)</f>
        <v>1.4137999999999999</v>
      </c>
      <c r="EU137" s="301">
        <f>SUM(EU138:EU140)</f>
        <v>1.4137999999999999</v>
      </c>
      <c r="EV137" s="300">
        <f t="shared" si="95"/>
        <v>0</v>
      </c>
      <c r="EW137" s="301">
        <f>SUM(EW138:EW140)</f>
        <v>18</v>
      </c>
      <c r="EX137" s="301">
        <f>SUM(EX138:EX140)</f>
        <v>0.64619999999999989</v>
      </c>
      <c r="EY137" s="301">
        <f>SUM(EY138:EY140)</f>
        <v>0.64619999999999989</v>
      </c>
      <c r="EZ137" s="301">
        <f t="shared" si="96"/>
        <v>0</v>
      </c>
      <c r="FA137" s="301">
        <f>SUM(FA138:FA140)</f>
        <v>70</v>
      </c>
      <c r="FB137" s="301">
        <f>SUM(FB138:FB140)</f>
        <v>1.456</v>
      </c>
      <c r="FC137" s="301">
        <f>SUM(FC138:FC140)</f>
        <v>1.456</v>
      </c>
      <c r="FD137" s="301">
        <f t="shared" si="97"/>
        <v>0</v>
      </c>
      <c r="FE137" s="301">
        <f>SUM(FE138:FE140)</f>
        <v>1</v>
      </c>
      <c r="FF137" s="301">
        <f>SUM(FF138:FF140)</f>
        <v>2.0799999999999999E-2</v>
      </c>
      <c r="FG137" s="301">
        <f>SUM(FG138:FG140)</f>
        <v>2.0799999999999999E-2</v>
      </c>
      <c r="FH137" s="301">
        <f t="shared" si="191"/>
        <v>0</v>
      </c>
      <c r="FI137" s="301">
        <f>SUM(FI138:FI140)</f>
        <v>0</v>
      </c>
      <c r="FJ137" s="301">
        <f>SUM(FJ138:FJ140)</f>
        <v>0</v>
      </c>
      <c r="FK137" s="301">
        <f>SUM(FK138:FK140)</f>
        <v>0</v>
      </c>
      <c r="FL137" s="301">
        <f t="shared" si="113"/>
        <v>0</v>
      </c>
      <c r="FM137" s="301">
        <f>SUM(FM138:FM140)</f>
        <v>0</v>
      </c>
      <c r="FN137" s="301">
        <f>SUM(FN138:FN140)</f>
        <v>0</v>
      </c>
      <c r="FO137" s="301">
        <f>SUM(FO138:FO140)</f>
        <v>0</v>
      </c>
      <c r="FP137" s="301">
        <f t="shared" si="108"/>
        <v>0</v>
      </c>
      <c r="FQ137" s="301">
        <f>SUM(FQ138:FQ140)</f>
        <v>17</v>
      </c>
      <c r="FR137" s="301">
        <f>SUM(FR138:FR140)</f>
        <v>0.35360000000000003</v>
      </c>
      <c r="FS137" s="301">
        <f>SUM(FS138:FS140)</f>
        <v>0.35360000000000003</v>
      </c>
      <c r="FT137" s="301">
        <f t="shared" si="99"/>
        <v>0</v>
      </c>
      <c r="FU137" s="301">
        <f>SUM(FU138:FU140)</f>
        <v>0</v>
      </c>
      <c r="FV137" s="301">
        <f>SUM(FV138:FV140)</f>
        <v>0</v>
      </c>
      <c r="FW137" s="301">
        <f>SUM(FW138:FW140)</f>
        <v>0</v>
      </c>
      <c r="FX137" s="301">
        <f t="shared" si="173"/>
        <v>0</v>
      </c>
      <c r="FY137" s="301">
        <f>SUM(FY138:FY140)</f>
        <v>0</v>
      </c>
      <c r="FZ137" s="301">
        <f>SUM(FZ138:FZ140)</f>
        <v>0</v>
      </c>
      <c r="GA137" s="301">
        <f>SUM(GA138:GA140)</f>
        <v>0</v>
      </c>
      <c r="GB137" s="301">
        <f t="shared" si="101"/>
        <v>0</v>
      </c>
      <c r="GC137" s="301">
        <f>SUM(GC138:GC140)</f>
        <v>81</v>
      </c>
      <c r="GD137" s="301">
        <f>SUM(GD138:GD140)</f>
        <v>1.6847999999999999</v>
      </c>
      <c r="GE137" s="301">
        <f>SUM(GE138:GE140)</f>
        <v>1.6847999999999999</v>
      </c>
      <c r="GF137" s="301">
        <f t="shared" si="174"/>
        <v>0</v>
      </c>
      <c r="GG137" s="301">
        <f>SUM(GG138:GG140)</f>
        <v>0</v>
      </c>
      <c r="GH137" s="301">
        <f>SUM(GH138:GH140)</f>
        <v>0</v>
      </c>
      <c r="GI137" s="301">
        <f>SUM(GI138:GI140)</f>
        <v>0</v>
      </c>
      <c r="GJ137" s="301">
        <f t="shared" si="179"/>
        <v>0</v>
      </c>
      <c r="GK137" s="301">
        <f>SUM(GK138:GK140)</f>
        <v>0</v>
      </c>
      <c r="GL137" s="301">
        <f>SUM(GL138:GL140)</f>
        <v>0</v>
      </c>
      <c r="GM137" s="301">
        <f>SUM(GM138:GM140)</f>
        <v>0</v>
      </c>
      <c r="GN137" s="301">
        <f t="shared" si="103"/>
        <v>0</v>
      </c>
      <c r="GO137" s="301">
        <f>SUM(GO138:GO140)</f>
        <v>0</v>
      </c>
      <c r="GP137" s="301">
        <f>SUM(GP138:GP140)</f>
        <v>0</v>
      </c>
      <c r="GQ137" s="301">
        <f>SUM(GQ138:GQ140)</f>
        <v>0</v>
      </c>
      <c r="GR137" s="301">
        <f t="shared" si="180"/>
        <v>0</v>
      </c>
      <c r="GS137" s="301">
        <f>SUM(GS138:GS140)</f>
        <v>0</v>
      </c>
      <c r="GT137" s="301">
        <f>SUM(GT138:GT140)</f>
        <v>0</v>
      </c>
      <c r="GU137" s="301">
        <f>SUM(GU138:GU140)</f>
        <v>0</v>
      </c>
      <c r="GV137" s="301">
        <f t="shared" si="105"/>
        <v>0</v>
      </c>
      <c r="GW137" s="301">
        <f>SUM(GW138:GW140)</f>
        <v>0</v>
      </c>
      <c r="GX137" s="301">
        <f>SUM(GX138:GX140)</f>
        <v>0</v>
      </c>
      <c r="GY137" s="301">
        <f>SUM(GY138:GY140)</f>
        <v>0</v>
      </c>
      <c r="GZ137" s="301">
        <f t="shared" si="150"/>
        <v>0</v>
      </c>
      <c r="HA137" s="328"/>
      <c r="HB137" s="339"/>
      <c r="HN137" s="279"/>
      <c r="HS137" s="306"/>
      <c r="HT137" s="306"/>
      <c r="HU137" s="306"/>
      <c r="HV137" s="306"/>
    </row>
    <row r="138" spans="1:256" s="338" customFormat="1" ht="13.5" hidden="1" customHeight="1">
      <c r="A138" s="909"/>
      <c r="B138" s="335" t="s">
        <v>175</v>
      </c>
      <c r="C138" s="444" t="s">
        <v>265</v>
      </c>
      <c r="D138" s="440" t="s">
        <v>266</v>
      </c>
      <c r="E138" s="299">
        <f t="shared" ref="E138:H145" si="192">I138+M138+Q138+U138+Y138+AC138+AG138+AK138+AO138+AS138+AW138+BA138+BE138+BI138+BM138+BQ138+BU138+BY138+CC138+CG138+CK138+CO138+CS138+CW138+DA138+DE138+DI138+DM138+DQ138+DU138+DY138+EC138+EG138+EK138+EO138+ES138+EW138+FA138+FE138+FI138+FM138+FQ138+FU138+FY138+GC138+GK138+GG138+GO138+GS138+GW138</f>
        <v>46159</v>
      </c>
      <c r="F138" s="299">
        <f t="shared" si="192"/>
        <v>1120.3785999999996</v>
      </c>
      <c r="G138" s="299">
        <f t="shared" si="192"/>
        <v>1120.3785999999996</v>
      </c>
      <c r="H138" s="299">
        <f t="shared" si="192"/>
        <v>0</v>
      </c>
      <c r="L138" s="301">
        <f t="shared" si="146"/>
        <v>0</v>
      </c>
      <c r="M138" s="338">
        <f>'[1]УМУП УК ЖКХ г.Ульяновска'!K388</f>
        <v>0</v>
      </c>
      <c r="N138" s="338">
        <f>'[1]УМУП УК ЖКХ г.Ульяновска'!L388/1000</f>
        <v>0</v>
      </c>
      <c r="O138" s="338">
        <f>'[1]УМУП УК ЖКХ г.Ульяновска'!M388/1000</f>
        <v>0</v>
      </c>
      <c r="P138" s="301">
        <f t="shared" si="185"/>
        <v>0</v>
      </c>
      <c r="Q138" s="338">
        <f>'[1]ОАО ДК Засвияжье 1'!K423</f>
        <v>8127</v>
      </c>
      <c r="R138" s="338">
        <f>'[1]ОАО ДК Засвияжье 1'!L423/1000</f>
        <v>173.57160000000002</v>
      </c>
      <c r="S138" s="338">
        <f>'[1]ОАО ДК Засвияжье 1'!M423/1000</f>
        <v>173.57160000000002</v>
      </c>
      <c r="T138" s="301">
        <f t="shared" si="148"/>
        <v>0</v>
      </c>
      <c r="U138" s="338">
        <f>'[1]ОАО ДК Заволж р-на'!K459+'[1]ОАО ДК Заволж р-на'!K462</f>
        <v>3626</v>
      </c>
      <c r="V138" s="338">
        <f>('[1]ОАО ДК Заволж р-на'!L459+'[1]ОАО ДК Заволж р-на'!L462)/1000</f>
        <v>75.813399999999987</v>
      </c>
      <c r="W138" s="338">
        <f>('[1]ОАО ДК Заволж р-на'!M459+'[1]ОАО ДК Заволж р-на'!M462)/1000</f>
        <v>75.813399999999987</v>
      </c>
      <c r="X138" s="301">
        <f t="shared" si="154"/>
        <v>0</v>
      </c>
      <c r="AB138" s="301">
        <f t="shared" si="127"/>
        <v>0</v>
      </c>
      <c r="AC138" s="338">
        <f>[1]МегаЛинк!K197</f>
        <v>27</v>
      </c>
      <c r="AD138" s="338">
        <f>[1]МегаЛинк!L197/1000</f>
        <v>0.56159999999999999</v>
      </c>
      <c r="AE138" s="338">
        <f>[1]МегаЛинк!M197/1000</f>
        <v>0.56159999999999999</v>
      </c>
      <c r="AF138" s="300">
        <f t="shared" si="152"/>
        <v>0</v>
      </c>
      <c r="AJ138" s="300">
        <f t="shared" si="128"/>
        <v>0</v>
      </c>
      <c r="AN138" s="301">
        <f t="shared" si="129"/>
        <v>0</v>
      </c>
      <c r="AO138" s="338">
        <f>'[1]ЗАО ГК Аметист'!K498</f>
        <v>12358</v>
      </c>
      <c r="AP138" s="338">
        <f>'[1]ЗАО ГК Аметист'!L498/1000</f>
        <v>345.51730000000003</v>
      </c>
      <c r="AQ138" s="338">
        <f>'[1]ЗАО ГК Аметист'!M498/1000</f>
        <v>345.51730000000003</v>
      </c>
      <c r="AR138" s="300">
        <f t="shared" si="120"/>
        <v>0</v>
      </c>
      <c r="AS138" s="338">
        <f>'[1]Фундамент СК ООО'!K310</f>
        <v>2323</v>
      </c>
      <c r="AT138" s="338">
        <f>'[1]Фундамент СК ООО'!L310/1000</f>
        <v>60.911799999999999</v>
      </c>
      <c r="AU138" s="338">
        <f>'[1]Фундамент СК ООО'!M310/1000</f>
        <v>60.911799999999999</v>
      </c>
      <c r="AV138" s="301">
        <f t="shared" si="130"/>
        <v>0</v>
      </c>
      <c r="AZ138" s="301">
        <f t="shared" si="131"/>
        <v>0</v>
      </c>
      <c r="BD138" s="301">
        <f t="shared" si="132"/>
        <v>0</v>
      </c>
      <c r="BH138" s="301">
        <f t="shared" si="149"/>
        <v>0</v>
      </c>
      <c r="BI138" s="338">
        <f>[1]СМУ!K353</f>
        <v>1653</v>
      </c>
      <c r="BJ138" s="338">
        <f>[1]СМУ!L353/1000</f>
        <v>34.382400000000004</v>
      </c>
      <c r="BK138" s="338">
        <f>[1]СМУ!M353/1000</f>
        <v>34.382400000000004</v>
      </c>
      <c r="BL138" s="301">
        <f t="shared" si="133"/>
        <v>0</v>
      </c>
      <c r="BM138" s="338">
        <f>'[1]Евро-Строй-Сервис'!K195</f>
        <v>309</v>
      </c>
      <c r="BN138" s="338">
        <f>'[1]Евро-Строй-Сервис'!L195/1000</f>
        <v>6.4272</v>
      </c>
      <c r="BO138" s="338">
        <f>'[1]Евро-Строй-Сервис'!M195/1000</f>
        <v>6.4272</v>
      </c>
      <c r="BP138" s="301">
        <f t="shared" si="134"/>
        <v>0</v>
      </c>
      <c r="BQ138" s="338">
        <f>'[1]ОАО ДК Засвияжье 2'!K457</f>
        <v>146</v>
      </c>
      <c r="BR138" s="338">
        <f>'[1]ОАО ДК Засвияжье 2'!L457/1000</f>
        <v>4.5920999999999994</v>
      </c>
      <c r="BS138" s="338">
        <f>'[1]ОАО ДК Засвияжье 2'!M457/1000</f>
        <v>4.5920999999999994</v>
      </c>
      <c r="BT138" s="301">
        <f t="shared" si="135"/>
        <v>0</v>
      </c>
      <c r="BU138" s="338">
        <f>('[1]ОАО ДК Лен р-на'!K657+'[1]ООО Технология'!K323)</f>
        <v>4279</v>
      </c>
      <c r="BV138" s="338">
        <f>('[1]ОАО ДК Лен р-на'!L657+'[1]ООО Технология'!L323)/1000</f>
        <v>91.5702</v>
      </c>
      <c r="BW138" s="338">
        <f>('[1]ОАО ДК Лен р-на'!M657+'[1]ООО Технология'!M323)/1000</f>
        <v>91.5702</v>
      </c>
      <c r="BX138" s="301">
        <f t="shared" si="137"/>
        <v>0</v>
      </c>
      <c r="BY138" s="338">
        <f>'[1]ОАО ДК ЖД р-на'!K915</f>
        <v>7945</v>
      </c>
      <c r="BZ138" s="338">
        <f>'[1]ОАО ДК ЖД р-на'!L915/1000</f>
        <v>180.38619999999997</v>
      </c>
      <c r="CA138" s="338">
        <f>'[1]ОАО ДК ЖД р-на'!M915/1000</f>
        <v>180.38619999999997</v>
      </c>
      <c r="CB138" s="301">
        <f t="shared" si="138"/>
        <v>0</v>
      </c>
      <c r="CF138" s="300">
        <f t="shared" si="107"/>
        <v>0</v>
      </c>
      <c r="CJ138" s="301">
        <f t="shared" si="122"/>
        <v>0</v>
      </c>
      <c r="CK138" s="338">
        <f>'[1]ТСЖ Народ контроль R'!K127</f>
        <v>615</v>
      </c>
      <c r="CL138" s="338">
        <f>'[1]ТСЖ Народ контроль R'!L127/1000</f>
        <v>12.792</v>
      </c>
      <c r="CM138" s="338">
        <f>'[1]ТСЖ Народ контроль R'!M127/1000</f>
        <v>12.792</v>
      </c>
      <c r="CN138" s="301">
        <f t="shared" si="84"/>
        <v>0</v>
      </c>
      <c r="CO138" s="338">
        <f>'[1]Север-1'!K443</f>
        <v>0</v>
      </c>
      <c r="CP138" s="338">
        <f>'[1]Север-1'!L443/1000</f>
        <v>0</v>
      </c>
      <c r="CQ138" s="338">
        <f>'[1]Север-1'!M443/1000</f>
        <v>0</v>
      </c>
      <c r="CR138" s="301">
        <f t="shared" si="85"/>
        <v>0</v>
      </c>
      <c r="CV138" s="301">
        <f t="shared" si="86"/>
        <v>0</v>
      </c>
      <c r="CW138" s="338">
        <f>'[1]Пр-т Гая'!K530</f>
        <v>171</v>
      </c>
      <c r="CX138" s="338">
        <f>'[1]Пр-т Гая'!L530/1000</f>
        <v>4.5533999999999999</v>
      </c>
      <c r="CY138" s="338">
        <f>'[1]Пр-т Гая'!M530/1000</f>
        <v>4.5533999999999999</v>
      </c>
      <c r="CZ138" s="301">
        <f t="shared" si="87"/>
        <v>0</v>
      </c>
      <c r="DA138" s="338">
        <f>[1]Стасова!K292</f>
        <v>18</v>
      </c>
      <c r="DB138" s="338">
        <f>[1]Стасова!L292/1000</f>
        <v>0.37440000000000001</v>
      </c>
      <c r="DC138" s="338">
        <f>[1]Стасова!M292/1000</f>
        <v>0.37440000000000001</v>
      </c>
      <c r="DD138" s="300">
        <f t="shared" si="115"/>
        <v>0</v>
      </c>
      <c r="DE138" s="338">
        <f>'[1]Мегаполис ТСЖ'!K127</f>
        <v>225</v>
      </c>
      <c r="DF138" s="338">
        <f>'[1]Мегаполис ТСЖ'!L127/1000</f>
        <v>4.68</v>
      </c>
      <c r="DG138" s="338">
        <f>'[1]Мегаполис ТСЖ'!M127/1000</f>
        <v>4.68</v>
      </c>
      <c r="DH138" s="301">
        <f t="shared" si="159"/>
        <v>0</v>
      </c>
      <c r="DL138" s="301">
        <f t="shared" si="139"/>
        <v>0</v>
      </c>
      <c r="DM138" s="338">
        <f>'[1]Альфаком-У'!K328</f>
        <v>3044</v>
      </c>
      <c r="DN138" s="338">
        <f>'[1]Альфаком-У'!L328/1000</f>
        <v>91.733400000000003</v>
      </c>
      <c r="DO138" s="338">
        <f>'[1]Альфаком-У'!M328/1000</f>
        <v>91.733400000000003</v>
      </c>
      <c r="DP138" s="301">
        <f t="shared" si="189"/>
        <v>0</v>
      </c>
      <c r="DT138" s="300">
        <f t="shared" si="89"/>
        <v>0</v>
      </c>
      <c r="DU138" s="338">
        <f>'[1]Альфаком-У-ТСЖ З-2'!K305</f>
        <v>657</v>
      </c>
      <c r="DV138" s="338">
        <f>'[1]Альфаком-У-ТСЖ З-2'!L305/1000</f>
        <v>18.678799999999999</v>
      </c>
      <c r="DW138" s="338">
        <f>'[1]Альфаком-У-ТСЖ З-2'!M305/1000</f>
        <v>18.678799999999999</v>
      </c>
      <c r="DX138" s="301">
        <f t="shared" si="112"/>
        <v>0</v>
      </c>
      <c r="EB138" s="301">
        <f t="shared" si="90"/>
        <v>0</v>
      </c>
      <c r="EF138" s="301">
        <f t="shared" si="91"/>
        <v>0</v>
      </c>
      <c r="EG138" s="338">
        <f>'[1]ООО ЦЭТ'!K479</f>
        <v>330</v>
      </c>
      <c r="EH138" s="338">
        <f>'[1]ООО ЦЭТ'!L479/1000</f>
        <v>6.8639999999999999</v>
      </c>
      <c r="EI138" s="338">
        <f>'[1]ООО ЦЭТ'!M479/1000</f>
        <v>6.8639999999999999</v>
      </c>
      <c r="EJ138" s="301">
        <f t="shared" si="190"/>
        <v>0</v>
      </c>
      <c r="EK138" s="338">
        <f>'[1]ТСЖ Форт'!K127</f>
        <v>0</v>
      </c>
      <c r="EL138" s="338">
        <f>'[1]ТСЖ Форт'!L127/1000</f>
        <v>0</v>
      </c>
      <c r="EM138" s="338">
        <f>'[1]ТСЖ Форт'!M127/1000</f>
        <v>0</v>
      </c>
      <c r="EN138" s="301">
        <f t="shared" si="93"/>
        <v>0</v>
      </c>
      <c r="EO138" s="338">
        <f>'[1]ООО ЖЭК'!K234</f>
        <v>67</v>
      </c>
      <c r="EP138" s="338">
        <f>'[1]ООО ЖЭК'!L234/1000</f>
        <v>1.3936000000000002</v>
      </c>
      <c r="EQ138" s="338">
        <f>'[1]ООО ЖЭК'!M234/1000</f>
        <v>1.3936000000000002</v>
      </c>
      <c r="ER138" s="300">
        <f t="shared" si="94"/>
        <v>0</v>
      </c>
      <c r="ES138" s="338">
        <f>'[1]УК ЖКХ Симбирск'!K466</f>
        <v>52</v>
      </c>
      <c r="ET138" s="338">
        <f>'[1]УК ЖКХ Симбирск'!L466/1000</f>
        <v>1.4137999999999999</v>
      </c>
      <c r="EU138" s="338">
        <f>'[1]УК ЖКХ Симбирск'!M466/1000</f>
        <v>1.4137999999999999</v>
      </c>
      <c r="EV138" s="300">
        <f t="shared" si="95"/>
        <v>0</v>
      </c>
      <c r="EW138" s="338">
        <f>'[1]ООО Наш Дом 010212'!K358</f>
        <v>18</v>
      </c>
      <c r="EX138" s="338">
        <f>'[1]ООО Наш Дом 010212'!L358/1000</f>
        <v>0.64619999999999989</v>
      </c>
      <c r="EY138" s="338">
        <f>'[1]ООО Наш Дом 010212'!M358/1000</f>
        <v>0.64619999999999989</v>
      </c>
      <c r="EZ138" s="301">
        <f t="shared" si="96"/>
        <v>0</v>
      </c>
      <c r="FA138" s="338">
        <f>'[1]ООО Истоки+'!K298</f>
        <v>70</v>
      </c>
      <c r="FB138" s="338">
        <f>'[1]ООО Истоки+'!L298/1000</f>
        <v>1.456</v>
      </c>
      <c r="FC138" s="338">
        <f>'[1]ООО Истоки+'!M298/1000</f>
        <v>1.456</v>
      </c>
      <c r="FD138" s="301">
        <f t="shared" si="97"/>
        <v>0</v>
      </c>
      <c r="FE138" s="338">
        <f>'[1]ООО ЖКиСР УправДом'!K435</f>
        <v>1</v>
      </c>
      <c r="FF138" s="338">
        <f>'[1]ООО ЖКиСР УправДом'!L435/1000</f>
        <v>2.0799999999999999E-2</v>
      </c>
      <c r="FG138" s="338">
        <f>'[1]ООО ЖКиСР УправДом'!M435/1000</f>
        <v>2.0799999999999999E-2</v>
      </c>
      <c r="FH138" s="301">
        <f t="shared" si="191"/>
        <v>0</v>
      </c>
      <c r="FL138" s="301">
        <f t="shared" si="113"/>
        <v>0</v>
      </c>
      <c r="FM138" s="338">
        <v>0</v>
      </c>
      <c r="FN138" s="338">
        <v>0</v>
      </c>
      <c r="FO138" s="338">
        <v>0</v>
      </c>
      <c r="FP138" s="301">
        <f t="shared" si="108"/>
        <v>0</v>
      </c>
      <c r="FQ138" s="338">
        <f>'[1]ООО ЖКХ Лен-го района'!K411</f>
        <v>17</v>
      </c>
      <c r="FR138" s="338">
        <f>'[1]ООО ЖКХ Лен-го района'!L411/1000</f>
        <v>0.35360000000000003</v>
      </c>
      <c r="FS138" s="338">
        <f>'[1]ООО ЖКХ Лен-го района'!M411/1000</f>
        <v>0.35360000000000003</v>
      </c>
      <c r="FT138" s="301">
        <f t="shared" si="99"/>
        <v>0</v>
      </c>
      <c r="FU138" s="338">
        <f>'[1]ООО УК КПД-1'!K150</f>
        <v>0</v>
      </c>
      <c r="FV138" s="338">
        <f>'[1]ООО УК КПД-1'!L150/1000</f>
        <v>0</v>
      </c>
      <c r="FW138" s="338">
        <f>'[1]ООО УК КПД-1'!M150/1000</f>
        <v>0</v>
      </c>
      <c r="FX138" s="301">
        <f t="shared" si="173"/>
        <v>0</v>
      </c>
      <c r="FY138" s="338">
        <f>'[1]ООО КПД-2 Жилсервис'!K135</f>
        <v>0</v>
      </c>
      <c r="FZ138" s="338">
        <f>'[1]ООО КПД-2 Жилсервис'!L135/1000</f>
        <v>0</v>
      </c>
      <c r="GA138" s="338">
        <f>'[1]ООО КПД-2 Жилсервис'!M135/1000</f>
        <v>0</v>
      </c>
      <c r="GB138" s="301">
        <f t="shared" si="101"/>
        <v>0</v>
      </c>
      <c r="GC138" s="338">
        <f>'[1]ООО УК ЦЭТ'!K446</f>
        <v>81</v>
      </c>
      <c r="GD138" s="338">
        <f>'[1]ООО УК ЦЭТ'!L446/1000</f>
        <v>1.6847999999999999</v>
      </c>
      <c r="GE138" s="338">
        <f>'[1]ООО УК ЦЭТ'!M446/1000</f>
        <v>1.6847999999999999</v>
      </c>
      <c r="GF138" s="301">
        <f t="shared" si="174"/>
        <v>0</v>
      </c>
      <c r="GJ138" s="301">
        <f t="shared" si="179"/>
        <v>0</v>
      </c>
      <c r="GN138" s="301">
        <f t="shared" si="103"/>
        <v>0</v>
      </c>
      <c r="GR138" s="301">
        <f t="shared" si="180"/>
        <v>0</v>
      </c>
      <c r="GS138" s="338">
        <f>'[1]ООО УК КПД-1'!AI150</f>
        <v>0</v>
      </c>
      <c r="GT138" s="338">
        <f>'[1]ООО УК КПД-1'!AJ150/1000</f>
        <v>0</v>
      </c>
      <c r="GU138" s="338">
        <f>'[1]ООО УК КПД-1'!AK150/1000</f>
        <v>0</v>
      </c>
      <c r="GV138" s="301">
        <f t="shared" si="105"/>
        <v>0</v>
      </c>
      <c r="GZ138" s="301">
        <f t="shared" si="150"/>
        <v>0</v>
      </c>
      <c r="HA138" s="328"/>
      <c r="HB138" s="358"/>
      <c r="HC138" s="357"/>
      <c r="HD138" s="357"/>
      <c r="HE138" s="357"/>
      <c r="HF138" s="357"/>
      <c r="HG138" s="357"/>
      <c r="HH138" s="357"/>
      <c r="HI138" s="357"/>
      <c r="HJ138" s="357"/>
      <c r="HK138" s="357"/>
      <c r="HL138" s="357"/>
      <c r="HM138" s="357"/>
      <c r="HN138" s="357"/>
      <c r="HO138" s="286"/>
      <c r="HP138" s="286"/>
      <c r="HQ138" s="286"/>
      <c r="HR138" s="286"/>
      <c r="HS138" s="306"/>
      <c r="HT138" s="306"/>
      <c r="HU138" s="306"/>
      <c r="HV138" s="306"/>
      <c r="HW138" s="286"/>
      <c r="HX138" s="286"/>
      <c r="HY138" s="286"/>
      <c r="HZ138" s="286"/>
      <c r="IA138" s="286"/>
      <c r="IB138" s="286"/>
      <c r="IC138" s="286"/>
      <c r="ID138" s="286"/>
      <c r="IE138" s="286"/>
      <c r="IF138" s="286"/>
      <c r="IG138" s="286"/>
      <c r="IH138" s="286"/>
      <c r="II138" s="286"/>
      <c r="IJ138" s="286"/>
      <c r="IK138" s="286"/>
      <c r="IL138" s="286"/>
      <c r="IM138" s="286"/>
      <c r="IN138" s="286"/>
      <c r="IO138" s="286"/>
      <c r="IP138" s="286"/>
      <c r="IQ138" s="286"/>
      <c r="IR138" s="286"/>
      <c r="IS138" s="286"/>
      <c r="IT138" s="286"/>
      <c r="IU138" s="286"/>
      <c r="IV138" s="286"/>
    </row>
    <row r="139" spans="1:256" s="338" customFormat="1" ht="13.5" hidden="1" customHeight="1">
      <c r="A139" s="909"/>
      <c r="B139" s="341"/>
      <c r="C139" s="445" t="s">
        <v>267</v>
      </c>
      <c r="D139" s="446" t="s">
        <v>266</v>
      </c>
      <c r="E139" s="299">
        <f t="shared" si="192"/>
        <v>6101</v>
      </c>
      <c r="F139" s="299">
        <f t="shared" si="192"/>
        <v>219.63600000000002</v>
      </c>
      <c r="G139" s="299">
        <f t="shared" si="192"/>
        <v>219.63600000000002</v>
      </c>
      <c r="H139" s="299">
        <f t="shared" si="192"/>
        <v>0</v>
      </c>
      <c r="I139" s="338">
        <f>'[1]ГК РЭС'!K143</f>
        <v>21</v>
      </c>
      <c r="J139" s="338">
        <f>'[1]ГК РЭС'!L143/1000</f>
        <v>0.75600000000000001</v>
      </c>
      <c r="K139" s="338">
        <f>'[1]ГК РЭС'!M143/1000</f>
        <v>0.75600000000000001</v>
      </c>
      <c r="L139" s="301">
        <f t="shared" si="146"/>
        <v>0</v>
      </c>
      <c r="P139" s="301">
        <f t="shared" si="185"/>
        <v>0</v>
      </c>
      <c r="T139" s="301">
        <f t="shared" si="148"/>
        <v>0</v>
      </c>
      <c r="X139" s="301">
        <f t="shared" si="154"/>
        <v>0</v>
      </c>
      <c r="Y139" s="338">
        <f>'[1]ООО ЖСС'!K170</f>
        <v>1069</v>
      </c>
      <c r="Z139" s="338">
        <f>'[1]ООО ЖСС'!L170/1000</f>
        <v>38.484000000000002</v>
      </c>
      <c r="AA139" s="338">
        <f>'[1]ООО ЖСС'!M170/1000</f>
        <v>38.484000000000002</v>
      </c>
      <c r="AB139" s="301">
        <f t="shared" si="127"/>
        <v>0</v>
      </c>
      <c r="AC139" s="338">
        <f>[1]МегаЛинк!K199</f>
        <v>463</v>
      </c>
      <c r="AD139" s="338">
        <f>[1]МегаЛинк!L199/1000</f>
        <v>16.667999999999999</v>
      </c>
      <c r="AE139" s="338">
        <f>[1]МегаЛинк!M199/1000</f>
        <v>16.667999999999999</v>
      </c>
      <c r="AF139" s="300">
        <f t="shared" si="152"/>
        <v>0</v>
      </c>
      <c r="AG139" s="338">
        <f>[1]Вымпел!K127</f>
        <v>147</v>
      </c>
      <c r="AH139" s="338">
        <f>[1]Вымпел!L127/1000</f>
        <v>5.2919999999999998</v>
      </c>
      <c r="AI139" s="338">
        <f>[1]Вымпел!M127/1000</f>
        <v>5.2919999999999998</v>
      </c>
      <c r="AJ139" s="300">
        <f t="shared" si="128"/>
        <v>0</v>
      </c>
      <c r="AK139" s="338">
        <f>'[1]ООО РЭС'!K196</f>
        <v>1351</v>
      </c>
      <c r="AL139" s="338">
        <f>'[1]ООО РЭС'!L196/1000</f>
        <v>48.636000000000003</v>
      </c>
      <c r="AM139" s="338">
        <f>'[1]ООО РЭС'!M196/1000</f>
        <v>48.636000000000003</v>
      </c>
      <c r="AN139" s="301">
        <f t="shared" si="129"/>
        <v>0</v>
      </c>
      <c r="AR139" s="300">
        <f t="shared" si="120"/>
        <v>0</v>
      </c>
      <c r="AV139" s="301">
        <f t="shared" si="130"/>
        <v>0</v>
      </c>
      <c r="AW139" s="338">
        <f>'[1]Ульяновский _2 ТСЖ'!K126</f>
        <v>0</v>
      </c>
      <c r="AX139" s="338">
        <f>'[1]Ульяновский _2 ТСЖ'!L126/1000</f>
        <v>0</v>
      </c>
      <c r="AY139" s="338">
        <f>'[1]Ульяновский _2 ТСЖ'!M126/1000</f>
        <v>0</v>
      </c>
      <c r="AZ139" s="301">
        <f t="shared" si="131"/>
        <v>0</v>
      </c>
      <c r="BA139" s="338">
        <f>'[1]ДоМ ТСЖ'!K125</f>
        <v>53</v>
      </c>
      <c r="BB139" s="338">
        <f>'[1]ДоМ ТСЖ'!L125/1000</f>
        <v>1.9079999999999999</v>
      </c>
      <c r="BC139" s="338">
        <f>'[1]ДоМ ТСЖ'!M125/1000</f>
        <v>1.9079999999999999</v>
      </c>
      <c r="BD139" s="301">
        <f t="shared" si="132"/>
        <v>0</v>
      </c>
      <c r="BE139" s="338">
        <f>'[1]ООО ТехноГрад'!K130</f>
        <v>48</v>
      </c>
      <c r="BF139" s="338">
        <f>'[1]ООО ТехноГрад'!L130/1000</f>
        <v>1.728</v>
      </c>
      <c r="BG139" s="338">
        <f>'[1]ООО ТехноГрад'!M130/1000</f>
        <v>1.728</v>
      </c>
      <c r="BH139" s="301">
        <f t="shared" si="149"/>
        <v>0</v>
      </c>
      <c r="BL139" s="301">
        <f t="shared" si="133"/>
        <v>0</v>
      </c>
      <c r="BP139" s="301">
        <f t="shared" si="134"/>
        <v>0</v>
      </c>
      <c r="BT139" s="301">
        <f t="shared" si="135"/>
        <v>0</v>
      </c>
      <c r="BX139" s="301">
        <f t="shared" si="137"/>
        <v>0</v>
      </c>
      <c r="CB139" s="301">
        <f t="shared" si="138"/>
        <v>0</v>
      </c>
      <c r="CF139" s="300">
        <f t="shared" si="107"/>
        <v>0</v>
      </c>
      <c r="CG139" s="338">
        <f>'[1]УК ЖСС'!K200</f>
        <v>2907</v>
      </c>
      <c r="CH139" s="338">
        <f>'[1]УК ЖСС'!L200/1000</f>
        <v>104.652</v>
      </c>
      <c r="CI139" s="338">
        <f>'[1]УК ЖСС'!M200/1000</f>
        <v>104.652</v>
      </c>
      <c r="CJ139" s="301">
        <f t="shared" si="122"/>
        <v>0</v>
      </c>
      <c r="CN139" s="301">
        <f t="shared" ref="CN139:CN144" si="193">CM139-CL139</f>
        <v>0</v>
      </c>
      <c r="CR139" s="301">
        <f t="shared" ref="CR139:CR148" si="194">CQ139-CP139</f>
        <v>0</v>
      </c>
      <c r="CV139" s="301">
        <f t="shared" ref="CV139:CV146" si="195">CU139-CT139</f>
        <v>0</v>
      </c>
      <c r="CZ139" s="301">
        <f t="shared" ref="CZ139:CZ145" si="196">CY139-CX139</f>
        <v>0</v>
      </c>
      <c r="DD139" s="300">
        <f t="shared" si="115"/>
        <v>0</v>
      </c>
      <c r="DH139" s="301">
        <f t="shared" si="159"/>
        <v>0</v>
      </c>
      <c r="DL139" s="301">
        <f t="shared" si="139"/>
        <v>0</v>
      </c>
      <c r="DP139" s="301">
        <f t="shared" si="189"/>
        <v>0</v>
      </c>
      <c r="DT139" s="300">
        <f t="shared" ref="DT139:DT148" si="197">DS139-DR139</f>
        <v>0</v>
      </c>
      <c r="DX139" s="301">
        <f t="shared" si="112"/>
        <v>0</v>
      </c>
      <c r="DY139" s="338">
        <f>'[1]ЖСК Электромаш'!K127</f>
        <v>42</v>
      </c>
      <c r="DZ139" s="338">
        <f>'[1]ЖСК Электромаш'!L127/1000</f>
        <v>1.512</v>
      </c>
      <c r="EA139" s="338">
        <f>'[1]ЖСК Электромаш'!M127/1000</f>
        <v>1.512</v>
      </c>
      <c r="EB139" s="301">
        <f t="shared" ref="EB139:EB147" si="198">EA139-DZ139</f>
        <v>0</v>
      </c>
      <c r="EC139" s="338">
        <f>'[1]ЗАО Авиастар-СП'!K127</f>
        <v>0</v>
      </c>
      <c r="ED139" s="338">
        <f>'[1]ЗАО Авиастар-СП'!L127/1000</f>
        <v>0</v>
      </c>
      <c r="EE139" s="338">
        <f>'[1]ЗАО Авиастар-СП'!M127/1000</f>
        <v>0</v>
      </c>
      <c r="EF139" s="301">
        <f>EE139-ED139</f>
        <v>0</v>
      </c>
      <c r="EJ139" s="301">
        <f t="shared" si="190"/>
        <v>0</v>
      </c>
      <c r="EN139" s="301">
        <f t="shared" ref="EN139:EN148" si="199">EM139-EL139</f>
        <v>0</v>
      </c>
      <c r="ER139" s="300">
        <f t="shared" ref="ER139:ER148" si="200">EQ139-EP139</f>
        <v>0</v>
      </c>
      <c r="EV139" s="300">
        <f t="shared" ref="EV139:EV148" si="201">EU139-ET139</f>
        <v>0</v>
      </c>
      <c r="EZ139" s="301">
        <f t="shared" ref="EZ139:EZ148" si="202">EY139-EX139</f>
        <v>0</v>
      </c>
      <c r="FD139" s="301">
        <f t="shared" ref="FD139:FD148" si="203">FC139-FB139</f>
        <v>0</v>
      </c>
      <c r="FH139" s="301">
        <f t="shared" si="191"/>
        <v>0</v>
      </c>
      <c r="FI139" s="338">
        <f>'[1]ТСЖ Малахит'!K124</f>
        <v>0</v>
      </c>
      <c r="FJ139" s="338">
        <f>'[1]ТСЖ Малахит'!L124/1000</f>
        <v>0</v>
      </c>
      <c r="FK139" s="338">
        <f>'[1]ТСЖ Малахит'!M124/1000</f>
        <v>0</v>
      </c>
      <c r="FL139" s="301">
        <f t="shared" si="113"/>
        <v>0</v>
      </c>
      <c r="FP139" s="301">
        <f t="shared" si="108"/>
        <v>0</v>
      </c>
      <c r="FT139" s="301">
        <f t="shared" ref="FT139:FT144" si="204">FS139-FR139</f>
        <v>0</v>
      </c>
      <c r="FX139" s="301">
        <f t="shared" si="173"/>
        <v>0</v>
      </c>
      <c r="GB139" s="301">
        <f t="shared" ref="GB139:GB148" si="205">GA139-FZ139</f>
        <v>0</v>
      </c>
      <c r="GF139" s="301">
        <f t="shared" si="174"/>
        <v>0</v>
      </c>
      <c r="GJ139" s="301">
        <f t="shared" si="179"/>
        <v>0</v>
      </c>
      <c r="GN139" s="301">
        <f t="shared" si="103"/>
        <v>0</v>
      </c>
      <c r="GR139" s="301">
        <f t="shared" si="180"/>
        <v>0</v>
      </c>
      <c r="GV139" s="301">
        <f t="shared" si="105"/>
        <v>0</v>
      </c>
      <c r="GZ139" s="301">
        <f t="shared" si="150"/>
        <v>0</v>
      </c>
      <c r="HA139" s="328"/>
      <c r="HB139" s="358"/>
      <c r="HC139" s="425"/>
      <c r="HD139" s="357"/>
      <c r="HE139" s="357"/>
      <c r="HF139" s="357"/>
      <c r="HG139" s="357"/>
      <c r="HH139" s="357"/>
      <c r="HI139" s="357"/>
      <c r="HJ139" s="357"/>
      <c r="HK139" s="357"/>
      <c r="HL139" s="357"/>
      <c r="HM139" s="357"/>
      <c r="HN139" s="357"/>
      <c r="HO139" s="286"/>
      <c r="HP139" s="286"/>
      <c r="HQ139" s="286"/>
      <c r="HR139" s="286"/>
      <c r="HS139" s="306"/>
      <c r="HT139" s="306"/>
      <c r="HU139" s="306"/>
      <c r="HV139" s="306"/>
      <c r="HW139" s="286"/>
      <c r="HX139" s="286"/>
      <c r="HY139" s="286"/>
      <c r="HZ139" s="286"/>
      <c r="IA139" s="286"/>
      <c r="IB139" s="286"/>
      <c r="IC139" s="286"/>
      <c r="ID139" s="286"/>
      <c r="IE139" s="286"/>
      <c r="IF139" s="286"/>
      <c r="IG139" s="286"/>
      <c r="IH139" s="286"/>
      <c r="II139" s="286"/>
      <c r="IJ139" s="286"/>
      <c r="IK139" s="286"/>
      <c r="IL139" s="286"/>
      <c r="IM139" s="286"/>
      <c r="IN139" s="286"/>
      <c r="IO139" s="286"/>
      <c r="IP139" s="286"/>
      <c r="IQ139" s="286"/>
      <c r="IR139" s="286"/>
      <c r="IS139" s="286"/>
      <c r="IT139" s="286"/>
      <c r="IU139" s="286"/>
      <c r="IV139" s="286"/>
    </row>
    <row r="140" spans="1:256" s="338" customFormat="1" ht="13.5" hidden="1" customHeight="1">
      <c r="A140" s="909"/>
      <c r="B140" s="441"/>
      <c r="C140" s="447" t="s">
        <v>268</v>
      </c>
      <c r="D140" s="443" t="s">
        <v>266</v>
      </c>
      <c r="E140" s="299">
        <f t="shared" si="192"/>
        <v>594</v>
      </c>
      <c r="F140" s="299">
        <f t="shared" si="192"/>
        <v>21.3246</v>
      </c>
      <c r="G140" s="299">
        <f t="shared" si="192"/>
        <v>21.3246</v>
      </c>
      <c r="H140" s="299">
        <f t="shared" si="192"/>
        <v>0</v>
      </c>
      <c r="L140" s="301">
        <f t="shared" si="146"/>
        <v>0</v>
      </c>
      <c r="P140" s="301">
        <f t="shared" si="185"/>
        <v>0</v>
      </c>
      <c r="T140" s="301">
        <f t="shared" si="148"/>
        <v>0</v>
      </c>
      <c r="U140" s="338">
        <f>'[1]ОАО ДК Заволж р-на'!K463</f>
        <v>431</v>
      </c>
      <c r="V140" s="338">
        <f>'[1]ОАО ДК Заволж р-на'!L463/1000</f>
        <v>15.472899999999999</v>
      </c>
      <c r="W140" s="338">
        <f>'[1]ОАО ДК Заволж р-на'!M463/1000</f>
        <v>15.472899999999999</v>
      </c>
      <c r="X140" s="301">
        <f t="shared" si="154"/>
        <v>0</v>
      </c>
      <c r="AB140" s="301">
        <f t="shared" si="127"/>
        <v>0</v>
      </c>
      <c r="AC140" s="338">
        <f>[1]МегаЛинк!K203</f>
        <v>59</v>
      </c>
      <c r="AD140" s="338">
        <f>[1]МегаЛинк!L203/1000</f>
        <v>2.1181000000000001</v>
      </c>
      <c r="AE140" s="338">
        <f>[1]МегаЛинк!M203/1000</f>
        <v>2.1181000000000001</v>
      </c>
      <c r="AF140" s="300">
        <f t="shared" si="152"/>
        <v>0</v>
      </c>
      <c r="AJ140" s="300">
        <f t="shared" si="128"/>
        <v>0</v>
      </c>
      <c r="AN140" s="301">
        <f t="shared" si="129"/>
        <v>0</v>
      </c>
      <c r="AR140" s="300">
        <f t="shared" si="120"/>
        <v>0</v>
      </c>
      <c r="AV140" s="301">
        <f t="shared" si="130"/>
        <v>0</v>
      </c>
      <c r="AZ140" s="301">
        <f t="shared" si="131"/>
        <v>0</v>
      </c>
      <c r="BD140" s="301">
        <f t="shared" si="132"/>
        <v>0</v>
      </c>
      <c r="BH140" s="301">
        <f t="shared" si="149"/>
        <v>0</v>
      </c>
      <c r="BI140" s="338">
        <f>[1]СМУ!K357</f>
        <v>16</v>
      </c>
      <c r="BJ140" s="338">
        <f>[1]СМУ!L357/1000</f>
        <v>0.57440000000000002</v>
      </c>
      <c r="BK140" s="338">
        <f>[1]СМУ!M357/1000</f>
        <v>0.57440000000000002</v>
      </c>
      <c r="BL140" s="301">
        <f t="shared" si="133"/>
        <v>0</v>
      </c>
      <c r="BM140" s="338">
        <f>'[1]Евро-Строй-Сервис'!K197</f>
        <v>88</v>
      </c>
      <c r="BN140" s="338">
        <f>'[1]Евро-Строй-Сервис'!L197/1000</f>
        <v>3.1591999999999998</v>
      </c>
      <c r="BO140" s="338">
        <f>'[1]Евро-Строй-Сервис'!M197/1000</f>
        <v>3.1591999999999998</v>
      </c>
      <c r="BP140" s="301">
        <f t="shared" si="134"/>
        <v>0</v>
      </c>
      <c r="BT140" s="301">
        <f t="shared" si="135"/>
        <v>0</v>
      </c>
      <c r="BX140" s="301">
        <f t="shared" si="137"/>
        <v>0</v>
      </c>
      <c r="CB140" s="301">
        <f t="shared" si="138"/>
        <v>0</v>
      </c>
      <c r="CC140" s="338">
        <f>[1]СУК!K127</f>
        <v>0</v>
      </c>
      <c r="CD140" s="338">
        <f>[1]СУК!L127/1000</f>
        <v>0</v>
      </c>
      <c r="CE140" s="338">
        <f>[1]СУК!M127/1000</f>
        <v>0</v>
      </c>
      <c r="CF140" s="300">
        <f t="shared" si="107"/>
        <v>0</v>
      </c>
      <c r="CJ140" s="301">
        <f t="shared" si="122"/>
        <v>0</v>
      </c>
      <c r="CN140" s="301">
        <f t="shared" si="193"/>
        <v>0</v>
      </c>
      <c r="CR140" s="301">
        <f t="shared" si="194"/>
        <v>0</v>
      </c>
      <c r="CV140" s="301">
        <f t="shared" si="195"/>
        <v>0</v>
      </c>
      <c r="CZ140" s="301">
        <f t="shared" si="196"/>
        <v>0</v>
      </c>
      <c r="DD140" s="300">
        <f t="shared" si="115"/>
        <v>0</v>
      </c>
      <c r="DH140" s="301">
        <f t="shared" si="159"/>
        <v>0</v>
      </c>
      <c r="DL140" s="301">
        <f t="shared" si="139"/>
        <v>0</v>
      </c>
      <c r="DP140" s="301">
        <f t="shared" si="189"/>
        <v>0</v>
      </c>
      <c r="DT140" s="300">
        <f t="shared" si="197"/>
        <v>0</v>
      </c>
      <c r="DX140" s="301">
        <f t="shared" si="112"/>
        <v>0</v>
      </c>
      <c r="EB140" s="301">
        <f t="shared" si="198"/>
        <v>0</v>
      </c>
      <c r="EF140" s="301">
        <f>EE140-ED140</f>
        <v>0</v>
      </c>
      <c r="EJ140" s="301">
        <f t="shared" si="190"/>
        <v>0</v>
      </c>
      <c r="EN140" s="301">
        <f t="shared" si="199"/>
        <v>0</v>
      </c>
      <c r="ER140" s="300">
        <f t="shared" si="200"/>
        <v>0</v>
      </c>
      <c r="EV140" s="300">
        <f t="shared" si="201"/>
        <v>0</v>
      </c>
      <c r="EZ140" s="301">
        <f t="shared" si="202"/>
        <v>0</v>
      </c>
      <c r="FD140" s="301">
        <f t="shared" si="203"/>
        <v>0</v>
      </c>
      <c r="FH140" s="301">
        <f t="shared" si="191"/>
        <v>0</v>
      </c>
      <c r="FL140" s="301">
        <f t="shared" si="113"/>
        <v>0</v>
      </c>
      <c r="FP140" s="301">
        <f t="shared" ref="FP140:FP148" si="206">FO140-FN140</f>
        <v>0</v>
      </c>
      <c r="FT140" s="301">
        <f t="shared" si="204"/>
        <v>0</v>
      </c>
      <c r="FX140" s="301">
        <f t="shared" si="173"/>
        <v>0</v>
      </c>
      <c r="GB140" s="301">
        <f t="shared" si="205"/>
        <v>0</v>
      </c>
      <c r="GF140" s="301">
        <f t="shared" si="174"/>
        <v>0</v>
      </c>
      <c r="GJ140" s="301">
        <f t="shared" si="179"/>
        <v>0</v>
      </c>
      <c r="GN140" s="301">
        <f t="shared" si="103"/>
        <v>0</v>
      </c>
      <c r="GR140" s="301">
        <f t="shared" si="180"/>
        <v>0</v>
      </c>
      <c r="GV140" s="301">
        <f t="shared" ref="GV140:GV148" si="207">GU140-GT140</f>
        <v>0</v>
      </c>
      <c r="GZ140" s="301">
        <f t="shared" si="150"/>
        <v>0</v>
      </c>
      <c r="HA140" s="328"/>
      <c r="HB140" s="339"/>
      <c r="HC140" s="305"/>
      <c r="HD140" s="286"/>
      <c r="HE140" s="286"/>
      <c r="HF140" s="286"/>
      <c r="HG140" s="286"/>
      <c r="HH140" s="286"/>
      <c r="HI140" s="286"/>
      <c r="HJ140" s="286"/>
      <c r="HK140" s="286"/>
      <c r="HL140" s="286"/>
      <c r="HM140" s="286"/>
      <c r="HN140" s="357"/>
      <c r="HO140" s="286"/>
      <c r="HP140" s="286"/>
      <c r="HQ140" s="286"/>
      <c r="HR140" s="286"/>
      <c r="HS140" s="306"/>
      <c r="HT140" s="306"/>
      <c r="HU140" s="306"/>
      <c r="HV140" s="306"/>
      <c r="HW140" s="286"/>
      <c r="HX140" s="286"/>
      <c r="HY140" s="286"/>
      <c r="HZ140" s="286"/>
      <c r="IA140" s="286"/>
      <c r="IB140" s="286"/>
      <c r="IC140" s="286"/>
      <c r="ID140" s="286"/>
      <c r="IE140" s="286"/>
      <c r="IF140" s="286"/>
      <c r="IG140" s="286"/>
      <c r="IH140" s="286"/>
      <c r="II140" s="286"/>
      <c r="IJ140" s="286"/>
      <c r="IK140" s="286"/>
      <c r="IL140" s="286"/>
      <c r="IM140" s="286"/>
      <c r="IN140" s="286"/>
      <c r="IO140" s="286"/>
      <c r="IP140" s="286"/>
      <c r="IQ140" s="286"/>
      <c r="IR140" s="286"/>
      <c r="IS140" s="286"/>
      <c r="IT140" s="286"/>
      <c r="IU140" s="286"/>
      <c r="IV140" s="286"/>
    </row>
    <row r="141" spans="1:256" ht="13.5" hidden="1" customHeight="1">
      <c r="A141" s="394">
        <f>A137+1</f>
        <v>16</v>
      </c>
      <c r="B141" s="396" t="s">
        <v>269</v>
      </c>
      <c r="C141" s="396"/>
      <c r="D141" s="367" t="s">
        <v>270</v>
      </c>
      <c r="E141" s="299">
        <f t="shared" si="192"/>
        <v>6806</v>
      </c>
      <c r="F141" s="299">
        <f t="shared" si="192"/>
        <v>340.30000000000007</v>
      </c>
      <c r="G141" s="299">
        <f t="shared" si="192"/>
        <v>340.30000000000007</v>
      </c>
      <c r="H141" s="299">
        <f t="shared" si="192"/>
        <v>0</v>
      </c>
      <c r="I141" s="301">
        <f>'[1]ГК РЭС'!K148</f>
        <v>1</v>
      </c>
      <c r="J141" s="301">
        <f>'[1]ГК РЭС'!L148/1000</f>
        <v>0.05</v>
      </c>
      <c r="K141" s="301">
        <f>'[1]ГК РЭС'!M148/1000</f>
        <v>0.05</v>
      </c>
      <c r="L141" s="301">
        <f t="shared" si="146"/>
        <v>0</v>
      </c>
      <c r="M141" s="301">
        <f>'[1]УМУП УК ЖКХ г.Ульяновска'!K403</f>
        <v>0</v>
      </c>
      <c r="N141" s="301">
        <f>'[1]УМУП УК ЖКХ г.Ульяновска'!L403/1000</f>
        <v>0</v>
      </c>
      <c r="O141" s="301">
        <f>'[1]УМУП УК ЖКХ г.Ульяновска'!M403/1000</f>
        <v>0</v>
      </c>
      <c r="P141" s="301">
        <f t="shared" si="185"/>
        <v>0</v>
      </c>
      <c r="Q141" s="301">
        <f>'[1]ОАО ДК Засвияжье 1'!K438</f>
        <v>783</v>
      </c>
      <c r="R141" s="301">
        <f>'[1]ОАО ДК Засвияжье 1'!L438/1000</f>
        <v>39.15</v>
      </c>
      <c r="S141" s="301">
        <f>'[1]ОАО ДК Засвияжье 1'!M438/1000</f>
        <v>39.15</v>
      </c>
      <c r="T141" s="301">
        <f t="shared" si="148"/>
        <v>0</v>
      </c>
      <c r="U141" s="301">
        <f>'[1]ОАО ДК Заволж р-на'!K470</f>
        <v>264</v>
      </c>
      <c r="V141" s="301">
        <f>'[1]ОАО ДК Заволж р-на'!L470/1000</f>
        <v>13.2</v>
      </c>
      <c r="W141" s="301">
        <f>'[1]ОАО ДК Заволж р-на'!M470/1000</f>
        <v>13.2</v>
      </c>
      <c r="X141" s="301">
        <f t="shared" si="154"/>
        <v>0</v>
      </c>
      <c r="Y141" s="301">
        <f>'[1]ООО ЖСС'!K175</f>
        <v>232</v>
      </c>
      <c r="Z141" s="301">
        <f>'[1]ООО ЖСС'!L175/1000</f>
        <v>11.6</v>
      </c>
      <c r="AA141" s="301">
        <f>'[1]ООО ЖСС'!M175/1000</f>
        <v>11.6</v>
      </c>
      <c r="AB141" s="301">
        <f t="shared" si="127"/>
        <v>0</v>
      </c>
      <c r="AC141" s="301">
        <f>[1]МегаЛинк!K210</f>
        <v>132</v>
      </c>
      <c r="AD141" s="301">
        <f>[1]МегаЛинк!L210/1000</f>
        <v>6.6</v>
      </c>
      <c r="AE141" s="301">
        <f>[1]МегаЛинк!M210/1000</f>
        <v>6.6</v>
      </c>
      <c r="AF141" s="300">
        <f t="shared" si="152"/>
        <v>0</v>
      </c>
      <c r="AG141" s="301">
        <f>[1]Вымпел!K132</f>
        <v>23</v>
      </c>
      <c r="AH141" s="301">
        <f>[1]Вымпел!L132/1000</f>
        <v>1.1499999999999999</v>
      </c>
      <c r="AI141" s="301">
        <f>[1]Вымпел!M132/1000</f>
        <v>1.1499999999999999</v>
      </c>
      <c r="AJ141" s="300">
        <f t="shared" si="128"/>
        <v>0</v>
      </c>
      <c r="AK141" s="301">
        <f>'[1]ООО РЭС'!K201</f>
        <v>456</v>
      </c>
      <c r="AL141" s="301">
        <f>'[1]ООО РЭС'!L201/1000</f>
        <v>22.8</v>
      </c>
      <c r="AM141" s="301">
        <f>'[1]ООО РЭС'!M201/1000</f>
        <v>22.8</v>
      </c>
      <c r="AN141" s="301">
        <f t="shared" si="129"/>
        <v>0</v>
      </c>
      <c r="AO141" s="301">
        <f>'[1]ЗАО ГК Аметист'!K512</f>
        <v>1538</v>
      </c>
      <c r="AP141" s="301">
        <f>'[1]ЗАО ГК Аметист'!L512/1000</f>
        <v>76.900000000000006</v>
      </c>
      <c r="AQ141" s="301">
        <f>'[1]ЗАО ГК Аметист'!M512/1000</f>
        <v>76.900000000000006</v>
      </c>
      <c r="AR141" s="300">
        <f t="shared" si="120"/>
        <v>0</v>
      </c>
      <c r="AS141" s="301">
        <f>'[1]Фундамент СК ООО'!K324</f>
        <v>373</v>
      </c>
      <c r="AT141" s="301">
        <f>'[1]Фундамент СК ООО'!L324/1000</f>
        <v>18.649999999999999</v>
      </c>
      <c r="AU141" s="301">
        <f>'[1]Фундамент СК ООО'!M324/1000</f>
        <v>18.649999999999999</v>
      </c>
      <c r="AV141" s="301">
        <f t="shared" si="130"/>
        <v>0</v>
      </c>
      <c r="AW141" s="301">
        <f>'[1]Ульяновский _2 ТСЖ'!K131</f>
        <v>12</v>
      </c>
      <c r="AX141" s="301">
        <f>'[1]Ульяновский _2 ТСЖ'!L131/1000</f>
        <v>0.6</v>
      </c>
      <c r="AY141" s="301">
        <f>'[1]Ульяновский _2 ТСЖ'!M131/1000</f>
        <v>0.6</v>
      </c>
      <c r="AZ141" s="301">
        <f>AY141-AX141</f>
        <v>0</v>
      </c>
      <c r="BA141" s="301">
        <f>'[1]ДоМ ТСЖ'!K131</f>
        <v>19</v>
      </c>
      <c r="BB141" s="301">
        <f>'[1]ДоМ ТСЖ'!L131/1000</f>
        <v>0.95</v>
      </c>
      <c r="BC141" s="301">
        <f>'[1]ДоМ ТСЖ'!M131/1000</f>
        <v>0.95</v>
      </c>
      <c r="BD141" s="301">
        <f t="shared" si="132"/>
        <v>0</v>
      </c>
      <c r="BE141" s="301">
        <f>'[1]ООО ТехноГрад'!K135</f>
        <v>11</v>
      </c>
      <c r="BF141" s="301">
        <f>'[1]ООО ТехноГрад'!L135/1000</f>
        <v>0.55000000000000004</v>
      </c>
      <c r="BG141" s="301">
        <f>'[1]ООО ТехноГрад'!M135/1000</f>
        <v>0.55000000000000004</v>
      </c>
      <c r="BH141" s="301">
        <f t="shared" si="149"/>
        <v>0</v>
      </c>
      <c r="BI141" s="301">
        <f>[1]СМУ!K365</f>
        <v>102</v>
      </c>
      <c r="BJ141" s="301">
        <f>[1]СМУ!L365/1000</f>
        <v>5.0999999999999996</v>
      </c>
      <c r="BK141" s="301">
        <f>[1]СМУ!M365/1000</f>
        <v>5.0999999999999996</v>
      </c>
      <c r="BL141" s="301">
        <f t="shared" si="133"/>
        <v>0</v>
      </c>
      <c r="BM141" s="301">
        <f>'[1]Евро-Строй-Сервис'!K203</f>
        <v>51</v>
      </c>
      <c r="BN141" s="301">
        <f>'[1]Евро-Строй-Сервис'!L203/1000</f>
        <v>2.5499999999999998</v>
      </c>
      <c r="BO141" s="301">
        <f>'[1]Евро-Строй-Сервис'!M203/1000</f>
        <v>2.5499999999999998</v>
      </c>
      <c r="BP141" s="301">
        <f t="shared" si="134"/>
        <v>0</v>
      </c>
      <c r="BQ141" s="301">
        <f>'[1]ОАО ДК Засвияжье 2'!K471</f>
        <v>34</v>
      </c>
      <c r="BR141" s="301">
        <f>'[1]ОАО ДК Засвияжье 2'!L471/1000</f>
        <v>1.7</v>
      </c>
      <c r="BS141" s="301">
        <f>'[1]ОАО ДК Засвияжье 2'!M471/1000</f>
        <v>1.7</v>
      </c>
      <c r="BT141" s="301">
        <f t="shared" si="135"/>
        <v>0</v>
      </c>
      <c r="BU141" s="301">
        <f>('[1]ОАО ДК Лен р-на'!K669+'[1]ООО Технология'!K329)</f>
        <v>591</v>
      </c>
      <c r="BV141" s="301">
        <f>('[1]ОАО ДК Лен р-на'!L669+'[1]ООО Технология'!L329)/1000</f>
        <v>29.55</v>
      </c>
      <c r="BW141" s="301">
        <f>('[1]ОАО ДК Лен р-на'!M669+'[1]ООО Технология'!M329)/1000</f>
        <v>29.55</v>
      </c>
      <c r="BX141" s="301">
        <f t="shared" si="137"/>
        <v>0</v>
      </c>
      <c r="BY141" s="301">
        <f>'[1]ОАО ДК ЖД р-на'!K933</f>
        <v>745</v>
      </c>
      <c r="BZ141" s="301">
        <f>'[1]ОАО ДК ЖД р-на'!L933/1000</f>
        <v>37.25</v>
      </c>
      <c r="CA141" s="301">
        <f>'[1]ОАО ДК ЖД р-на'!M933/1000</f>
        <v>37.25</v>
      </c>
      <c r="CB141" s="301">
        <f t="shared" si="138"/>
        <v>0</v>
      </c>
      <c r="CC141" s="301">
        <f>[1]СУК!K132</f>
        <v>0</v>
      </c>
      <c r="CD141" s="301">
        <f>[1]СУК!L132/1000</f>
        <v>0</v>
      </c>
      <c r="CE141" s="301">
        <f>[1]СУК!M132/1000</f>
        <v>0</v>
      </c>
      <c r="CF141" s="300">
        <f t="shared" si="107"/>
        <v>0</v>
      </c>
      <c r="CG141" s="301">
        <f>'[1]УК ЖСС'!K205</f>
        <v>859</v>
      </c>
      <c r="CH141" s="301">
        <f>'[1]УК ЖСС'!L205/1000</f>
        <v>42.95</v>
      </c>
      <c r="CI141" s="301">
        <f>'[1]УК ЖСС'!M205/1000</f>
        <v>42.95</v>
      </c>
      <c r="CJ141" s="301">
        <f t="shared" si="122"/>
        <v>0</v>
      </c>
      <c r="CK141" s="301">
        <f>'[1]ТСЖ Народ контроль R'!K132</f>
        <v>0</v>
      </c>
      <c r="CL141" s="301">
        <f>'[1]ТСЖ Народ контроль R'!L132/1000</f>
        <v>0</v>
      </c>
      <c r="CM141" s="301">
        <f>'[1]ТСЖ Народ контроль R'!M132/1000</f>
        <v>0</v>
      </c>
      <c r="CN141" s="301">
        <f t="shared" si="193"/>
        <v>0</v>
      </c>
      <c r="CO141" s="301">
        <f>'[1]Север-1'!K456</f>
        <v>11</v>
      </c>
      <c r="CP141" s="301">
        <f>'[1]Север-1'!L456/1000</f>
        <v>0.55000000000000004</v>
      </c>
      <c r="CQ141" s="301">
        <f>'[1]Север-1'!M456/1000</f>
        <v>0.55000000000000004</v>
      </c>
      <c r="CR141" s="301">
        <f t="shared" si="194"/>
        <v>0</v>
      </c>
      <c r="CS141" s="301">
        <f>'[1]МостОтряд №51'!K132</f>
        <v>0</v>
      </c>
      <c r="CT141" s="301">
        <f>'[1]МостОтряд №51'!L132/1000</f>
        <v>0</v>
      </c>
      <c r="CU141" s="301">
        <f>'[1]МостОтряд №51'!M132/1000</f>
        <v>0</v>
      </c>
      <c r="CV141" s="301">
        <f t="shared" si="195"/>
        <v>0</v>
      </c>
      <c r="CW141" s="301">
        <f>'[1]Пр-т Гая'!K548</f>
        <v>9</v>
      </c>
      <c r="CX141" s="301">
        <f>'[1]Пр-т Гая'!L548/1000</f>
        <v>0.45</v>
      </c>
      <c r="CY141" s="301">
        <f>'[1]Пр-т Гая'!M548/1000</f>
        <v>0.45</v>
      </c>
      <c r="CZ141" s="301">
        <f t="shared" si="196"/>
        <v>0</v>
      </c>
      <c r="DA141" s="301">
        <f>[1]Стасова!K307</f>
        <v>2</v>
      </c>
      <c r="DB141" s="301">
        <f>[1]Стасова!L307/1000</f>
        <v>0.1</v>
      </c>
      <c r="DC141" s="301">
        <f>[1]Стасова!M307/1000</f>
        <v>0.1</v>
      </c>
      <c r="DD141" s="300">
        <f t="shared" si="115"/>
        <v>0</v>
      </c>
      <c r="DE141" s="301">
        <f>'[1]Мегаполис ТСЖ'!K132</f>
        <v>0</v>
      </c>
      <c r="DF141" s="301">
        <f>'[1]Мегаполис ТСЖ'!L132/1000</f>
        <v>0</v>
      </c>
      <c r="DG141" s="301">
        <f>'[1]Мегаполис ТСЖ'!M132/1000</f>
        <v>0</v>
      </c>
      <c r="DH141" s="301">
        <f t="shared" si="159"/>
        <v>0</v>
      </c>
      <c r="DI141" s="301"/>
      <c r="DJ141" s="301"/>
      <c r="DK141" s="301"/>
      <c r="DL141" s="301">
        <f t="shared" si="139"/>
        <v>0</v>
      </c>
      <c r="DM141" s="301">
        <f>'[1]Альфаком-У'!K343</f>
        <v>372</v>
      </c>
      <c r="DN141" s="301">
        <f>'[1]Альфаком-У'!L343/1000</f>
        <v>18.600000000000001</v>
      </c>
      <c r="DO141" s="301">
        <f>'[1]Альфаком-У'!M343/1000</f>
        <v>18.600000000000001</v>
      </c>
      <c r="DP141" s="301">
        <f t="shared" si="189"/>
        <v>0</v>
      </c>
      <c r="DQ141" s="301">
        <f>'[1]ТСЖ Дачный'!K307</f>
        <v>0</v>
      </c>
      <c r="DR141" s="301">
        <f>'[1]ТСЖ Дачный'!L307/1000</f>
        <v>0</v>
      </c>
      <c r="DS141" s="301">
        <f>'[1]ТСЖ Дачный'!M307/1000</f>
        <v>0</v>
      </c>
      <c r="DT141" s="300">
        <f t="shared" si="197"/>
        <v>0</v>
      </c>
      <c r="DU141" s="301">
        <f>'[1]Альфаком-У-ТСЖ З-2'!K320</f>
        <v>93</v>
      </c>
      <c r="DV141" s="301">
        <f>'[1]Альфаком-У-ТСЖ З-2'!L320/1000</f>
        <v>4.6500000000000004</v>
      </c>
      <c r="DW141" s="301">
        <f>'[1]Альфаком-У-ТСЖ З-2'!M320/1000</f>
        <v>4.6500000000000004</v>
      </c>
      <c r="DX141" s="301">
        <f t="shared" si="112"/>
        <v>0</v>
      </c>
      <c r="DY141" s="301">
        <f>'[1]ЖСК Электромаш'!K132</f>
        <v>0</v>
      </c>
      <c r="DZ141" s="301">
        <f>'[1]ЖСК Электромаш'!L132/1000</f>
        <v>0</v>
      </c>
      <c r="EA141" s="301">
        <f>'[1]ЖСК Электромаш'!M132/1000</f>
        <v>0</v>
      </c>
      <c r="EB141" s="301">
        <f t="shared" si="198"/>
        <v>0</v>
      </c>
      <c r="EC141" s="301">
        <f>'[1]ЗАО Авиастар-СП'!K132</f>
        <v>0</v>
      </c>
      <c r="ED141" s="301">
        <f>'[1]ЗАО Авиастар-СП'!L132/1000</f>
        <v>0</v>
      </c>
      <c r="EE141" s="301">
        <f>'[1]ЗАО Авиастар-СП'!M132/1000</f>
        <v>0</v>
      </c>
      <c r="EF141" s="301">
        <f>EE141-ED141</f>
        <v>0</v>
      </c>
      <c r="EG141" s="301">
        <f>'[1]ООО ЦЭТ'!K492</f>
        <v>53</v>
      </c>
      <c r="EH141" s="301">
        <f>'[1]ООО ЦЭТ'!L492/1000</f>
        <v>2.65</v>
      </c>
      <c r="EI141" s="301">
        <f>'[1]ООО ЦЭТ'!M492/1000</f>
        <v>2.65</v>
      </c>
      <c r="EJ141" s="301">
        <f t="shared" si="190"/>
        <v>0</v>
      </c>
      <c r="EK141" s="301">
        <f>'[1]ТСЖ Форт'!K132</f>
        <v>0</v>
      </c>
      <c r="EL141" s="301">
        <f>'[1]ТСЖ Форт'!L132/1000</f>
        <v>0</v>
      </c>
      <c r="EM141" s="301">
        <f>'[1]ТСЖ Форт'!M132/1000</f>
        <v>0</v>
      </c>
      <c r="EN141" s="301">
        <f t="shared" si="199"/>
        <v>0</v>
      </c>
      <c r="EO141" s="301">
        <f>'[1]ООО ЖЭК'!K247</f>
        <v>0</v>
      </c>
      <c r="EP141" s="301">
        <f>'[1]ООО ЖЭК'!L247/1000</f>
        <v>0</v>
      </c>
      <c r="EQ141" s="301">
        <f>'[1]ООО ЖЭК'!M247/1000</f>
        <v>0</v>
      </c>
      <c r="ER141" s="300">
        <f t="shared" si="200"/>
        <v>0</v>
      </c>
      <c r="ES141" s="301">
        <f>'[1]УК ЖКХ Симбирск'!K479</f>
        <v>4</v>
      </c>
      <c r="ET141" s="301">
        <f>'[1]УК ЖКХ Симбирск'!L479/1000</f>
        <v>0.2</v>
      </c>
      <c r="EU141" s="301">
        <f>'[1]УК ЖКХ Симбирск'!M479/1000</f>
        <v>0.2</v>
      </c>
      <c r="EV141" s="300">
        <f t="shared" si="201"/>
        <v>0</v>
      </c>
      <c r="EW141" s="301">
        <f>'[1]ООО Наш Дом 010212'!K372</f>
        <v>0</v>
      </c>
      <c r="EX141" s="301">
        <f>'[1]ООО Наш Дом 010212'!L372/1000</f>
        <v>0</v>
      </c>
      <c r="EY141" s="301">
        <f>'[1]ООО Наш Дом 010212'!M372/1000</f>
        <v>0</v>
      </c>
      <c r="EZ141" s="301">
        <f t="shared" si="202"/>
        <v>0</v>
      </c>
      <c r="FA141" s="301">
        <f>'[1]ООО Истоки+'!K313</f>
        <v>2</v>
      </c>
      <c r="FB141" s="301">
        <f>'[1]ООО Истоки+'!L313/1000</f>
        <v>0.1</v>
      </c>
      <c r="FC141" s="301">
        <f>'[1]ООО Истоки+'!M313/1000</f>
        <v>0.1</v>
      </c>
      <c r="FD141" s="301">
        <f t="shared" si="203"/>
        <v>0</v>
      </c>
      <c r="FE141" s="301">
        <f>'[1]ООО ЖКиСР УправДом'!K445</f>
        <v>22</v>
      </c>
      <c r="FF141" s="301">
        <f>'[1]ООО ЖКиСР УправДом'!L445/1000</f>
        <v>1.1000000000000001</v>
      </c>
      <c r="FG141" s="301">
        <f>'[1]ООО ЖКиСР УправДом'!M445/1000</f>
        <v>1.1000000000000001</v>
      </c>
      <c r="FH141" s="301">
        <f t="shared" si="191"/>
        <v>0</v>
      </c>
      <c r="FI141" s="301">
        <f>'[1]ТСЖ Малахит'!K129</f>
        <v>0</v>
      </c>
      <c r="FJ141" s="301">
        <f>'[1]ТСЖ Малахит'!L129/1000</f>
        <v>0</v>
      </c>
      <c r="FK141" s="301">
        <f>'[1]ТСЖ Малахит'!M129/1000</f>
        <v>0</v>
      </c>
      <c r="FL141" s="301">
        <f t="shared" si="113"/>
        <v>0</v>
      </c>
      <c r="FM141" s="301">
        <v>0</v>
      </c>
      <c r="FN141" s="301">
        <v>0</v>
      </c>
      <c r="FO141" s="301">
        <v>0</v>
      </c>
      <c r="FP141" s="301">
        <f t="shared" si="206"/>
        <v>0</v>
      </c>
      <c r="FQ141" s="301">
        <f>'[1]ООО ЖКХ Лен-го района'!K424</f>
        <v>7</v>
      </c>
      <c r="FR141" s="301">
        <f>'[1]ООО ЖКХ Лен-го района'!L424/1000</f>
        <v>0.35</v>
      </c>
      <c r="FS141" s="301">
        <f>'[1]ООО ЖКХ Лен-го района'!M424/1000</f>
        <v>0.35</v>
      </c>
      <c r="FT141" s="301">
        <f t="shared" si="204"/>
        <v>0</v>
      </c>
      <c r="FU141" s="301">
        <f>'[1]ООО УК КПД-1'!K155</f>
        <v>0</v>
      </c>
      <c r="FV141" s="301">
        <f>'[1]ООО УК КПД-1'!L155/1000</f>
        <v>0</v>
      </c>
      <c r="FW141" s="301">
        <f>'[1]ООО УК КПД-1'!M155/1000</f>
        <v>0</v>
      </c>
      <c r="FX141" s="301">
        <f t="shared" si="173"/>
        <v>0</v>
      </c>
      <c r="FY141" s="301">
        <f>'[1]ООО КПД-2 Жилсервис'!K140</f>
        <v>0</v>
      </c>
      <c r="FZ141" s="301">
        <f>'[1]ООО КПД-2 Жилсервис'!L140/1000</f>
        <v>0</v>
      </c>
      <c r="GA141" s="301">
        <f>'[1]ООО КПД-2 Жилсервис'!M140/1000</f>
        <v>0</v>
      </c>
      <c r="GB141" s="301">
        <f t="shared" si="205"/>
        <v>0</v>
      </c>
      <c r="GC141" s="301">
        <f>'[1]ООО УК ЦЭТ'!K459</f>
        <v>5</v>
      </c>
      <c r="GD141" s="301">
        <f>'[1]ООО УК ЦЭТ'!L459/1000</f>
        <v>0.25</v>
      </c>
      <c r="GE141" s="301">
        <f>'[1]ООО УК ЦЭТ'!M459/1000</f>
        <v>0.25</v>
      </c>
      <c r="GF141" s="301">
        <f t="shared" si="174"/>
        <v>0</v>
      </c>
      <c r="GG141" s="301">
        <f>'[1]ЖСК пер Рылеева-14'!K479</f>
        <v>0</v>
      </c>
      <c r="GH141" s="301">
        <f>'[1]ЖСК пер Рылеева-14'!L479/1000</f>
        <v>0</v>
      </c>
      <c r="GI141" s="301">
        <f>'[1]ЖСК пер Рылеева-14'!M479/1000</f>
        <v>0</v>
      </c>
      <c r="GJ141" s="301">
        <f t="shared" si="179"/>
        <v>0</v>
      </c>
      <c r="GK141" s="301">
        <f>'[1]ЖСК пер Рылеева-14'!O479</f>
        <v>0</v>
      </c>
      <c r="GL141" s="301">
        <f>'[1]ЖСК пер Рылеева-14'!P479/1000</f>
        <v>0</v>
      </c>
      <c r="GM141" s="301">
        <f>'[1]ЖСК пер Рылеева-14'!Q479/1000</f>
        <v>0</v>
      </c>
      <c r="GN141" s="301">
        <f t="shared" ref="GN141:GN148" si="208">GM141-GL141</f>
        <v>0</v>
      </c>
      <c r="GO141" s="301">
        <f>'[1]ООО УК КПД-1'!AE155</f>
        <v>0</v>
      </c>
      <c r="GP141" s="301">
        <f>'[1]ООО УК КПД-1'!AF155/1000</f>
        <v>0</v>
      </c>
      <c r="GQ141" s="301">
        <f>'[1]ООО УК КПД-1'!AG155/1000</f>
        <v>0</v>
      </c>
      <c r="GR141" s="301">
        <f t="shared" si="180"/>
        <v>0</v>
      </c>
      <c r="GS141" s="301">
        <f>'[1]ООО ТК Святогор'!K132</f>
        <v>0</v>
      </c>
      <c r="GT141" s="301">
        <f>'[1]ООО ТК Святогор'!L132/1000</f>
        <v>0</v>
      </c>
      <c r="GU141" s="301">
        <f>'[1]ООО ТК Святогор'!M132/1000</f>
        <v>0</v>
      </c>
      <c r="GV141" s="301">
        <f t="shared" si="207"/>
        <v>0</v>
      </c>
      <c r="GW141" s="301">
        <f>'[1]ТСЖ Володарец'!K208</f>
        <v>0</v>
      </c>
      <c r="GX141" s="301">
        <f>'[1]ТСЖ Володарец'!L208/1000</f>
        <v>0</v>
      </c>
      <c r="GY141" s="301">
        <f>'[1]ТСЖ Володарец'!M208/1000</f>
        <v>0</v>
      </c>
      <c r="GZ141" s="301">
        <f t="shared" si="150"/>
        <v>0</v>
      </c>
      <c r="HA141" s="328"/>
      <c r="HB141" s="386"/>
      <c r="HC141" s="448"/>
      <c r="HD141" s="448"/>
      <c r="HE141" s="448"/>
      <c r="HF141" s="448"/>
      <c r="HG141" s="448"/>
      <c r="HH141" s="448"/>
      <c r="HI141" s="448"/>
      <c r="HJ141" s="448"/>
      <c r="HK141" s="448"/>
      <c r="HL141" s="448"/>
      <c r="HN141" s="357"/>
      <c r="HS141" s="306"/>
      <c r="HT141" s="306"/>
      <c r="HU141" s="306"/>
      <c r="HV141" s="306"/>
    </row>
    <row r="142" spans="1:256" ht="13.5" hidden="1" customHeight="1">
      <c r="A142" s="394">
        <f>A141+1</f>
        <v>17</v>
      </c>
      <c r="B142" s="365" t="s">
        <v>271</v>
      </c>
      <c r="C142" s="449"/>
      <c r="D142" s="367" t="s">
        <v>223</v>
      </c>
      <c r="E142" s="299">
        <f t="shared" si="192"/>
        <v>170166</v>
      </c>
      <c r="F142" s="299">
        <f t="shared" si="192"/>
        <v>12056.540590000006</v>
      </c>
      <c r="G142" s="299">
        <f t="shared" si="192"/>
        <v>12056.540590000006</v>
      </c>
      <c r="H142" s="299">
        <f t="shared" si="192"/>
        <v>0</v>
      </c>
      <c r="I142" s="301"/>
      <c r="J142" s="301"/>
      <c r="K142" s="301"/>
      <c r="L142" s="301">
        <f t="shared" si="146"/>
        <v>0</v>
      </c>
      <c r="M142" s="301">
        <f>'[1]УМУП УК ЖКХ г.Ульяновска'!K317</f>
        <v>336</v>
      </c>
      <c r="N142" s="301">
        <f>'[1]УМУП УК ЖКХ г.Ульяновска'!L317/1000</f>
        <v>15.673570000000002</v>
      </c>
      <c r="O142" s="301">
        <f>'[1]УМУП УК ЖКХ г.Ульяновска'!M317/1000</f>
        <v>15.673570000000002</v>
      </c>
      <c r="P142" s="301">
        <f t="shared" si="185"/>
        <v>0</v>
      </c>
      <c r="Q142" s="301">
        <f>'[1]ОАО ДК Засвияжье 1'!K372</f>
        <v>34802</v>
      </c>
      <c r="R142" s="301">
        <f>'[1]ОАО ДК Засвияжье 1'!L372/1000</f>
        <v>2304.8898400000003</v>
      </c>
      <c r="S142" s="301">
        <f>'[1]ОАО ДК Засвияжье 1'!M372/1000</f>
        <v>2304.8898400000003</v>
      </c>
      <c r="T142" s="301">
        <f t="shared" si="148"/>
        <v>0</v>
      </c>
      <c r="U142" s="301">
        <f>'[1]ОАО ДК Заволж р-на'!K429</f>
        <v>17734</v>
      </c>
      <c r="V142" s="301">
        <f>'[1]ОАО ДК Заволж р-на'!L429/1000</f>
        <v>1236.3398300000001</v>
      </c>
      <c r="W142" s="301">
        <f>'[1]ОАО ДК Заволж р-на'!M429/1000</f>
        <v>1236.3398300000001</v>
      </c>
      <c r="X142" s="301">
        <f t="shared" si="154"/>
        <v>0</v>
      </c>
      <c r="Y142" s="301"/>
      <c r="Z142" s="301"/>
      <c r="AA142" s="301"/>
      <c r="AB142" s="301">
        <f t="shared" si="127"/>
        <v>0</v>
      </c>
      <c r="AC142" s="301">
        <f>[1]МегаЛинк!K161</f>
        <v>628</v>
      </c>
      <c r="AD142" s="301">
        <f>[1]МегаЛинк!L161/1000</f>
        <v>28.115560000000002</v>
      </c>
      <c r="AE142" s="301">
        <f>[1]МегаЛинк!M161/1000</f>
        <v>28.115560000000002</v>
      </c>
      <c r="AF142" s="300">
        <f t="shared" si="152"/>
        <v>0</v>
      </c>
      <c r="AG142" s="301"/>
      <c r="AH142" s="301"/>
      <c r="AI142" s="301"/>
      <c r="AJ142" s="300">
        <f t="shared" si="128"/>
        <v>0</v>
      </c>
      <c r="AK142" s="301"/>
      <c r="AL142" s="301"/>
      <c r="AM142" s="301"/>
      <c r="AN142" s="301">
        <f t="shared" si="129"/>
        <v>0</v>
      </c>
      <c r="AO142" s="301">
        <f>'[1]ЗАО ГК Аметист'!K432</f>
        <v>20727</v>
      </c>
      <c r="AP142" s="301">
        <f>'[1]ЗАО ГК Аметист'!L432/1000</f>
        <v>966.36859000000004</v>
      </c>
      <c r="AQ142" s="301">
        <f>'[1]ЗАО ГК Аметист'!M432/1000</f>
        <v>966.36859000000004</v>
      </c>
      <c r="AR142" s="300">
        <f t="shared" si="120"/>
        <v>0</v>
      </c>
      <c r="AS142" s="301">
        <f>'[1]Фундамент СК ООО'!K243</f>
        <v>1222</v>
      </c>
      <c r="AT142" s="301">
        <f>'[1]Фундамент СК ООО'!L243/1000</f>
        <v>54.708940000000005</v>
      </c>
      <c r="AU142" s="301">
        <f>'[1]Фундамент СК ООО'!M243/1000</f>
        <v>54.708940000000005</v>
      </c>
      <c r="AV142" s="301">
        <f t="shared" si="130"/>
        <v>0</v>
      </c>
      <c r="AW142" s="301">
        <f>'[1]Ульяновский _2 ТСЖ'!K102</f>
        <v>0</v>
      </c>
      <c r="AX142" s="301">
        <f>'[1]Ульяновский _2 ТСЖ'!L102/1000</f>
        <v>0</v>
      </c>
      <c r="AY142" s="301">
        <f>'[1]Ульяновский _2 ТСЖ'!M102/1000</f>
        <v>0</v>
      </c>
      <c r="AZ142" s="301">
        <f t="shared" si="131"/>
        <v>0</v>
      </c>
      <c r="BA142" s="301"/>
      <c r="BB142" s="301"/>
      <c r="BC142" s="301"/>
      <c r="BD142" s="301">
        <f t="shared" si="132"/>
        <v>0</v>
      </c>
      <c r="BE142" s="301"/>
      <c r="BF142" s="301"/>
      <c r="BG142" s="301"/>
      <c r="BH142" s="301">
        <f t="shared" si="149"/>
        <v>0</v>
      </c>
      <c r="BI142" s="301">
        <f>[1]СМУ!K320</f>
        <v>4387</v>
      </c>
      <c r="BJ142" s="301">
        <f>[1]СМУ!L320/1000</f>
        <v>279.27118999999999</v>
      </c>
      <c r="BK142" s="301">
        <f>[1]СМУ!M320/1000</f>
        <v>279.27118999999999</v>
      </c>
      <c r="BL142" s="301">
        <f t="shared" si="133"/>
        <v>0</v>
      </c>
      <c r="BM142" s="301">
        <f>'[1]Евро-Строй-Сервис'!K170</f>
        <v>2643</v>
      </c>
      <c r="BN142" s="301">
        <f>'[1]Евро-Строй-Сервис'!L170/1000</f>
        <v>214.37911000000003</v>
      </c>
      <c r="BO142" s="301">
        <f>'[1]Евро-Строй-Сервис'!M170/1000</f>
        <v>214.37911000000003</v>
      </c>
      <c r="BP142" s="301">
        <f t="shared" si="134"/>
        <v>0</v>
      </c>
      <c r="BQ142" s="301">
        <f>'[1]ОАО ДК Засвияжье 2'!K366</f>
        <v>1077</v>
      </c>
      <c r="BR142" s="301">
        <f>'[1]ОАО ДК Засвияжье 2'!L366/1000</f>
        <v>56.068260000000009</v>
      </c>
      <c r="BS142" s="301">
        <f>'[1]ОАО ДК Засвияжье 2'!M366/1000</f>
        <v>56.068260000000009</v>
      </c>
      <c r="BT142" s="301">
        <f t="shared" si="135"/>
        <v>0</v>
      </c>
      <c r="BU142" s="301">
        <f>('[1]ОАО ДК Лен р-на'!K601+'[1]ООО Технология'!K296)</f>
        <v>28426</v>
      </c>
      <c r="BV142" s="301">
        <f>('[1]ОАО ДК Лен р-на'!L601+'[1]ООО Технология'!L296)/1000</f>
        <v>2437.5881199999999</v>
      </c>
      <c r="BW142" s="301">
        <f>('[1]ОАО ДК Лен р-на'!M601+'[1]ООО Технология'!M296)/1000</f>
        <v>2437.5881199999999</v>
      </c>
      <c r="BX142" s="301">
        <f t="shared" si="137"/>
        <v>0</v>
      </c>
      <c r="BY142" s="301">
        <f>'[1]ОАО ДК ЖД р-на'!K789</f>
        <v>34930</v>
      </c>
      <c r="BZ142" s="301">
        <f>'[1]ОАО ДК ЖД р-на'!L789/1000</f>
        <v>3273.5620500000005</v>
      </c>
      <c r="CA142" s="301">
        <f>'[1]ОАО ДК ЖД р-на'!M789/1000</f>
        <v>3273.5620500000005</v>
      </c>
      <c r="CB142" s="301">
        <f t="shared" si="138"/>
        <v>0</v>
      </c>
      <c r="CC142" s="301">
        <f>[1]СУК!K103</f>
        <v>0</v>
      </c>
      <c r="CD142" s="301">
        <f>[1]СУК!L103/1000</f>
        <v>0</v>
      </c>
      <c r="CE142" s="301">
        <f>[1]СУК!M103/1000</f>
        <v>0</v>
      </c>
      <c r="CF142" s="300">
        <f t="shared" si="107"/>
        <v>0</v>
      </c>
      <c r="CG142" s="301">
        <f>'[1]УК ЖСС'!K170</f>
        <v>0</v>
      </c>
      <c r="CH142" s="301">
        <f>'[1]УК ЖСС'!L170/1000</f>
        <v>0</v>
      </c>
      <c r="CI142" s="301">
        <f>'[1]УК ЖСС'!M170/1000</f>
        <v>0</v>
      </c>
      <c r="CJ142" s="301">
        <f t="shared" si="122"/>
        <v>0</v>
      </c>
      <c r="CK142" s="301">
        <f>'[1]ТСЖ Народ контроль R'!K103</f>
        <v>1966</v>
      </c>
      <c r="CL142" s="301">
        <f>'[1]ТСЖ Народ контроль R'!L103/1000</f>
        <v>88.01782</v>
      </c>
      <c r="CM142" s="301">
        <f>'[1]ТСЖ Народ контроль R'!M103/1000</f>
        <v>88.01782</v>
      </c>
      <c r="CN142" s="301">
        <f t="shared" si="193"/>
        <v>0</v>
      </c>
      <c r="CO142" s="301">
        <f>'[1]Север-1'!K389</f>
        <v>506</v>
      </c>
      <c r="CP142" s="301">
        <f>'[1]Север-1'!L389/1000</f>
        <v>47.155020000000007</v>
      </c>
      <c r="CQ142" s="301">
        <f>'[1]Север-1'!M389/1000</f>
        <v>47.155020000000007</v>
      </c>
      <c r="CR142" s="301">
        <f t="shared" si="194"/>
        <v>0</v>
      </c>
      <c r="CS142" s="301"/>
      <c r="CT142" s="301"/>
      <c r="CU142" s="301"/>
      <c r="CV142" s="301">
        <f t="shared" si="195"/>
        <v>0</v>
      </c>
      <c r="CW142" s="301">
        <f>'[1]Пр-т Гая'!K404</f>
        <v>527</v>
      </c>
      <c r="CX142" s="301">
        <f>'[1]Пр-т Гая'!L404/1000</f>
        <v>60.366240000000005</v>
      </c>
      <c r="CY142" s="301">
        <f>'[1]Пр-т Гая'!M404/1000</f>
        <v>60.366240000000005</v>
      </c>
      <c r="CZ142" s="301">
        <f t="shared" si="196"/>
        <v>0</v>
      </c>
      <c r="DA142" s="301">
        <f>[1]Стасова!K248</f>
        <v>237</v>
      </c>
      <c r="DB142" s="301">
        <f>[1]Стасова!L248/1000</f>
        <v>17.71264</v>
      </c>
      <c r="DC142" s="301">
        <f>[1]Стасова!M248/1000</f>
        <v>17.71264</v>
      </c>
      <c r="DD142" s="300">
        <f t="shared" si="115"/>
        <v>0</v>
      </c>
      <c r="DE142" s="301">
        <f>'[1]Мегаполис ТСЖ'!K103</f>
        <v>987</v>
      </c>
      <c r="DF142" s="301">
        <f>'[1]Мегаполис ТСЖ'!L103/1000</f>
        <v>44.187990000000006</v>
      </c>
      <c r="DG142" s="301">
        <f>'[1]Мегаполис ТСЖ'!M103/1000</f>
        <v>44.187990000000006</v>
      </c>
      <c r="DH142" s="301">
        <f t="shared" si="159"/>
        <v>0</v>
      </c>
      <c r="DI142" s="301"/>
      <c r="DJ142" s="301"/>
      <c r="DK142" s="301"/>
      <c r="DL142" s="301">
        <f t="shared" si="139"/>
        <v>0</v>
      </c>
      <c r="DM142" s="301">
        <f>'[1]Альфаком-У'!K284</f>
        <v>11245</v>
      </c>
      <c r="DN142" s="301">
        <f>'[1]Альфаком-У'!L284/1000</f>
        <v>503.43865</v>
      </c>
      <c r="DO142" s="301">
        <f>'[1]Альфаком-У'!M284/1000</f>
        <v>503.43865</v>
      </c>
      <c r="DP142" s="301">
        <f t="shared" si="189"/>
        <v>0</v>
      </c>
      <c r="DQ142" s="301">
        <f>'[1]ТСЖ Дачный'!K248</f>
        <v>0</v>
      </c>
      <c r="DR142" s="301">
        <f>'[1]ТСЖ Дачный'!L248/1000</f>
        <v>0</v>
      </c>
      <c r="DS142" s="301">
        <f>'[1]ТСЖ Дачный'!M248/1000</f>
        <v>0</v>
      </c>
      <c r="DT142" s="300">
        <f t="shared" si="197"/>
        <v>0</v>
      </c>
      <c r="DU142" s="301">
        <f>'[1]Альфаком-У-ТСЖ З-2'!K261</f>
        <v>2644</v>
      </c>
      <c r="DV142" s="301">
        <f>'[1]Альфаком-У-ТСЖ З-2'!L261/1000</f>
        <v>118.37188</v>
      </c>
      <c r="DW142" s="301">
        <f>'[1]Альфаком-У-ТСЖ З-2'!M261/1000</f>
        <v>118.37188</v>
      </c>
      <c r="DX142" s="301">
        <f t="shared" si="112"/>
        <v>0</v>
      </c>
      <c r="DY142" s="301">
        <f>'[1]ЖСК Электромаш'!K103</f>
        <v>0</v>
      </c>
      <c r="DZ142" s="301">
        <f>'[1]ЖСК Электромаш'!L103/1000</f>
        <v>0</v>
      </c>
      <c r="EA142" s="301">
        <f>'[1]ЖСК Электромаш'!M103/1000</f>
        <v>0</v>
      </c>
      <c r="EB142" s="301">
        <f t="shared" si="198"/>
        <v>0</v>
      </c>
      <c r="EC142" s="301">
        <f>'[1]ЗАО Авиастар-СП'!K103</f>
        <v>0</v>
      </c>
      <c r="ED142" s="301">
        <f>'[1]ЗАО Авиастар-СП'!L103/1000</f>
        <v>0</v>
      </c>
      <c r="EE142" s="301">
        <f>'[1]ЗАО Авиастар-СП'!M103/1000</f>
        <v>0</v>
      </c>
      <c r="EF142" s="301">
        <f>EE142-ED142</f>
        <v>0</v>
      </c>
      <c r="EG142" s="301">
        <f>'[1]ООО ЦЭТ'!K425</f>
        <v>2664</v>
      </c>
      <c r="EH142" s="301">
        <f>'[1]ООО ЦЭТ'!L425/1000</f>
        <v>152.09183000000002</v>
      </c>
      <c r="EI142" s="301">
        <f>'[1]ООО ЦЭТ'!M425/1000</f>
        <v>152.09183000000002</v>
      </c>
      <c r="EJ142" s="301">
        <f t="shared" si="190"/>
        <v>0</v>
      </c>
      <c r="EK142" s="301">
        <f>'[1]ТСЖ Форт'!K103</f>
        <v>15</v>
      </c>
      <c r="EL142" s="301">
        <f>'[1]ТСЖ Форт'!L103/1000</f>
        <v>0.97680000000000011</v>
      </c>
      <c r="EM142" s="301">
        <f>'[1]ТСЖ Форт'!M103/1000</f>
        <v>0.97680000000000011</v>
      </c>
      <c r="EN142" s="301">
        <f t="shared" si="199"/>
        <v>0</v>
      </c>
      <c r="EO142" s="301">
        <f>'[1]ООО ЖЭК'!K179</f>
        <v>529</v>
      </c>
      <c r="EP142" s="301">
        <f>'[1]ООО ЖЭК'!L179/1000</f>
        <v>34.163580000000003</v>
      </c>
      <c r="EQ142" s="301">
        <f>'[1]ООО ЖЭК'!M179/1000</f>
        <v>34.163580000000003</v>
      </c>
      <c r="ER142" s="300">
        <f t="shared" si="200"/>
        <v>0</v>
      </c>
      <c r="ES142" s="301">
        <f>'[1]УК ЖКХ Симбирск'!K411</f>
        <v>315</v>
      </c>
      <c r="ET142" s="301">
        <f>'[1]УК ЖКХ Симбирск'!L411/1000</f>
        <v>28.408600000000003</v>
      </c>
      <c r="EU142" s="301">
        <f>'[1]УК ЖКХ Симбирск'!M411/1000</f>
        <v>28.408600000000003</v>
      </c>
      <c r="EV142" s="300">
        <f t="shared" si="201"/>
        <v>0</v>
      </c>
      <c r="EW142" s="301">
        <f>'[1]ООО Наш Дом 010212'!K277</f>
        <v>0</v>
      </c>
      <c r="EX142" s="301">
        <f>'[1]ООО Наш Дом 010212'!L277/1000</f>
        <v>0</v>
      </c>
      <c r="EY142" s="301">
        <f>'[1]ООО Наш Дом 010212'!M277/1000</f>
        <v>0</v>
      </c>
      <c r="EZ142" s="301">
        <f t="shared" si="202"/>
        <v>0</v>
      </c>
      <c r="FA142" s="301">
        <f>'[1]ООО Истоки+'!K261</f>
        <v>155</v>
      </c>
      <c r="FB142" s="301">
        <f>'[1]ООО Истоки+'!L261/1000</f>
        <v>6.9393500000000001</v>
      </c>
      <c r="FC142" s="301">
        <f>'[1]ООО Истоки+'!M261/1000</f>
        <v>6.9393500000000001</v>
      </c>
      <c r="FD142" s="301">
        <f t="shared" si="203"/>
        <v>0</v>
      </c>
      <c r="FE142" s="301">
        <f>'[1]ООО ЖКиСР УправДом'!K339</f>
        <v>31</v>
      </c>
      <c r="FF142" s="301">
        <f>'[1]ООО ЖКиСР УправДом'!L339/1000</f>
        <v>3.91127</v>
      </c>
      <c r="FG142" s="301">
        <f>'[1]ООО ЖКиСР УправДом'!M339/1000</f>
        <v>3.91127</v>
      </c>
      <c r="FH142" s="301">
        <f t="shared" si="191"/>
        <v>0</v>
      </c>
      <c r="FI142" s="301">
        <f>'[1]ТСЖ Малахит'!K101</f>
        <v>288</v>
      </c>
      <c r="FJ142" s="301">
        <f>'[1]ТСЖ Малахит'!L101/1000</f>
        <v>12.89376</v>
      </c>
      <c r="FK142" s="301">
        <f>'[1]ТСЖ Малахит'!M101/1000</f>
        <v>12.89376</v>
      </c>
      <c r="FL142" s="301">
        <f t="shared" si="113"/>
        <v>0</v>
      </c>
      <c r="FM142" s="301">
        <v>0</v>
      </c>
      <c r="FN142" s="301">
        <v>0</v>
      </c>
      <c r="FO142" s="301">
        <v>0</v>
      </c>
      <c r="FP142" s="301">
        <f t="shared" si="206"/>
        <v>0</v>
      </c>
      <c r="FQ142" s="301">
        <f>'[1]ООО ЖКХ Лен-го района'!K358</f>
        <v>734</v>
      </c>
      <c r="FR142" s="301">
        <f>'[1]ООО ЖКХ Лен-го района'!L358/1000</f>
        <v>51.562830000000012</v>
      </c>
      <c r="FS142" s="301">
        <f>'[1]ООО ЖКХ Лен-го района'!M358/1000</f>
        <v>51.562830000000012</v>
      </c>
      <c r="FT142" s="301">
        <f t="shared" si="204"/>
        <v>0</v>
      </c>
      <c r="FU142" s="301">
        <f>'[1]ООО УК КПД-1'!K127</f>
        <v>0</v>
      </c>
      <c r="FV142" s="301">
        <f>'[1]ООО УК КПД-1'!L127/1000</f>
        <v>0</v>
      </c>
      <c r="FW142" s="301">
        <f>'[1]ООО УК КПД-1'!M127/1000</f>
        <v>0</v>
      </c>
      <c r="FX142" s="301">
        <f t="shared" si="173"/>
        <v>0</v>
      </c>
      <c r="FY142" s="301">
        <f>'[1]ООО КПД-2 Жилсервис'!K111</f>
        <v>0</v>
      </c>
      <c r="FZ142" s="301">
        <f>'[1]ООО КПД-2 Жилсервис'!L111/1000</f>
        <v>0</v>
      </c>
      <c r="GA142" s="301">
        <f>'[1]ООО КПД-2 Жилсервис'!M111/1000</f>
        <v>0</v>
      </c>
      <c r="GB142" s="301">
        <f t="shared" si="205"/>
        <v>0</v>
      </c>
      <c r="GC142" s="301">
        <f>'[1]ООО УК ЦЭТ'!K394</f>
        <v>356</v>
      </c>
      <c r="GD142" s="301">
        <f>'[1]ООО УК ЦЭТ'!L394/1000</f>
        <v>15.938120000000001</v>
      </c>
      <c r="GE142" s="301">
        <f>'[1]ООО УК ЦЭТ'!M394/1000</f>
        <v>15.938120000000001</v>
      </c>
      <c r="GF142" s="301">
        <f t="shared" si="174"/>
        <v>0</v>
      </c>
      <c r="GG142" s="301">
        <f>'[1]ЖСК пер Рылеева-14'!K411</f>
        <v>0</v>
      </c>
      <c r="GH142" s="301">
        <f>'[1]ЖСК пер Рылеева-14'!L411/1000</f>
        <v>0</v>
      </c>
      <c r="GI142" s="301">
        <f>'[1]ЖСК пер Рылеева-14'!M411/1000</f>
        <v>0</v>
      </c>
      <c r="GJ142" s="301">
        <f t="shared" si="179"/>
        <v>0</v>
      </c>
      <c r="GK142" s="301">
        <f>'[1]ЖСК пер Рылеева-14'!O411</f>
        <v>0</v>
      </c>
      <c r="GL142" s="301">
        <f>'[1]ЖСК пер Рылеева-14'!P411/1000</f>
        <v>0</v>
      </c>
      <c r="GM142" s="301">
        <f>'[1]ЖСК пер Рылеева-14'!Q411/1000</f>
        <v>0</v>
      </c>
      <c r="GN142" s="301">
        <f t="shared" si="208"/>
        <v>0</v>
      </c>
      <c r="GO142" s="301">
        <f>'[1]ООО УО Партнер'!K176</f>
        <v>55</v>
      </c>
      <c r="GP142" s="301">
        <f>'[1]ООО УО Партнер'!L176/1000</f>
        <v>3.4391500000000002</v>
      </c>
      <c r="GQ142" s="301">
        <f>'[1]ООО УО Партнер'!M176/1000</f>
        <v>3.4391500000000002</v>
      </c>
      <c r="GR142" s="301">
        <f t="shared" si="180"/>
        <v>0</v>
      </c>
      <c r="GS142" s="301">
        <f>'[1]ООО ТК Святогор'!K103</f>
        <v>0</v>
      </c>
      <c r="GT142" s="301">
        <f>'[1]ООО ТК Святогор'!L103/1000</f>
        <v>0</v>
      </c>
      <c r="GU142" s="301">
        <f>'[1]ООО ТК Святогор'!M103/1000</f>
        <v>0</v>
      </c>
      <c r="GV142" s="301">
        <f t="shared" si="207"/>
        <v>0</v>
      </c>
      <c r="GW142" s="301">
        <f>'[1]ТСЖ Володарец'!K175</f>
        <v>0</v>
      </c>
      <c r="GX142" s="301">
        <f>'[1]ТСЖ Володарец'!L175/1000</f>
        <v>0</v>
      </c>
      <c r="GY142" s="301">
        <f>'[1]ТСЖ Володарец'!M175/1000</f>
        <v>0</v>
      </c>
      <c r="GZ142" s="301">
        <f t="shared" si="150"/>
        <v>0</v>
      </c>
      <c r="HA142" s="303"/>
      <c r="HB142" s="450"/>
      <c r="HC142" s="451"/>
      <c r="HD142" s="451"/>
      <c r="HE142" s="452"/>
      <c r="HF142" s="452"/>
      <c r="HG142" s="452"/>
      <c r="HH142" s="452"/>
      <c r="HI142" s="452"/>
      <c r="HJ142" s="452"/>
      <c r="HK142" s="452"/>
      <c r="HL142" s="452"/>
      <c r="HM142" s="453"/>
      <c r="HN142" s="357"/>
      <c r="HS142" s="306"/>
      <c r="HT142" s="306"/>
      <c r="HU142" s="306"/>
      <c r="HV142" s="306"/>
    </row>
    <row r="143" spans="1:256" s="300" customFormat="1" ht="13.5" hidden="1" customHeight="1">
      <c r="A143" s="394">
        <f t="shared" ref="A143:A148" si="209">A142+1</f>
        <v>18</v>
      </c>
      <c r="B143" s="454" t="s">
        <v>272</v>
      </c>
      <c r="C143" s="455"/>
      <c r="D143" s="456" t="s">
        <v>273</v>
      </c>
      <c r="E143" s="299">
        <f t="shared" si="192"/>
        <v>7.4183500000000002</v>
      </c>
      <c r="F143" s="299">
        <f t="shared" si="192"/>
        <v>230.93323549999999</v>
      </c>
      <c r="G143" s="299">
        <f t="shared" si="192"/>
        <v>230.93323549999999</v>
      </c>
      <c r="H143" s="299">
        <f t="shared" si="192"/>
        <v>0</v>
      </c>
      <c r="L143" s="301">
        <f t="shared" si="146"/>
        <v>0</v>
      </c>
      <c r="M143" s="300">
        <f>'[1]УМУП УК ЖКХ г.Ульяновска'!K11/1000</f>
        <v>0.20951999999999998</v>
      </c>
      <c r="N143" s="300">
        <f>'[1]УМУП УК ЖКХ г.Ульяновска'!L11/1000</f>
        <v>6.5223575999999994</v>
      </c>
      <c r="O143" s="300">
        <f>'[1]УМУП УК ЖКХ г.Ульяновска'!M11/1000</f>
        <v>6.5223575999999994</v>
      </c>
      <c r="P143" s="301">
        <f t="shared" si="185"/>
        <v>0</v>
      </c>
      <c r="Q143" s="300">
        <f>'[1]ОАО ДК Засвияжье 1'!K15/1000</f>
        <v>0</v>
      </c>
      <c r="R143" s="300">
        <f>'[1]ОАО ДК Засвияжье 1'!L15/1000</f>
        <v>0</v>
      </c>
      <c r="S143" s="300">
        <f>'[1]ОАО ДК Засвияжье 1'!M15/1000</f>
        <v>0</v>
      </c>
      <c r="T143" s="300">
        <f t="shared" si="148"/>
        <v>0</v>
      </c>
      <c r="U143" s="457">
        <f>'[1]ОАО ДК Заволж р-на'!K13/1000</f>
        <v>0</v>
      </c>
      <c r="V143" s="457">
        <f>'[1]ОАО ДК Заволж р-на'!L13/1000</f>
        <v>0</v>
      </c>
      <c r="W143" s="457">
        <f>'[1]ОАО ДК Заволж р-на'!M13/1000</f>
        <v>0</v>
      </c>
      <c r="X143" s="301">
        <f t="shared" si="154"/>
        <v>0</v>
      </c>
      <c r="AB143" s="301">
        <f t="shared" si="127"/>
        <v>0</v>
      </c>
      <c r="AF143" s="300">
        <f t="shared" si="152"/>
        <v>0</v>
      </c>
      <c r="AJ143" s="300">
        <f t="shared" si="128"/>
        <v>0</v>
      </c>
      <c r="AN143" s="301">
        <f t="shared" si="129"/>
        <v>0</v>
      </c>
      <c r="AR143" s="300">
        <f t="shared" si="120"/>
        <v>0</v>
      </c>
      <c r="AV143" s="301">
        <f t="shared" si="130"/>
        <v>0</v>
      </c>
      <c r="AW143" s="301"/>
      <c r="AX143" s="301"/>
      <c r="AY143" s="301"/>
      <c r="AZ143" s="301">
        <f t="shared" si="131"/>
        <v>0</v>
      </c>
      <c r="BA143" s="301"/>
      <c r="BB143" s="301"/>
      <c r="BC143" s="301"/>
      <c r="BD143" s="301">
        <f t="shared" si="132"/>
        <v>0</v>
      </c>
      <c r="BE143" s="301"/>
      <c r="BF143" s="301"/>
      <c r="BG143" s="301"/>
      <c r="BH143" s="301">
        <f t="shared" si="149"/>
        <v>0</v>
      </c>
      <c r="BI143" s="300">
        <f>[1]СМУ!K13/1000</f>
        <v>0</v>
      </c>
      <c r="BJ143" s="300">
        <f>[1]СМУ!L13/1000</f>
        <v>0</v>
      </c>
      <c r="BK143" s="300">
        <f>[1]СМУ!M13/1000</f>
        <v>0</v>
      </c>
      <c r="BL143" s="301">
        <f t="shared" si="133"/>
        <v>0</v>
      </c>
      <c r="BM143" s="300">
        <f>'[1]Евро-Строй-Сервис'!K12/1000</f>
        <v>0</v>
      </c>
      <c r="BN143" s="300">
        <f>'[1]Евро-Строй-Сервис'!L12/1000</f>
        <v>0</v>
      </c>
      <c r="BO143" s="300">
        <f>'[1]Евро-Строй-Сервис'!M12/1000</f>
        <v>0</v>
      </c>
      <c r="BP143" s="301">
        <f t="shared" si="134"/>
        <v>0</v>
      </c>
      <c r="BT143" s="301">
        <f t="shared" si="135"/>
        <v>0</v>
      </c>
      <c r="BU143" s="300">
        <f>('[1]ОАО ДК Лен р-на'!K19+'[1]ООО Технология'!K14)/1000</f>
        <v>3.4014500000000001</v>
      </c>
      <c r="BV143" s="300">
        <f>('[1]ОАО ДК Лен р-на'!L19+'[1]ООО Технология'!L14)/1000</f>
        <v>105.88713850000002</v>
      </c>
      <c r="BW143" s="300">
        <f>('[1]ОАО ДК Лен р-на'!M19+'[1]ООО Технология'!M14)/1000</f>
        <v>105.88713850000002</v>
      </c>
      <c r="BX143" s="301">
        <f t="shared" si="137"/>
        <v>0</v>
      </c>
      <c r="BY143" s="300">
        <f>'[1]ОАО ДК ЖД р-на'!K25/1000</f>
        <v>0.78804999999999992</v>
      </c>
      <c r="BZ143" s="300">
        <f>'[1]ОАО ДК ЖД р-на'!L25/1000</f>
        <v>24.531996499999998</v>
      </c>
      <c r="CA143" s="300">
        <f>'[1]ОАО ДК ЖД р-на'!M25/1000</f>
        <v>24.531996499999998</v>
      </c>
      <c r="CB143" s="301">
        <f t="shared" si="138"/>
        <v>0</v>
      </c>
      <c r="CF143" s="300">
        <f t="shared" ref="CF143:CF148" si="210">CE143-CD143</f>
        <v>0</v>
      </c>
      <c r="CJ143" s="301">
        <f t="shared" si="122"/>
        <v>0</v>
      </c>
      <c r="CN143" s="301">
        <f t="shared" si="193"/>
        <v>0</v>
      </c>
      <c r="CR143" s="301">
        <f t="shared" si="194"/>
        <v>0</v>
      </c>
      <c r="CV143" s="301">
        <f t="shared" si="195"/>
        <v>0</v>
      </c>
      <c r="CZ143" s="301">
        <f t="shared" si="196"/>
        <v>0</v>
      </c>
      <c r="DD143" s="300">
        <f t="shared" si="115"/>
        <v>0</v>
      </c>
      <c r="DH143" s="301">
        <f t="shared" si="159"/>
        <v>0</v>
      </c>
      <c r="DL143" s="301">
        <f t="shared" si="139"/>
        <v>0</v>
      </c>
      <c r="DP143" s="301">
        <f t="shared" si="189"/>
        <v>0</v>
      </c>
      <c r="DT143" s="300">
        <f t="shared" si="197"/>
        <v>0</v>
      </c>
      <c r="DX143" s="301">
        <f t="shared" si="112"/>
        <v>0</v>
      </c>
      <c r="EB143" s="301">
        <f t="shared" si="198"/>
        <v>0</v>
      </c>
      <c r="EF143" s="301">
        <f t="shared" ref="EF143:EF148" si="211">EE143-ED143</f>
        <v>0</v>
      </c>
      <c r="EG143" s="300">
        <f>'[1]ООО ЦЭТ'!K19/1000</f>
        <v>0</v>
      </c>
      <c r="EH143" s="300">
        <f>'[1]ООО ЦЭТ'!L19/1000</f>
        <v>0</v>
      </c>
      <c r="EI143" s="300">
        <f>'[1]ООО ЦЭТ'!M19/1000</f>
        <v>0</v>
      </c>
      <c r="EJ143" s="301">
        <f t="shared" si="190"/>
        <v>0</v>
      </c>
      <c r="EK143" s="300">
        <f>'[1]ТСЖ Форт'!K13/1000</f>
        <v>0</v>
      </c>
      <c r="EL143" s="300">
        <f>'[1]ТСЖ Форт'!L13/1000</f>
        <v>0</v>
      </c>
      <c r="EM143" s="300">
        <f>'[1]ТСЖ Форт'!M13/1000</f>
        <v>0</v>
      </c>
      <c r="EN143" s="301">
        <f t="shared" si="199"/>
        <v>0</v>
      </c>
      <c r="EO143" s="300">
        <f>'[1]ООО ЖЭК'!K19/1000</f>
        <v>0</v>
      </c>
      <c r="EP143" s="300">
        <f>'[1]ООО ЖЭК'!L19/1000</f>
        <v>0</v>
      </c>
      <c r="EQ143" s="300">
        <f>'[1]ООО ЖЭК'!M19/1000</f>
        <v>0</v>
      </c>
      <c r="ER143" s="300">
        <f t="shared" si="200"/>
        <v>0</v>
      </c>
      <c r="EV143" s="300">
        <f t="shared" si="201"/>
        <v>0</v>
      </c>
      <c r="EZ143" s="301">
        <f t="shared" si="202"/>
        <v>0</v>
      </c>
      <c r="FA143" s="300">
        <f>'[1]ООО Истоки+'!K15/1000</f>
        <v>0</v>
      </c>
      <c r="FB143" s="300">
        <f>'[1]ООО Истоки+'!L15/1000</f>
        <v>0</v>
      </c>
      <c r="FC143" s="300">
        <f>'[1]ООО Истоки+'!M15/1000</f>
        <v>0</v>
      </c>
      <c r="FD143" s="301">
        <f t="shared" si="203"/>
        <v>0</v>
      </c>
      <c r="FE143" s="300">
        <f>'[1]ООО ЖКиСР УправДом'!K25/1000</f>
        <v>0</v>
      </c>
      <c r="FF143" s="300">
        <f>'[1]ООО ЖКиСР УправДом'!L25/1000</f>
        <v>0</v>
      </c>
      <c r="FG143" s="300">
        <f>'[1]ООО ЖКиСР УправДом'!M25/1000</f>
        <v>0</v>
      </c>
      <c r="FH143" s="301">
        <f t="shared" si="191"/>
        <v>0</v>
      </c>
      <c r="FL143" s="301">
        <f t="shared" si="113"/>
        <v>0</v>
      </c>
      <c r="FM143" s="300">
        <v>0</v>
      </c>
      <c r="FN143" s="300">
        <v>0</v>
      </c>
      <c r="FO143" s="300">
        <v>0</v>
      </c>
      <c r="FP143" s="300">
        <f t="shared" si="206"/>
        <v>0</v>
      </c>
      <c r="FQ143" s="300">
        <f>'[1]ООО ЖКХ Лен-го района'!K19/1000</f>
        <v>2.9293899999999997</v>
      </c>
      <c r="FR143" s="300">
        <f>'[1]ООО ЖКХ Лен-го района'!L19/1000</f>
        <v>91.191910699999994</v>
      </c>
      <c r="FS143" s="300">
        <f>'[1]ООО ЖКХ Лен-го района'!M19/1000</f>
        <v>91.191910699999994</v>
      </c>
      <c r="FT143" s="301">
        <f t="shared" si="204"/>
        <v>0</v>
      </c>
      <c r="FX143" s="300">
        <f t="shared" si="173"/>
        <v>0</v>
      </c>
      <c r="GB143" s="301">
        <f t="shared" si="205"/>
        <v>0</v>
      </c>
      <c r="GF143" s="300">
        <f t="shared" si="174"/>
        <v>0</v>
      </c>
      <c r="GG143" s="300">
        <f>'[1]ЖСК пер Рылеева-14'!K19/1000</f>
        <v>0</v>
      </c>
      <c r="GH143" s="300">
        <f>'[1]ЖСК пер Рылеева-14'!L19/1000</f>
        <v>0</v>
      </c>
      <c r="GI143" s="300">
        <f>'[1]ЖСК пер Рылеева-14'!M19/1000</f>
        <v>0</v>
      </c>
      <c r="GJ143" s="300">
        <f t="shared" si="179"/>
        <v>0</v>
      </c>
      <c r="GK143" s="300">
        <f>'[1]ЖСК пер Рылеева-14'!O19/1000</f>
        <v>0</v>
      </c>
      <c r="GL143" s="300">
        <f>'[1]ЖСК пер Рылеева-14'!P19/1000</f>
        <v>0</v>
      </c>
      <c r="GM143" s="300">
        <f>'[1]ЖСК пер Рылеева-14'!Q19/1000</f>
        <v>0</v>
      </c>
      <c r="GN143" s="301">
        <f t="shared" si="208"/>
        <v>0</v>
      </c>
      <c r="GO143" s="300">
        <f>'[1]ООО УО Партнер'!K12/1000</f>
        <v>8.9939999999999992E-2</v>
      </c>
      <c r="GP143" s="300">
        <f>'[1]ООО УО Партнер'!L12/1000</f>
        <v>2.7998322</v>
      </c>
      <c r="GQ143" s="300">
        <f>'[1]ООО УО Партнер'!M12/1000</f>
        <v>2.7998322</v>
      </c>
      <c r="GR143" s="300">
        <f t="shared" si="180"/>
        <v>0</v>
      </c>
      <c r="GV143" s="301">
        <f t="shared" si="207"/>
        <v>0</v>
      </c>
      <c r="GZ143" s="301">
        <f t="shared" si="150"/>
        <v>0</v>
      </c>
      <c r="HA143" s="303"/>
      <c r="HB143" s="450"/>
      <c r="HC143" s="451"/>
      <c r="HD143" s="451"/>
      <c r="HE143" s="452"/>
      <c r="HF143" s="452"/>
      <c r="HG143" s="452"/>
      <c r="HH143" s="452"/>
      <c r="HI143" s="452"/>
      <c r="HJ143" s="452"/>
      <c r="HK143" s="452"/>
      <c r="HL143" s="452"/>
      <c r="HM143" s="453"/>
      <c r="HN143" s="357"/>
      <c r="HO143" s="286"/>
      <c r="HP143" s="286"/>
      <c r="HQ143" s="286"/>
      <c r="HR143" s="286"/>
      <c r="HS143" s="458"/>
      <c r="HT143" s="458"/>
      <c r="HU143" s="458"/>
      <c r="HV143" s="306"/>
      <c r="HW143" s="286"/>
      <c r="HX143" s="286"/>
      <c r="HY143" s="286"/>
      <c r="HZ143" s="286"/>
      <c r="IA143" s="286"/>
      <c r="IB143" s="286"/>
      <c r="IC143" s="286"/>
      <c r="ID143" s="286"/>
      <c r="IE143" s="286"/>
      <c r="IF143" s="286"/>
      <c r="IG143" s="286"/>
      <c r="IH143" s="286"/>
      <c r="II143" s="286"/>
      <c r="IJ143" s="286"/>
      <c r="IK143" s="286"/>
      <c r="IL143" s="286"/>
      <c r="IM143" s="286"/>
      <c r="IN143" s="286"/>
      <c r="IO143" s="286"/>
      <c r="IP143" s="286"/>
      <c r="IQ143" s="286"/>
      <c r="IR143" s="286"/>
      <c r="IS143" s="286"/>
      <c r="IT143" s="286"/>
      <c r="IU143" s="286"/>
      <c r="IV143" s="286"/>
    </row>
    <row r="144" spans="1:256" s="300" customFormat="1" ht="13.5" hidden="1" customHeight="1">
      <c r="A144" s="394">
        <f t="shared" si="209"/>
        <v>19</v>
      </c>
      <c r="B144" s="910" t="s">
        <v>274</v>
      </c>
      <c r="C144" s="910"/>
      <c r="D144" s="459" t="s">
        <v>273</v>
      </c>
      <c r="E144" s="299">
        <f t="shared" si="192"/>
        <v>419.96497999999997</v>
      </c>
      <c r="F144" s="299">
        <f t="shared" si="192"/>
        <v>142.93986979999997</v>
      </c>
      <c r="G144" s="299">
        <f t="shared" si="192"/>
        <v>142.93986979999997</v>
      </c>
      <c r="H144" s="299">
        <f t="shared" si="192"/>
        <v>0</v>
      </c>
      <c r="L144" s="300">
        <f t="shared" si="146"/>
        <v>0</v>
      </c>
      <c r="P144" s="301">
        <f t="shared" si="185"/>
        <v>0</v>
      </c>
      <c r="Q144" s="300">
        <f>('[1]ОАО ДК Засвияжье 1'!K85+'[1]ОАО ДК Засвияжье 1'!K87)/1000</f>
        <v>0</v>
      </c>
      <c r="R144" s="300">
        <f>('[1]ОАО ДК Засвияжье 1'!L85+'[1]ОАО ДК Засвияжье 1'!L87)/1000</f>
        <v>0</v>
      </c>
      <c r="S144" s="300">
        <f>('[1]ОАО ДК Засвияжье 1'!M85+'[1]ОАО ДК Засвияжье 1'!M87)/1000</f>
        <v>0</v>
      </c>
      <c r="T144" s="300">
        <f t="shared" si="148"/>
        <v>0</v>
      </c>
      <c r="U144" s="457">
        <f>'[1]ОАО ДК Заволж р-на'!K202/1000</f>
        <v>390.8279</v>
      </c>
      <c r="V144" s="457">
        <f>'[1]ОАО ДК Заволж р-на'!L202/1000</f>
        <v>122.4113948</v>
      </c>
      <c r="W144" s="457">
        <f>'[1]ОАО ДК Заволж р-на'!M202/1000</f>
        <v>122.4113948</v>
      </c>
      <c r="X144" s="301">
        <f t="shared" si="154"/>
        <v>0</v>
      </c>
      <c r="Y144" s="300">
        <f>'[1]ООО ЖСС'!K36/1000</f>
        <v>0</v>
      </c>
      <c r="Z144" s="300">
        <f>'[1]ООО ЖСС'!L36/1000</f>
        <v>0</v>
      </c>
      <c r="AA144" s="300">
        <f>'[1]ООО ЖСС'!M36/1000</f>
        <v>0</v>
      </c>
      <c r="AB144" s="301">
        <f t="shared" si="127"/>
        <v>0</v>
      </c>
      <c r="AC144" s="300">
        <f>[1]МегаЛинк!K187/1000</f>
        <v>8.0060000000000002</v>
      </c>
      <c r="AD144" s="300">
        <f>[1]МегаЛинк!L187/1000</f>
        <v>5.2839600000000004</v>
      </c>
      <c r="AE144" s="300">
        <f>[1]МегаЛинк!M187/1000</f>
        <v>5.2839600000000004</v>
      </c>
      <c r="AF144" s="300">
        <f t="shared" si="152"/>
        <v>0</v>
      </c>
      <c r="AJ144" s="300">
        <f t="shared" si="128"/>
        <v>0</v>
      </c>
      <c r="AN144" s="301">
        <f t="shared" si="129"/>
        <v>0</v>
      </c>
      <c r="AR144" s="300">
        <f t="shared" si="120"/>
        <v>0</v>
      </c>
      <c r="AV144" s="301">
        <f t="shared" si="130"/>
        <v>0</v>
      </c>
      <c r="AW144" s="301"/>
      <c r="AX144" s="301"/>
      <c r="AY144" s="301"/>
      <c r="AZ144" s="301">
        <f t="shared" si="131"/>
        <v>0</v>
      </c>
      <c r="BA144" s="301"/>
      <c r="BB144" s="301"/>
      <c r="BC144" s="301"/>
      <c r="BD144" s="301">
        <f t="shared" si="132"/>
        <v>0</v>
      </c>
      <c r="BE144" s="301"/>
      <c r="BF144" s="301"/>
      <c r="BG144" s="301"/>
      <c r="BH144" s="301">
        <f t="shared" si="149"/>
        <v>0</v>
      </c>
      <c r="BL144" s="301">
        <f t="shared" si="133"/>
        <v>0</v>
      </c>
      <c r="BP144" s="301">
        <f t="shared" si="134"/>
        <v>0</v>
      </c>
      <c r="BT144" s="301">
        <f t="shared" si="135"/>
        <v>0</v>
      </c>
      <c r="BX144" s="301">
        <f t="shared" si="137"/>
        <v>0</v>
      </c>
      <c r="BY144" s="300">
        <f>'[1]ОАО ДК ЖД р-на'!K352/1000</f>
        <v>7.42293</v>
      </c>
      <c r="BZ144" s="300">
        <f>'[1]ОАО ДК ЖД р-на'!L352/1000</f>
        <v>5.4783800000000005</v>
      </c>
      <c r="CA144" s="300">
        <f>'[1]ОАО ДК ЖД р-на'!M352/1000</f>
        <v>5.4783800000000005</v>
      </c>
      <c r="CB144" s="301">
        <f t="shared" si="138"/>
        <v>0</v>
      </c>
      <c r="CE144" s="309"/>
      <c r="CF144" s="300">
        <f t="shared" si="210"/>
        <v>0</v>
      </c>
      <c r="CG144" s="300">
        <f>'[1]УК ЖСС'!K56/1000</f>
        <v>5.6314500000000001</v>
      </c>
      <c r="CH144" s="300">
        <f>'[1]УК ЖСС'!L56/1000</f>
        <v>1.689435</v>
      </c>
      <c r="CI144" s="300">
        <f>'[1]УК ЖСС'!M56/1000</f>
        <v>1.689435</v>
      </c>
      <c r="CJ144" s="301">
        <f t="shared" si="122"/>
        <v>0</v>
      </c>
      <c r="CN144" s="301">
        <f t="shared" si="193"/>
        <v>0</v>
      </c>
      <c r="CR144" s="300">
        <f t="shared" si="194"/>
        <v>0</v>
      </c>
      <c r="CV144" s="301">
        <f t="shared" si="195"/>
        <v>0</v>
      </c>
      <c r="CZ144" s="301">
        <f t="shared" si="196"/>
        <v>0</v>
      </c>
      <c r="DD144" s="300">
        <f t="shared" si="115"/>
        <v>0</v>
      </c>
      <c r="DH144" s="301">
        <f t="shared" si="159"/>
        <v>0</v>
      </c>
      <c r="DL144" s="301">
        <f>DK144-DJ144</f>
        <v>0</v>
      </c>
      <c r="DP144" s="301">
        <f t="shared" si="189"/>
        <v>0</v>
      </c>
      <c r="DT144" s="301">
        <f t="shared" si="197"/>
        <v>0</v>
      </c>
      <c r="DX144" s="301">
        <f t="shared" si="112"/>
        <v>0</v>
      </c>
      <c r="EB144" s="301">
        <f t="shared" si="198"/>
        <v>0</v>
      </c>
      <c r="EF144" s="301">
        <f t="shared" si="211"/>
        <v>0</v>
      </c>
      <c r="EG144" s="300">
        <f>('[1]ООО ЦЭТ'!K72+'[1]ООО ЦЭТ'!K76+'[1]ООО ЦЭТ'!K78+'[1]ООО ЦЭТ'!K74)/1000</f>
        <v>8.0767000000000007</v>
      </c>
      <c r="EH144" s="300">
        <f>('[1]ООО ЦЭТ'!L72+'[1]ООО ЦЭТ'!L76+'[1]ООО ЦЭТ'!L78+'[1]ООО ЦЭТ'!L74)/1000</f>
        <v>8.0767000000000007</v>
      </c>
      <c r="EI144" s="300">
        <f>('[1]ООО ЦЭТ'!M72+'[1]ООО ЦЭТ'!M76+'[1]ООО ЦЭТ'!M78+'[1]ООО ЦЭТ'!M74)/1000</f>
        <v>8.0767000000000007</v>
      </c>
      <c r="EJ144" s="301">
        <f t="shared" si="190"/>
        <v>0</v>
      </c>
      <c r="EN144" s="301">
        <f t="shared" si="199"/>
        <v>0</v>
      </c>
      <c r="ER144" s="300">
        <f t="shared" si="200"/>
        <v>0</v>
      </c>
      <c r="EV144" s="300">
        <f t="shared" si="201"/>
        <v>0</v>
      </c>
      <c r="EZ144" s="301">
        <f t="shared" si="202"/>
        <v>0</v>
      </c>
      <c r="FD144" s="301">
        <f t="shared" si="203"/>
        <v>0</v>
      </c>
      <c r="FF144" s="300">
        <f>FE144*3</f>
        <v>0</v>
      </c>
      <c r="FG144" s="300">
        <f>FF144</f>
        <v>0</v>
      </c>
      <c r="FH144" s="301">
        <f t="shared" si="191"/>
        <v>0</v>
      </c>
      <c r="FL144" s="301">
        <f t="shared" si="113"/>
        <v>0</v>
      </c>
      <c r="FP144" s="300">
        <f t="shared" si="206"/>
        <v>0</v>
      </c>
      <c r="FT144" s="301">
        <f t="shared" si="204"/>
        <v>0</v>
      </c>
      <c r="FX144" s="300">
        <f t="shared" si="173"/>
        <v>0</v>
      </c>
      <c r="GB144" s="301">
        <f t="shared" si="205"/>
        <v>0</v>
      </c>
      <c r="GC144" s="300">
        <f>('[1]ООО УК ЦЭТ'!K72+'[1]ООО УК ЦЭТ'!K70+'[1]ООО УК ЦЭТ'!K74+'[1]ООО УК ЦЭТ'!K76)/1000</f>
        <v>0</v>
      </c>
      <c r="GD144" s="300">
        <f>('[1]ООО УК ЦЭТ'!L72+'[1]ООО УК ЦЭТ'!L70+'[1]ООО УК ЦЭТ'!L74+'[1]ООО УК ЦЭТ'!L76)/1000</f>
        <v>0</v>
      </c>
      <c r="GE144" s="300">
        <f>('[1]ООО УК ЦЭТ'!M72+'[1]ООО УК ЦЭТ'!M70+'[1]ООО УК ЦЭТ'!M74+'[1]ООО УК ЦЭТ'!M76)/1000</f>
        <v>0</v>
      </c>
      <c r="GF144" s="300">
        <f t="shared" si="174"/>
        <v>0</v>
      </c>
      <c r="GJ144" s="300">
        <f t="shared" si="179"/>
        <v>0</v>
      </c>
      <c r="GN144" s="301">
        <f t="shared" si="208"/>
        <v>0</v>
      </c>
      <c r="GR144" s="300">
        <f t="shared" si="180"/>
        <v>0</v>
      </c>
      <c r="GV144" s="301">
        <f t="shared" si="207"/>
        <v>0</v>
      </c>
      <c r="GZ144" s="301">
        <f t="shared" si="150"/>
        <v>0</v>
      </c>
      <c r="HA144" s="303"/>
      <c r="HB144" s="339"/>
      <c r="HC144" s="305"/>
      <c r="HD144" s="286"/>
      <c r="HE144" s="286"/>
      <c r="HF144" s="286"/>
      <c r="HG144" s="286"/>
      <c r="HH144" s="286"/>
      <c r="HI144" s="286"/>
      <c r="HJ144" s="286"/>
      <c r="HK144" s="286"/>
      <c r="HL144" s="286"/>
      <c r="HM144" s="286"/>
      <c r="HN144" s="357"/>
      <c r="HO144" s="286"/>
      <c r="HP144" s="286"/>
      <c r="HQ144" s="286"/>
      <c r="HR144" s="286"/>
      <c r="HS144" s="458"/>
      <c r="HT144" s="458"/>
      <c r="HU144" s="458"/>
      <c r="HV144" s="306"/>
      <c r="HW144" s="286"/>
      <c r="HX144" s="286"/>
      <c r="HY144" s="286"/>
      <c r="HZ144" s="286"/>
      <c r="IA144" s="286"/>
      <c r="IB144" s="286"/>
      <c r="IC144" s="286"/>
      <c r="ID144" s="286"/>
      <c r="IE144" s="286"/>
      <c r="IF144" s="286"/>
      <c r="IG144" s="286"/>
      <c r="IH144" s="286"/>
      <c r="II144" s="286"/>
      <c r="IJ144" s="286"/>
      <c r="IK144" s="286"/>
      <c r="IL144" s="286"/>
      <c r="IM144" s="286"/>
      <c r="IN144" s="286"/>
      <c r="IO144" s="286"/>
      <c r="IP144" s="286"/>
      <c r="IQ144" s="286"/>
      <c r="IR144" s="286"/>
      <c r="IS144" s="286"/>
      <c r="IT144" s="286"/>
      <c r="IU144" s="286"/>
      <c r="IV144" s="286"/>
    </row>
    <row r="145" spans="1:256" s="300" customFormat="1" ht="13.5" hidden="1" customHeight="1">
      <c r="A145" s="394">
        <f t="shared" si="209"/>
        <v>20</v>
      </c>
      <c r="B145" s="910" t="s">
        <v>275</v>
      </c>
      <c r="C145" s="910"/>
      <c r="D145" s="460" t="s">
        <v>220</v>
      </c>
      <c r="E145" s="299">
        <f t="shared" si="192"/>
        <v>87</v>
      </c>
      <c r="F145" s="299">
        <f t="shared" si="192"/>
        <v>2.0449999999999999</v>
      </c>
      <c r="G145" s="299">
        <f t="shared" si="192"/>
        <v>2.0449999999999999</v>
      </c>
      <c r="H145" s="299">
        <f t="shared" si="192"/>
        <v>0</v>
      </c>
      <c r="I145" s="309"/>
      <c r="J145" s="309"/>
      <c r="K145" s="309"/>
      <c r="L145" s="300">
        <f t="shared" si="146"/>
        <v>0</v>
      </c>
      <c r="P145" s="301">
        <f t="shared" si="185"/>
        <v>0</v>
      </c>
      <c r="Q145" s="300">
        <f>'[1]ОАО ДК Засвияжье 1'!K83</f>
        <v>80</v>
      </c>
      <c r="R145" s="300">
        <f>'[1]ОАО ДК Засвияжье 1'!L83/1000</f>
        <v>2</v>
      </c>
      <c r="S145" s="300">
        <f>'[1]ОАО ДК Засвияжье 1'!M83/1000</f>
        <v>2</v>
      </c>
      <c r="T145" s="300">
        <f t="shared" si="148"/>
        <v>0</v>
      </c>
      <c r="U145" s="457"/>
      <c r="V145" s="457"/>
      <c r="W145" s="457"/>
      <c r="X145" s="301">
        <f t="shared" si="154"/>
        <v>0</v>
      </c>
      <c r="AB145" s="301">
        <f t="shared" si="127"/>
        <v>0</v>
      </c>
      <c r="AF145" s="300">
        <f t="shared" si="152"/>
        <v>0</v>
      </c>
      <c r="AJ145" s="300">
        <f t="shared" si="128"/>
        <v>0</v>
      </c>
      <c r="AK145" s="309">
        <f>('[1]ООО РЭС'!K65+'[1]ООО РЭС'!K67+'[1]ООО РЭС'!K69)</f>
        <v>7</v>
      </c>
      <c r="AL145" s="309">
        <f>('[1]ООО РЭС'!L65+'[1]ООО РЭС'!L67+'[1]ООО РЭС'!L69)/1000</f>
        <v>4.4999999999999998E-2</v>
      </c>
      <c r="AM145" s="309">
        <f>('[1]ООО РЭС'!M69+'[1]ООО РЭС'!M67+'[1]ООО РЭС'!M65)/1000</f>
        <v>4.4999999999999998E-2</v>
      </c>
      <c r="AN145" s="301">
        <f t="shared" si="129"/>
        <v>0</v>
      </c>
      <c r="AR145" s="300">
        <f t="shared" si="120"/>
        <v>0</v>
      </c>
      <c r="AV145" s="301">
        <f t="shared" si="130"/>
        <v>0</v>
      </c>
      <c r="AW145" s="301"/>
      <c r="AX145" s="301"/>
      <c r="AY145" s="301"/>
      <c r="AZ145" s="301">
        <f t="shared" si="131"/>
        <v>0</v>
      </c>
      <c r="BA145" s="301"/>
      <c r="BB145" s="301"/>
      <c r="BC145" s="301"/>
      <c r="BD145" s="301">
        <f t="shared" si="132"/>
        <v>0</v>
      </c>
      <c r="BE145" s="301"/>
      <c r="BF145" s="301"/>
      <c r="BG145" s="301"/>
      <c r="BH145" s="301">
        <f t="shared" si="149"/>
        <v>0</v>
      </c>
      <c r="BL145" s="301">
        <f t="shared" si="133"/>
        <v>0</v>
      </c>
      <c r="BP145" s="301">
        <f t="shared" si="134"/>
        <v>0</v>
      </c>
      <c r="BT145" s="301">
        <f t="shared" si="135"/>
        <v>0</v>
      </c>
      <c r="BX145" s="301">
        <f t="shared" si="137"/>
        <v>0</v>
      </c>
      <c r="CB145" s="301">
        <f t="shared" si="138"/>
        <v>0</v>
      </c>
      <c r="CE145" s="309"/>
      <c r="CF145" s="300">
        <f t="shared" si="210"/>
        <v>0</v>
      </c>
      <c r="CJ145" s="301">
        <f t="shared" si="122"/>
        <v>0</v>
      </c>
      <c r="CN145" s="301">
        <f>CM145-CL145</f>
        <v>0</v>
      </c>
      <c r="CR145" s="300">
        <f t="shared" si="194"/>
        <v>0</v>
      </c>
      <c r="CV145" s="301">
        <f t="shared" si="195"/>
        <v>0</v>
      </c>
      <c r="CZ145" s="301">
        <f t="shared" si="196"/>
        <v>0</v>
      </c>
      <c r="DD145" s="300">
        <f t="shared" si="115"/>
        <v>0</v>
      </c>
      <c r="DH145" s="301">
        <f t="shared" si="159"/>
        <v>0</v>
      </c>
      <c r="DL145" s="301">
        <f>DK145-DJ145</f>
        <v>0</v>
      </c>
      <c r="DP145" s="301">
        <f t="shared" si="189"/>
        <v>0</v>
      </c>
      <c r="DT145" s="301">
        <f t="shared" si="197"/>
        <v>0</v>
      </c>
      <c r="DX145" s="301">
        <f t="shared" si="112"/>
        <v>0</v>
      </c>
      <c r="EB145" s="301">
        <f t="shared" si="198"/>
        <v>0</v>
      </c>
      <c r="EF145" s="301">
        <f t="shared" si="211"/>
        <v>0</v>
      </c>
      <c r="EJ145" s="301">
        <f t="shared" si="190"/>
        <v>0</v>
      </c>
      <c r="EN145" s="301">
        <f t="shared" si="199"/>
        <v>0</v>
      </c>
      <c r="ER145" s="300">
        <f t="shared" si="200"/>
        <v>0</v>
      </c>
      <c r="EV145" s="300">
        <f t="shared" si="201"/>
        <v>0</v>
      </c>
      <c r="EZ145" s="301">
        <f t="shared" si="202"/>
        <v>0</v>
      </c>
      <c r="FD145" s="301">
        <f t="shared" si="203"/>
        <v>0</v>
      </c>
      <c r="FE145" s="300">
        <f>'[1]ООО ЖКиСР УправДом'!K75</f>
        <v>0</v>
      </c>
      <c r="FF145" s="300">
        <f>'[1]ООО ЖКиСР УправДом'!L75/1000</f>
        <v>0</v>
      </c>
      <c r="FG145" s="300">
        <f>'[1]ООО ЖКиСР УправДом'!M75/1000</f>
        <v>0</v>
      </c>
      <c r="FH145" s="301">
        <f t="shared" si="191"/>
        <v>0</v>
      </c>
      <c r="FL145" s="301">
        <f t="shared" si="113"/>
        <v>0</v>
      </c>
      <c r="FP145" s="300">
        <f t="shared" si="206"/>
        <v>0</v>
      </c>
      <c r="FT145" s="300">
        <f>FS145-FR145</f>
        <v>0</v>
      </c>
      <c r="FX145" s="300">
        <f t="shared" si="173"/>
        <v>0</v>
      </c>
      <c r="GB145" s="301">
        <f t="shared" si="205"/>
        <v>0</v>
      </c>
      <c r="GF145" s="300">
        <f t="shared" si="174"/>
        <v>0</v>
      </c>
      <c r="GJ145" s="300">
        <f t="shared" si="179"/>
        <v>0</v>
      </c>
      <c r="GN145" s="301">
        <f t="shared" si="208"/>
        <v>0</v>
      </c>
      <c r="GR145" s="300">
        <f t="shared" si="180"/>
        <v>0</v>
      </c>
      <c r="GV145" s="301">
        <f t="shared" si="207"/>
        <v>0</v>
      </c>
      <c r="GZ145" s="301">
        <f t="shared" si="150"/>
        <v>0</v>
      </c>
      <c r="HA145" s="303"/>
      <c r="HB145" s="386"/>
      <c r="HC145" s="387" t="s">
        <v>164</v>
      </c>
      <c r="HD145" s="387" t="s">
        <v>165</v>
      </c>
      <c r="HE145" s="387" t="s">
        <v>166</v>
      </c>
      <c r="HF145" s="387" t="s">
        <v>167</v>
      </c>
      <c r="HG145" s="387" t="s">
        <v>168</v>
      </c>
      <c r="HH145" s="387" t="s">
        <v>276</v>
      </c>
      <c r="HI145" s="387" t="s">
        <v>170</v>
      </c>
      <c r="HJ145" s="387" t="s">
        <v>171</v>
      </c>
      <c r="HK145" s="387" t="s">
        <v>277</v>
      </c>
      <c r="HL145" s="387" t="s">
        <v>173</v>
      </c>
      <c r="HM145" s="387" t="s">
        <v>174</v>
      </c>
      <c r="HN145" s="357"/>
      <c r="HO145" s="286"/>
      <c r="HP145" s="286"/>
      <c r="HQ145" s="286"/>
      <c r="HR145" s="286"/>
      <c r="HS145" s="458"/>
      <c r="HT145" s="458"/>
      <c r="HU145" s="458"/>
      <c r="HV145" s="306"/>
      <c r="HW145" s="286"/>
      <c r="HX145" s="286"/>
      <c r="HY145" s="286"/>
      <c r="HZ145" s="286"/>
      <c r="IA145" s="286"/>
      <c r="IB145" s="286"/>
      <c r="IC145" s="286"/>
      <c r="ID145" s="286"/>
      <c r="IE145" s="286"/>
      <c r="IF145" s="286"/>
      <c r="IG145" s="286"/>
      <c r="IH145" s="286"/>
      <c r="II145" s="286"/>
      <c r="IJ145" s="286"/>
      <c r="IK145" s="286"/>
      <c r="IL145" s="286"/>
      <c r="IM145" s="286"/>
      <c r="IN145" s="286"/>
      <c r="IO145" s="286"/>
      <c r="IP145" s="286"/>
      <c r="IQ145" s="286"/>
      <c r="IR145" s="286"/>
      <c r="IS145" s="286"/>
      <c r="IT145" s="286"/>
      <c r="IU145" s="286"/>
      <c r="IV145" s="286"/>
    </row>
    <row r="146" spans="1:256" s="309" customFormat="1" ht="13.5" hidden="1" customHeight="1">
      <c r="A146" s="394">
        <f t="shared" si="209"/>
        <v>21</v>
      </c>
      <c r="B146" s="910" t="s">
        <v>278</v>
      </c>
      <c r="C146" s="910"/>
      <c r="D146" s="460"/>
      <c r="E146" s="299">
        <f t="shared" ref="E146:H147" si="212">I146+M146+Q146+U146+Y146+AC146+AG146+AK146+AO146+AS146+AW146+BA146+BE146+BI146+BM146+BQ146+BU146+BY146+CC146+CG146+CK146+CO146+CS146+CW146+DA146+DE146+DI146+DM146+DQ146+DU146+DY146+EC146+EG146+EK146+EO146+ES146+EW146+FA146+FE146+FI146+FM146+FQ146+FU146+FY146+GC146+GK146+GG146+GO146+GS146</f>
        <v>0</v>
      </c>
      <c r="F146" s="299">
        <f t="shared" si="212"/>
        <v>15937.226719999997</v>
      </c>
      <c r="G146" s="299">
        <f t="shared" si="212"/>
        <v>15937.226719999997</v>
      </c>
      <c r="H146" s="299">
        <f t="shared" si="212"/>
        <v>0</v>
      </c>
      <c r="K146" s="309">
        <f>J146</f>
        <v>0</v>
      </c>
      <c r="L146" s="300">
        <f>K146-J146</f>
        <v>0</v>
      </c>
      <c r="N146" s="309">
        <f>19476.42/1000</f>
        <v>19.476419999999997</v>
      </c>
      <c r="O146" s="309">
        <f>N146</f>
        <v>19.476419999999997</v>
      </c>
      <c r="P146" s="301">
        <f t="shared" si="185"/>
        <v>0</v>
      </c>
      <c r="R146" s="309">
        <f>662437.38/1000</f>
        <v>662.43737999999996</v>
      </c>
      <c r="S146" s="309">
        <f>R146</f>
        <v>662.43737999999996</v>
      </c>
      <c r="T146" s="300">
        <f t="shared" si="148"/>
        <v>0</v>
      </c>
      <c r="V146" s="309">
        <f>683001.37/1000</f>
        <v>683.00136999999995</v>
      </c>
      <c r="W146" s="309">
        <f>V146</f>
        <v>683.00136999999995</v>
      </c>
      <c r="X146" s="301">
        <f t="shared" si="154"/>
        <v>0</v>
      </c>
      <c r="Z146" s="309">
        <f>846266.65/1000</f>
        <v>846.26665000000003</v>
      </c>
      <c r="AA146" s="309">
        <f>Z146</f>
        <v>846.26665000000003</v>
      </c>
      <c r="AB146" s="301">
        <f t="shared" si="127"/>
        <v>0</v>
      </c>
      <c r="AD146" s="309">
        <f>1603964.49/1000</f>
        <v>1603.9644900000001</v>
      </c>
      <c r="AE146" s="309">
        <f>AD146</f>
        <v>1603.9644900000001</v>
      </c>
      <c r="AF146" s="300">
        <f t="shared" si="152"/>
        <v>0</v>
      </c>
      <c r="AI146" s="309">
        <f>AH146</f>
        <v>0</v>
      </c>
      <c r="AJ146" s="300">
        <f t="shared" si="128"/>
        <v>0</v>
      </c>
      <c r="AL146" s="309">
        <f>26587.04/1000</f>
        <v>26.587040000000002</v>
      </c>
      <c r="AM146" s="309">
        <f>AL146</f>
        <v>26.587040000000002</v>
      </c>
      <c r="AN146" s="300">
        <f>AM146-AL146</f>
        <v>0</v>
      </c>
      <c r="AQ146" s="309">
        <f>AP146</f>
        <v>0</v>
      </c>
      <c r="AR146" s="300">
        <f>AQ146-AP146</f>
        <v>0</v>
      </c>
      <c r="AT146" s="309">
        <f>1340037.29/1000</f>
        <v>1340.03729</v>
      </c>
      <c r="AU146" s="309">
        <f>AT146</f>
        <v>1340.03729</v>
      </c>
      <c r="AV146" s="301">
        <f t="shared" si="130"/>
        <v>0</v>
      </c>
      <c r="AX146" s="309">
        <f>274882.97/1000</f>
        <v>274.88297</v>
      </c>
      <c r="AY146" s="309">
        <f>AX146</f>
        <v>274.88297</v>
      </c>
      <c r="AZ146" s="301">
        <f t="shared" si="131"/>
        <v>0</v>
      </c>
      <c r="BC146" s="309">
        <f>BB146</f>
        <v>0</v>
      </c>
      <c r="BD146" s="301">
        <f t="shared" si="132"/>
        <v>0</v>
      </c>
      <c r="BG146" s="309">
        <f>BF146</f>
        <v>0</v>
      </c>
      <c r="BH146" s="301">
        <f t="shared" si="149"/>
        <v>0</v>
      </c>
      <c r="BJ146" s="309">
        <f>1788851.96/1000</f>
        <v>1788.85196</v>
      </c>
      <c r="BK146" s="309">
        <f>BJ146</f>
        <v>1788.85196</v>
      </c>
      <c r="BL146" s="301">
        <f>BK146-BJ146</f>
        <v>0</v>
      </c>
      <c r="BN146" s="309">
        <f>97409.23/1000</f>
        <v>97.409229999999994</v>
      </c>
      <c r="BO146" s="309">
        <f>BN146</f>
        <v>97.409229999999994</v>
      </c>
      <c r="BP146" s="301">
        <f t="shared" si="134"/>
        <v>0</v>
      </c>
      <c r="BR146" s="309">
        <f>99455.47/1000</f>
        <v>99.455470000000005</v>
      </c>
      <c r="BS146" s="309">
        <f>BR146</f>
        <v>99.455470000000005</v>
      </c>
      <c r="BT146" s="301">
        <f t="shared" si="135"/>
        <v>0</v>
      </c>
      <c r="BV146" s="309">
        <f>(1152019.16+280161.71)/1000</f>
        <v>1432.1808699999999</v>
      </c>
      <c r="BW146" s="309">
        <f>BV146</f>
        <v>1432.1808699999999</v>
      </c>
      <c r="BX146" s="301">
        <f t="shared" si="137"/>
        <v>0</v>
      </c>
      <c r="BZ146" s="309">
        <f>948081.38/1000</f>
        <v>948.08137999999997</v>
      </c>
      <c r="CA146" s="309">
        <f>BZ146</f>
        <v>948.08137999999997</v>
      </c>
      <c r="CB146" s="301">
        <f t="shared" si="138"/>
        <v>0</v>
      </c>
      <c r="CD146" s="309">
        <f>30088.16/1000</f>
        <v>30.088159999999998</v>
      </c>
      <c r="CE146" s="309">
        <f>CD146</f>
        <v>30.088159999999998</v>
      </c>
      <c r="CF146" s="300">
        <f t="shared" si="210"/>
        <v>0</v>
      </c>
      <c r="CH146" s="309">
        <f>4411162.58/1000</f>
        <v>4411.1625800000002</v>
      </c>
      <c r="CI146" s="309">
        <f>CH146</f>
        <v>4411.1625800000002</v>
      </c>
      <c r="CJ146" s="301">
        <f t="shared" si="122"/>
        <v>0</v>
      </c>
      <c r="CM146" s="309">
        <f>CL146</f>
        <v>0</v>
      </c>
      <c r="CN146" s="301">
        <f>CM146-CL146</f>
        <v>0</v>
      </c>
      <c r="CP146" s="309">
        <f>91031.47/1000</f>
        <v>91.031469999999999</v>
      </c>
      <c r="CQ146" s="309">
        <f>CP146</f>
        <v>91.031469999999999</v>
      </c>
      <c r="CR146" s="300">
        <f t="shared" si="194"/>
        <v>0</v>
      </c>
      <c r="CT146" s="309">
        <f>130598.21/1000</f>
        <v>130.59820999999999</v>
      </c>
      <c r="CU146" s="309">
        <f>CT146</f>
        <v>130.59820999999999</v>
      </c>
      <c r="CV146" s="301">
        <f t="shared" si="195"/>
        <v>0</v>
      </c>
      <c r="CX146" s="309">
        <f>207930.46/1000</f>
        <v>207.93045999999998</v>
      </c>
      <c r="CY146" s="309">
        <f>CX146</f>
        <v>207.93045999999998</v>
      </c>
      <c r="CZ146" s="301">
        <f>CY146-CX146</f>
        <v>0</v>
      </c>
      <c r="DB146" s="309">
        <f>35647.5/1000</f>
        <v>35.647500000000001</v>
      </c>
      <c r="DC146" s="309">
        <f>DB146</f>
        <v>35.647500000000001</v>
      </c>
      <c r="DD146" s="301">
        <f>DC146-DB146</f>
        <v>0</v>
      </c>
      <c r="DF146" s="309">
        <f>16528.64/1000</f>
        <v>16.528639999999999</v>
      </c>
      <c r="DG146" s="309">
        <f>DF146</f>
        <v>16.528639999999999</v>
      </c>
      <c r="DH146" s="301">
        <f t="shared" si="159"/>
        <v>0</v>
      </c>
      <c r="DJ146" s="309">
        <f>40035.06/1000</f>
        <v>40.035059999999994</v>
      </c>
      <c r="DK146" s="309">
        <f>DJ146</f>
        <v>40.035059999999994</v>
      </c>
      <c r="DL146" s="301">
        <f>DK146-DJ146</f>
        <v>0</v>
      </c>
      <c r="DN146" s="309">
        <f>108874.96/1000</f>
        <v>108.87496</v>
      </c>
      <c r="DO146" s="309">
        <f>DN146</f>
        <v>108.87496</v>
      </c>
      <c r="DP146" s="301">
        <f>DO146-DN146</f>
        <v>0</v>
      </c>
      <c r="DS146" s="309">
        <f>DR146</f>
        <v>0</v>
      </c>
      <c r="DT146" s="301">
        <f t="shared" si="197"/>
        <v>0</v>
      </c>
      <c r="DW146" s="309">
        <f>DV146</f>
        <v>0</v>
      </c>
      <c r="DX146" s="301">
        <f>DW146-DV146</f>
        <v>0</v>
      </c>
      <c r="DZ146" s="309">
        <f>96605.59/1000</f>
        <v>96.605589999999992</v>
      </c>
      <c r="EA146" s="309">
        <f>DZ146</f>
        <v>96.605589999999992</v>
      </c>
      <c r="EB146" s="301">
        <f t="shared" si="198"/>
        <v>0</v>
      </c>
      <c r="ED146" s="309">
        <f>25462.19/1000</f>
        <v>25.46219</v>
      </c>
      <c r="EE146" s="309">
        <f>ED146</f>
        <v>25.46219</v>
      </c>
      <c r="EF146" s="301">
        <f t="shared" si="211"/>
        <v>0</v>
      </c>
      <c r="EH146" s="309">
        <f>406463.21/1000</f>
        <v>406.46321</v>
      </c>
      <c r="EI146" s="309">
        <f>EH146</f>
        <v>406.46321</v>
      </c>
      <c r="EJ146" s="301">
        <f t="shared" si="190"/>
        <v>0</v>
      </c>
      <c r="EM146" s="309">
        <f>EL146</f>
        <v>0</v>
      </c>
      <c r="EN146" s="301">
        <f t="shared" si="199"/>
        <v>0</v>
      </c>
      <c r="EQ146" s="309">
        <f>EP146</f>
        <v>0</v>
      </c>
      <c r="ER146" s="300">
        <f t="shared" si="200"/>
        <v>0</v>
      </c>
      <c r="EU146" s="309">
        <f>ET146</f>
        <v>0</v>
      </c>
      <c r="EV146" s="300">
        <f t="shared" si="201"/>
        <v>0</v>
      </c>
      <c r="EY146" s="309">
        <f>EX146</f>
        <v>0</v>
      </c>
      <c r="EZ146" s="301">
        <f t="shared" si="202"/>
        <v>0</v>
      </c>
      <c r="FC146" s="309">
        <f>FB146</f>
        <v>0</v>
      </c>
      <c r="FD146" s="301">
        <f t="shared" si="203"/>
        <v>0</v>
      </c>
      <c r="FF146" s="309">
        <f>139210.27/1000</f>
        <v>139.21026999999998</v>
      </c>
      <c r="FG146" s="309">
        <f>FF146</f>
        <v>139.21026999999998</v>
      </c>
      <c r="FH146" s="300">
        <f t="shared" si="191"/>
        <v>0</v>
      </c>
      <c r="FJ146" s="309">
        <f>41359.82/1000</f>
        <v>41.359819999999999</v>
      </c>
      <c r="FK146" s="309">
        <f>FJ146</f>
        <v>41.359819999999999</v>
      </c>
      <c r="FL146" s="300">
        <f>FK146-FJ146</f>
        <v>0</v>
      </c>
      <c r="FO146" s="309">
        <f>FN146</f>
        <v>0</v>
      </c>
      <c r="FP146" s="300">
        <f t="shared" si="206"/>
        <v>0</v>
      </c>
      <c r="FR146" s="309">
        <f>24683.9/1000</f>
        <v>24.683900000000001</v>
      </c>
      <c r="FS146" s="309">
        <f>FR146</f>
        <v>24.683900000000001</v>
      </c>
      <c r="FT146" s="300">
        <f>FS146-FR146</f>
        <v>0</v>
      </c>
      <c r="FV146" s="309">
        <f>231701.55/1000</f>
        <v>231.70155</v>
      </c>
      <c r="FW146" s="309">
        <f>FV146</f>
        <v>231.70155</v>
      </c>
      <c r="FX146" s="300">
        <f t="shared" si="173"/>
        <v>0</v>
      </c>
      <c r="FZ146" s="309">
        <f>10433.1/1000</f>
        <v>10.4331</v>
      </c>
      <c r="GA146" s="309">
        <f>FZ146</f>
        <v>10.4331</v>
      </c>
      <c r="GB146" s="301">
        <f t="shared" si="205"/>
        <v>0</v>
      </c>
      <c r="GE146" s="309">
        <f>GD146</f>
        <v>0</v>
      </c>
      <c r="GF146" s="300">
        <f t="shared" si="174"/>
        <v>0</v>
      </c>
      <c r="GH146" s="309">
        <f>18843.87/1000</f>
        <v>18.843869999999999</v>
      </c>
      <c r="GI146" s="309">
        <f>GH146</f>
        <v>18.843869999999999</v>
      </c>
      <c r="GJ146" s="300">
        <f t="shared" si="179"/>
        <v>0</v>
      </c>
      <c r="GL146" s="309">
        <f>1880.2/1000</f>
        <v>1.8802000000000001</v>
      </c>
      <c r="GM146" s="309">
        <f>GL146</f>
        <v>1.8802000000000001</v>
      </c>
      <c r="GN146" s="301">
        <f t="shared" si="208"/>
        <v>0</v>
      </c>
      <c r="GP146" s="309">
        <f>33576.22/1000</f>
        <v>33.576219999999999</v>
      </c>
      <c r="GQ146" s="309">
        <f>GP146</f>
        <v>33.576219999999999</v>
      </c>
      <c r="GR146" s="300">
        <f t="shared" si="180"/>
        <v>0</v>
      </c>
      <c r="GT146" s="309">
        <f>12477.24/1000</f>
        <v>12.47724</v>
      </c>
      <c r="GU146" s="309">
        <f>GT146</f>
        <v>12.47724</v>
      </c>
      <c r="GV146" s="301">
        <f t="shared" si="207"/>
        <v>0</v>
      </c>
      <c r="GY146" s="309">
        <f>GX146</f>
        <v>0</v>
      </c>
      <c r="GZ146" s="301">
        <f t="shared" si="150"/>
        <v>0</v>
      </c>
      <c r="HA146" s="303"/>
      <c r="HB146" s="450" t="s">
        <v>176</v>
      </c>
      <c r="HC146" s="461">
        <f>SUM(BV149,CL149,EH149,EL149,EP149,ET149,FB149,FF149,FN149,FR149,GD149,GH149,GL149)</f>
        <v>59452.55120419999</v>
      </c>
      <c r="HD146" s="461">
        <f>SUM(R149)</f>
        <v>51212.058593100002</v>
      </c>
      <c r="HE146" s="462">
        <f>SUM(BR149,FZ149,GP149)</f>
        <v>3259.4711383999997</v>
      </c>
      <c r="HF146" s="462">
        <f>SUM(V149,AD149,BJ149,BN149,FJ149,GX149)</f>
        <v>65018.984866570005</v>
      </c>
      <c r="HG146" s="462">
        <f>SUM(J149,Z149,AH149,AL149,AX149,BB149,BF149,CD149,CH149,DZ149,ED149,GT149)</f>
        <v>88885.753615779991</v>
      </c>
      <c r="HH146" s="462">
        <f>SUM(BZ149,DJ149)</f>
        <v>54245.440807200008</v>
      </c>
      <c r="HI146" s="462">
        <f>AT149</f>
        <v>8626.5734988000004</v>
      </c>
      <c r="HJ146" s="462">
        <f>SUM(AP149)</f>
        <v>54903.05430792</v>
      </c>
      <c r="HK146" s="462" t="e">
        <f>SUM(DV149,DR149,DN149,DF149,DB149,CX149,CT149,CP149,EX149)</f>
        <v>#REF!</v>
      </c>
      <c r="HL146" s="462">
        <f>N149</f>
        <v>167.521883</v>
      </c>
      <c r="HM146" s="462">
        <f>FV149</f>
        <v>1195.9968635</v>
      </c>
      <c r="HN146" s="453" t="e">
        <f>SUM(HC146:HM146)</f>
        <v>#REF!</v>
      </c>
      <c r="HO146" s="286"/>
      <c r="HP146" s="286"/>
      <c r="HQ146" s="286"/>
      <c r="HR146" s="286"/>
      <c r="HS146" s="458"/>
      <c r="HT146" s="458"/>
      <c r="HU146" s="458"/>
      <c r="HV146" s="306"/>
      <c r="HW146" s="286"/>
      <c r="HX146" s="286"/>
      <c r="HY146" s="286"/>
      <c r="HZ146" s="286"/>
      <c r="IA146" s="286"/>
      <c r="IB146" s="286"/>
      <c r="IC146" s="286"/>
      <c r="ID146" s="286"/>
      <c r="IE146" s="286"/>
      <c r="IF146" s="286"/>
      <c r="IG146" s="286"/>
      <c r="IH146" s="286"/>
      <c r="II146" s="286"/>
      <c r="IJ146" s="286"/>
      <c r="IK146" s="286"/>
      <c r="IL146" s="286"/>
      <c r="IM146" s="286"/>
      <c r="IN146" s="286"/>
      <c r="IO146" s="286"/>
      <c r="IP146" s="286"/>
      <c r="IQ146" s="286"/>
      <c r="IR146" s="286"/>
      <c r="IS146" s="286"/>
      <c r="IT146" s="286"/>
      <c r="IU146" s="286"/>
      <c r="IV146" s="286"/>
    </row>
    <row r="147" spans="1:256" s="309" customFormat="1" ht="13.5" hidden="1" customHeight="1">
      <c r="A147" s="394">
        <f t="shared" si="209"/>
        <v>22</v>
      </c>
      <c r="B147" s="910" t="s">
        <v>279</v>
      </c>
      <c r="C147" s="910"/>
      <c r="D147" s="460"/>
      <c r="E147" s="299">
        <f t="shared" si="212"/>
        <v>0</v>
      </c>
      <c r="F147" s="299">
        <f t="shared" si="212"/>
        <v>3831.5120999999999</v>
      </c>
      <c r="G147" s="299">
        <f t="shared" si="212"/>
        <v>3831.5120999999999</v>
      </c>
      <c r="H147" s="299">
        <f t="shared" si="212"/>
        <v>0</v>
      </c>
      <c r="J147" s="309">
        <f>21608.59/1000</f>
        <v>21.60859</v>
      </c>
      <c r="K147" s="309">
        <f>J147</f>
        <v>21.60859</v>
      </c>
      <c r="L147" s="300">
        <f>K147-J147</f>
        <v>0</v>
      </c>
      <c r="N147" s="309">
        <f>(121.07+66.36)/1000</f>
        <v>0.18743000000000001</v>
      </c>
      <c r="O147" s="309">
        <f>N147</f>
        <v>0.18743000000000001</v>
      </c>
      <c r="P147" s="300">
        <f>O147-N147</f>
        <v>0</v>
      </c>
      <c r="R147" s="309">
        <f>268549.48/1000</f>
        <v>268.54947999999996</v>
      </c>
      <c r="S147" s="309">
        <f>R147</f>
        <v>268.54947999999996</v>
      </c>
      <c r="T147" s="300">
        <f>S147-R147</f>
        <v>0</v>
      </c>
      <c r="V147" s="309">
        <f>471387.54/1000</f>
        <v>471.38754</v>
      </c>
      <c r="W147" s="309">
        <f>V147</f>
        <v>471.38754</v>
      </c>
      <c r="X147" s="301">
        <f t="shared" si="154"/>
        <v>0</v>
      </c>
      <c r="Z147" s="309">
        <f>205658.7/1000</f>
        <v>205.65870000000001</v>
      </c>
      <c r="AA147" s="309">
        <f>Z147</f>
        <v>205.65870000000001</v>
      </c>
      <c r="AB147" s="301">
        <f t="shared" si="127"/>
        <v>0</v>
      </c>
      <c r="AD147" s="309">
        <f>141063.57/1000</f>
        <v>141.06357</v>
      </c>
      <c r="AE147" s="309">
        <f>AD147</f>
        <v>141.06357</v>
      </c>
      <c r="AF147" s="300">
        <f t="shared" si="152"/>
        <v>0</v>
      </c>
      <c r="AI147" s="309">
        <f>AH147</f>
        <v>0</v>
      </c>
      <c r="AJ147" s="300">
        <f t="shared" si="128"/>
        <v>0</v>
      </c>
      <c r="AL147" s="309">
        <f>196766.76/1000</f>
        <v>196.76676</v>
      </c>
      <c r="AM147" s="309">
        <f>AL147</f>
        <v>196.76676</v>
      </c>
      <c r="AN147" s="300">
        <f>AM147-AL147</f>
        <v>0</v>
      </c>
      <c r="AP147" s="309">
        <f>552788.35/1000</f>
        <v>552.78834999999992</v>
      </c>
      <c r="AQ147" s="309">
        <f>AP147</f>
        <v>552.78834999999992</v>
      </c>
      <c r="AR147" s="300">
        <f>AQ147-AP147</f>
        <v>0</v>
      </c>
      <c r="AT147" s="309">
        <f>136763.12/1000</f>
        <v>136.76311999999999</v>
      </c>
      <c r="AU147" s="309">
        <f>AT147</f>
        <v>136.76311999999999</v>
      </c>
      <c r="AV147" s="301">
        <f t="shared" si="130"/>
        <v>0</v>
      </c>
      <c r="AX147" s="309">
        <f>28967.32/1000</f>
        <v>28.967320000000001</v>
      </c>
      <c r="AY147" s="309">
        <f>AX147</f>
        <v>28.967320000000001</v>
      </c>
      <c r="AZ147" s="301">
        <f t="shared" si="131"/>
        <v>0</v>
      </c>
      <c r="BC147" s="309">
        <f>BB147</f>
        <v>0</v>
      </c>
      <c r="BD147" s="301">
        <f t="shared" si="132"/>
        <v>0</v>
      </c>
      <c r="BG147" s="309">
        <f>BF147</f>
        <v>0</v>
      </c>
      <c r="BH147" s="301">
        <f t="shared" si="149"/>
        <v>0</v>
      </c>
      <c r="BJ147" s="309">
        <f>140600.59/1000</f>
        <v>140.60058999999998</v>
      </c>
      <c r="BK147" s="309">
        <f>BJ147</f>
        <v>140.60058999999998</v>
      </c>
      <c r="BL147" s="301">
        <f>BK147-BJ147</f>
        <v>0</v>
      </c>
      <c r="BN147" s="309">
        <f>40678.02/1000</f>
        <v>40.678019999999997</v>
      </c>
      <c r="BO147" s="309">
        <f>BN147</f>
        <v>40.678019999999997</v>
      </c>
      <c r="BP147" s="301">
        <f t="shared" si="134"/>
        <v>0</v>
      </c>
      <c r="BS147" s="309">
        <f>BR147</f>
        <v>0</v>
      </c>
      <c r="BT147" s="301">
        <f t="shared" si="135"/>
        <v>0</v>
      </c>
      <c r="BV147" s="309">
        <f>(230815.56+154300.44+18148.39)/1000</f>
        <v>403.26438999999999</v>
      </c>
      <c r="BW147" s="309">
        <f>BV147</f>
        <v>403.26438999999999</v>
      </c>
      <c r="BX147" s="301">
        <f t="shared" si="137"/>
        <v>0</v>
      </c>
      <c r="BZ147" s="309">
        <f>397535.02/1000</f>
        <v>397.53502000000003</v>
      </c>
      <c r="CA147" s="309">
        <f>BZ147</f>
        <v>397.53502000000003</v>
      </c>
      <c r="CB147" s="301">
        <f t="shared" si="138"/>
        <v>0</v>
      </c>
      <c r="CE147" s="309">
        <f>CD147</f>
        <v>0</v>
      </c>
      <c r="CF147" s="300">
        <f t="shared" si="210"/>
        <v>0</v>
      </c>
      <c r="CH147" s="309">
        <f>493378.63/1000</f>
        <v>493.37862999999999</v>
      </c>
      <c r="CI147" s="309">
        <f>CH147</f>
        <v>493.37862999999999</v>
      </c>
      <c r="CJ147" s="301">
        <f t="shared" si="122"/>
        <v>0</v>
      </c>
      <c r="CL147" s="309">
        <f>46.25/1000</f>
        <v>4.6249999999999999E-2</v>
      </c>
      <c r="CM147" s="309">
        <f>CL147</f>
        <v>4.6249999999999999E-2</v>
      </c>
      <c r="CN147" s="301">
        <f>CM147-CL147</f>
        <v>0</v>
      </c>
      <c r="CQ147" s="309">
        <f>CP147</f>
        <v>0</v>
      </c>
      <c r="CR147" s="300">
        <f t="shared" si="194"/>
        <v>0</v>
      </c>
      <c r="CU147" s="309">
        <f>CT147</f>
        <v>0</v>
      </c>
      <c r="CV147" s="301">
        <f>CU147-CT147</f>
        <v>0</v>
      </c>
      <c r="CX147" s="309">
        <f>6639.21/1000</f>
        <v>6.6392100000000003</v>
      </c>
      <c r="CY147" s="309">
        <f>CX147</f>
        <v>6.6392100000000003</v>
      </c>
      <c r="CZ147" s="301">
        <f>CY147-CX147</f>
        <v>0</v>
      </c>
      <c r="DC147" s="309">
        <f>DB147</f>
        <v>0</v>
      </c>
      <c r="DD147" s="300">
        <f>DC147-DB147</f>
        <v>0</v>
      </c>
      <c r="DF147" s="309">
        <f>6171.48/1000</f>
        <v>6.1714799999999999</v>
      </c>
      <c r="DG147" s="309">
        <f>DF147</f>
        <v>6.1714799999999999</v>
      </c>
      <c r="DH147" s="301">
        <f t="shared" si="159"/>
        <v>0</v>
      </c>
      <c r="DK147" s="309">
        <f>DJ147</f>
        <v>0</v>
      </c>
      <c r="DL147" s="301">
        <f>DK147-DJ147</f>
        <v>0</v>
      </c>
      <c r="DN147" s="309">
        <f>140113.77/1000</f>
        <v>140.11376999999999</v>
      </c>
      <c r="DO147" s="309">
        <f>DN147</f>
        <v>140.11376999999999</v>
      </c>
      <c r="DP147" s="300">
        <f>DO147-DN147</f>
        <v>0</v>
      </c>
      <c r="DS147" s="309">
        <f>DR147</f>
        <v>0</v>
      </c>
      <c r="DT147" s="300">
        <f t="shared" si="197"/>
        <v>0</v>
      </c>
      <c r="DV147" s="309">
        <f>42686.39/1000</f>
        <v>42.686390000000003</v>
      </c>
      <c r="DW147" s="309">
        <f>DV147</f>
        <v>42.686390000000003</v>
      </c>
      <c r="DX147" s="301">
        <f>DW147-DV147</f>
        <v>0</v>
      </c>
      <c r="EA147" s="309">
        <f>DZ147</f>
        <v>0</v>
      </c>
      <c r="EB147" s="301">
        <f t="shared" si="198"/>
        <v>0</v>
      </c>
      <c r="EE147" s="309">
        <f>ED147</f>
        <v>0</v>
      </c>
      <c r="EF147" s="300">
        <f t="shared" si="211"/>
        <v>0</v>
      </c>
      <c r="EH147" s="309">
        <f>85762.88/1000</f>
        <v>85.76288000000001</v>
      </c>
      <c r="EI147" s="309">
        <f>EH147</f>
        <v>85.76288000000001</v>
      </c>
      <c r="EJ147" s="301">
        <f t="shared" si="190"/>
        <v>0</v>
      </c>
      <c r="EM147" s="309">
        <f>EL147</f>
        <v>0</v>
      </c>
      <c r="EN147" s="301">
        <f t="shared" si="199"/>
        <v>0</v>
      </c>
      <c r="EP147" s="309">
        <f>8862.79/1000</f>
        <v>8.8627900000000004</v>
      </c>
      <c r="EQ147" s="309">
        <f>EP147</f>
        <v>8.8627900000000004</v>
      </c>
      <c r="ER147" s="300">
        <f t="shared" si="200"/>
        <v>0</v>
      </c>
      <c r="ET147" s="309">
        <f>(3187.78+3770.74)/1000</f>
        <v>6.95852</v>
      </c>
      <c r="EU147" s="309">
        <f>ET147</f>
        <v>6.95852</v>
      </c>
      <c r="EV147" s="300">
        <f t="shared" si="201"/>
        <v>0</v>
      </c>
      <c r="EY147" s="309">
        <f>EX147</f>
        <v>0</v>
      </c>
      <c r="EZ147" s="301">
        <f t="shared" si="202"/>
        <v>0</v>
      </c>
      <c r="FC147" s="309">
        <f>FB147</f>
        <v>0</v>
      </c>
      <c r="FD147" s="301">
        <f t="shared" si="203"/>
        <v>0</v>
      </c>
      <c r="FF147" s="309">
        <f>5832.2/1000</f>
        <v>5.8321999999999994</v>
      </c>
      <c r="FG147" s="309">
        <f>FF147</f>
        <v>5.8321999999999994</v>
      </c>
      <c r="FH147" s="301">
        <f t="shared" si="191"/>
        <v>0</v>
      </c>
      <c r="FK147" s="309">
        <f>FJ147</f>
        <v>0</v>
      </c>
      <c r="FL147" s="300">
        <f>FK147-FJ147</f>
        <v>0</v>
      </c>
      <c r="FO147" s="309">
        <f>FN147</f>
        <v>0</v>
      </c>
      <c r="FP147" s="300">
        <f t="shared" si="206"/>
        <v>0</v>
      </c>
      <c r="FR147" s="276">
        <f>8585.44/1000</f>
        <v>8.5854400000000002</v>
      </c>
      <c r="FS147" s="309">
        <f>FR147</f>
        <v>8.5854400000000002</v>
      </c>
      <c r="FT147" s="300">
        <f>FS147-FR147</f>
        <v>0</v>
      </c>
      <c r="FV147" s="309">
        <f>16855.48/1000</f>
        <v>16.85548</v>
      </c>
      <c r="FW147" s="309">
        <f>FV147</f>
        <v>16.85548</v>
      </c>
      <c r="FX147" s="300">
        <f t="shared" si="173"/>
        <v>0</v>
      </c>
      <c r="GA147" s="309">
        <f>FZ147</f>
        <v>0</v>
      </c>
      <c r="GB147" s="301">
        <f t="shared" si="205"/>
        <v>0</v>
      </c>
      <c r="GD147" s="309">
        <f>3584.51/1000</f>
        <v>3.5845100000000003</v>
      </c>
      <c r="GE147" s="309">
        <f>GD147</f>
        <v>3.5845100000000003</v>
      </c>
      <c r="GF147" s="300">
        <f t="shared" si="174"/>
        <v>0</v>
      </c>
      <c r="GI147" s="309">
        <f>GH147</f>
        <v>0</v>
      </c>
      <c r="GJ147" s="300">
        <f t="shared" si="179"/>
        <v>0</v>
      </c>
      <c r="GM147" s="309">
        <f>GL147</f>
        <v>0</v>
      </c>
      <c r="GN147" s="301">
        <f t="shared" si="208"/>
        <v>0</v>
      </c>
      <c r="GP147" s="309">
        <f>215.67/1000</f>
        <v>0.21567</v>
      </c>
      <c r="GQ147" s="309">
        <f>GP147</f>
        <v>0.21567</v>
      </c>
      <c r="GR147" s="300">
        <f t="shared" si="180"/>
        <v>0</v>
      </c>
      <c r="GU147" s="309">
        <f>GT147</f>
        <v>0</v>
      </c>
      <c r="GV147" s="301">
        <f t="shared" si="207"/>
        <v>0</v>
      </c>
      <c r="GY147" s="309">
        <f>GX147</f>
        <v>0</v>
      </c>
      <c r="GZ147" s="301">
        <f t="shared" si="150"/>
        <v>0</v>
      </c>
      <c r="HA147" s="303"/>
      <c r="HB147" s="450" t="s">
        <v>179</v>
      </c>
      <c r="HC147" s="463">
        <v>59422.703095570003</v>
      </c>
      <c r="HD147" s="464">
        <v>51382.321819199999</v>
      </c>
      <c r="HE147" s="465">
        <v>3145.1516692</v>
      </c>
      <c r="HF147" s="465">
        <v>64555.573993900005</v>
      </c>
      <c r="HG147" s="465">
        <v>89273.602802019988</v>
      </c>
      <c r="HH147" s="465">
        <v>54371.958990599989</v>
      </c>
      <c r="HI147" s="465">
        <v>8630.8463488000016</v>
      </c>
      <c r="HJ147" s="465">
        <v>55363.010593619998</v>
      </c>
      <c r="HK147" s="465">
        <v>21440.844068099996</v>
      </c>
      <c r="HL147" s="465">
        <v>184.88187400000001</v>
      </c>
      <c r="HM147" s="465">
        <v>1163.3590297000001</v>
      </c>
      <c r="HN147" s="453">
        <f>SUM(HC147:HM147)</f>
        <v>408934.25428470992</v>
      </c>
      <c r="HO147" s="286"/>
      <c r="HP147" s="286"/>
      <c r="HQ147" s="286"/>
      <c r="HR147" s="286"/>
      <c r="HS147" s="458"/>
      <c r="HT147" s="458"/>
      <c r="HU147" s="458"/>
      <c r="HV147" s="306"/>
      <c r="HW147" s="286"/>
      <c r="HX147" s="286"/>
      <c r="HY147" s="286"/>
      <c r="HZ147" s="286"/>
      <c r="IA147" s="286"/>
      <c r="IB147" s="286"/>
      <c r="IC147" s="286"/>
      <c r="ID147" s="286"/>
      <c r="IE147" s="286"/>
      <c r="IF147" s="286"/>
      <c r="IG147" s="286"/>
      <c r="IH147" s="286"/>
      <c r="II147" s="286"/>
      <c r="IJ147" s="286"/>
      <c r="IK147" s="286"/>
      <c r="IL147" s="286"/>
      <c r="IM147" s="286"/>
      <c r="IN147" s="286"/>
      <c r="IO147" s="286"/>
      <c r="IP147" s="286"/>
      <c r="IQ147" s="286"/>
      <c r="IR147" s="286"/>
      <c r="IS147" s="286"/>
      <c r="IT147" s="286"/>
      <c r="IU147" s="286"/>
      <c r="IV147" s="286"/>
    </row>
    <row r="148" spans="1:256" ht="13.5" hidden="1" customHeight="1">
      <c r="A148" s="394">
        <f t="shared" si="209"/>
        <v>23</v>
      </c>
      <c r="B148" s="466" t="s">
        <v>280</v>
      </c>
      <c r="C148" s="466"/>
      <c r="D148" s="467" t="s">
        <v>273</v>
      </c>
      <c r="E148" s="299">
        <f>I148+M148+Q148+U148+Y148+AC148+AG148+AK148+AO148+AS148+AW148+BA148+BE148+BI148+BM148+BQ148+BU148+BY148+CC148+CG148+CK148+CO148+CS148+CW148+DA148+DE148+DI148+DM148+DQ148+DU148+DY148+EC148+EG148+EK148+EO148+ES148+EW148+FA148+FE148+FI148+FM148+FQ148+FU148+FY148+GC148+GK148+GG148+GO148+GS148+GW148</f>
        <v>1174.20812</v>
      </c>
      <c r="F148" s="299">
        <f>J148+N148+R148+V148+Z148+AD148+AH148+AL148+AP148+AT148+AX148+BB148+BF148+BJ148+BN148+BR148+BV148+BZ148+CD148+CH148+CL148+CP148+CT148+CX148+DB148+DF148+DJ148+DN148+DR148+DV148+DZ148+ED148+EH148+EL148+EP148+ET148+EX148+FB148+FF148+FJ148+FN148+FR148+FV148+FZ148+GD148+GL148+GH148+GP148+GT148+GX148</f>
        <v>664.68240170000013</v>
      </c>
      <c r="G148" s="299">
        <f>K148+O148+S148+W148+AA148+AE148+AI148+AM148+AQ148+AU148+AY148+BC148+BG148+BK148+BO148+BS148+BW148+CA148+CE148+CI148+CM148+CQ148+CU148+CY148+DC148+DG148+DK148+DO148+DS148+DW148+EA148+EE148+EI148+EM148+EQ148+EU148+EY148+FC148+FG148+FK148+FO148+FS148+FW148+GA148+GE148+GM148+GI148+GQ148+GU148+GY148</f>
        <v>664.68240170000013</v>
      </c>
      <c r="H148" s="299">
        <f>L148+P148+T148+X148+AB148+AF148+AJ148+AN148+AR148+AV148+AZ148+BD148+BH148+BL148+BP148+BT148+BX148+CB148+CF148+CJ148+CN148+CR148+CV148+CZ148+DD148+DH148+DL148+DP148+DT148+DX148+EB148+EF148+EJ148+EN148+ER148+EV148+EZ148+FD148+FH148+FL148+FP148+FT148+FX148+GB148+GF148+GN148+GJ148+GR148+GV148+GZ148</f>
        <v>0</v>
      </c>
      <c r="I148" s="300">
        <f>'[1]ГК РЭС'!K188/1000</f>
        <v>5.52562</v>
      </c>
      <c r="J148" s="300">
        <f>'[1]ГК РЭС'!L188/1000</f>
        <v>3.5363967999999999</v>
      </c>
      <c r="K148" s="300">
        <f>'[1]ГК РЭС'!M188/1000</f>
        <v>3.5363967999999999</v>
      </c>
      <c r="L148" s="300">
        <f t="shared" si="146"/>
        <v>0</v>
      </c>
      <c r="M148" s="300">
        <f>'[1]УМУП УК ЖКХ г.Ульяновска'!K447/1000</f>
        <v>0.9507000000000001</v>
      </c>
      <c r="N148" s="300">
        <f>'[1]УМУП УК ЖКХ г.Ульяновска'!L447/1000</f>
        <v>0.32162819999999998</v>
      </c>
      <c r="O148" s="300">
        <f>'[1]УМУП УК ЖКХ г.Ульяновска'!M447/1000</f>
        <v>0.32162819999999998</v>
      </c>
      <c r="P148" s="300">
        <f t="shared" si="185"/>
        <v>0</v>
      </c>
      <c r="Q148" s="300">
        <f>'[1]ОАО ДК Засвияжье 1'!K532/1000</f>
        <v>205.94956000000002</v>
      </c>
      <c r="R148" s="300">
        <f>'[1]ОАО ДК Засвияжье 1'!L532/1000</f>
        <v>108.89903199999999</v>
      </c>
      <c r="S148" s="300">
        <f>'[1]ОАО ДК Засвияжье 1'!M532/1000</f>
        <v>108.89903199999999</v>
      </c>
      <c r="T148" s="300">
        <f t="shared" si="148"/>
        <v>0</v>
      </c>
      <c r="U148" s="300">
        <f>'[1]ОАО ДК Заволж р-на'!K531/1000</f>
        <v>107.16897</v>
      </c>
      <c r="V148" s="300">
        <f>'[1]ОАО ДК Заволж р-на'!L531/1000</f>
        <v>55.02931490000001</v>
      </c>
      <c r="W148" s="300">
        <f>'[1]ОАО ДК Заволж р-на'!M531/1000</f>
        <v>55.02931490000001</v>
      </c>
      <c r="X148" s="301">
        <f t="shared" si="154"/>
        <v>0</v>
      </c>
      <c r="Y148" s="300">
        <f>'[1]ООО ЖСС'!K215/1000</f>
        <v>49.287639999999996</v>
      </c>
      <c r="Z148" s="300">
        <f>'[1]ООО ЖСС'!L215/1000</f>
        <v>31.104775199999999</v>
      </c>
      <c r="AA148" s="300">
        <f>'[1]ООО ЖСС'!M215/1000</f>
        <v>31.104775199999999</v>
      </c>
      <c r="AB148" s="301">
        <f t="shared" si="127"/>
        <v>0</v>
      </c>
      <c r="AC148" s="300">
        <f>[1]МегаЛинк!K255/1000</f>
        <v>27.73847</v>
      </c>
      <c r="AD148" s="300">
        <f>[1]МегаЛинк!L255/1000</f>
        <v>17.928497500000002</v>
      </c>
      <c r="AE148" s="300">
        <f>[1]МегаЛинк!M255/1000</f>
        <v>17.928497500000002</v>
      </c>
      <c r="AF148" s="300">
        <f t="shared" si="152"/>
        <v>0</v>
      </c>
      <c r="AG148" s="300">
        <f>[1]Вымпел!K172/1000</f>
        <v>4.5939799999999993</v>
      </c>
      <c r="AH148" s="300">
        <f>[1]Вымпел!L172/1000</f>
        <v>2.9401471999999997</v>
      </c>
      <c r="AI148" s="300">
        <f>[1]Вымпел!M172/1000</f>
        <v>2.9401471999999997</v>
      </c>
      <c r="AJ148" s="300">
        <f t="shared" si="128"/>
        <v>0</v>
      </c>
      <c r="AK148" s="300">
        <f>'[1]ООО РЭС'!K241/1000</f>
        <v>48.910919999999997</v>
      </c>
      <c r="AL148" s="300">
        <f>'[1]ООО РЭС'!L241/1000</f>
        <v>31.367356000000004</v>
      </c>
      <c r="AM148" s="300">
        <f>'[1]ООО РЭС'!M241/1000</f>
        <v>31.367356000000004</v>
      </c>
      <c r="AN148" s="300">
        <f>AM148-AL148</f>
        <v>0</v>
      </c>
      <c r="AO148" s="300">
        <f>'[1]ЗАО ГК Аметист'!K606/1000</f>
        <v>77.468149999999994</v>
      </c>
      <c r="AP148" s="300">
        <f>'[1]ЗАО ГК Аметист'!L606/1000</f>
        <v>46.505061999999988</v>
      </c>
      <c r="AQ148" s="300">
        <f>'[1]ЗАО ГК Аметист'!M606/1000</f>
        <v>46.505061999999988</v>
      </c>
      <c r="AR148" s="300">
        <f>AQ148-AP148</f>
        <v>0</v>
      </c>
      <c r="AS148" s="300">
        <f>'[1]Фундамент СК ООО'!K418/1000</f>
        <v>30.575240000000001</v>
      </c>
      <c r="AT148" s="300">
        <f>'[1]Фундамент СК ООО'!L418/1000</f>
        <v>19.526034200000002</v>
      </c>
      <c r="AU148" s="300">
        <f>'[1]Фундамент СК ООО'!M418/1000</f>
        <v>19.526034200000002</v>
      </c>
      <c r="AV148" s="300">
        <f t="shared" si="130"/>
        <v>0</v>
      </c>
      <c r="AW148" s="301">
        <f>'[1]Ульяновский _2 ТСЖ'!K171/1000</f>
        <v>4.5512799999999993</v>
      </c>
      <c r="AX148" s="301">
        <f>'[1]Ульяновский _2 ТСЖ'!L171/1000</f>
        <v>3.6865367999999998</v>
      </c>
      <c r="AY148" s="301">
        <f>'[1]Ульяновский _2 ТСЖ'!M171/1000</f>
        <v>3.6865367999999998</v>
      </c>
      <c r="AZ148" s="301">
        <f t="shared" si="131"/>
        <v>0</v>
      </c>
      <c r="BA148" s="301">
        <f>'[1]ДоМ ТСЖ'!K171/1000</f>
        <v>1.58731</v>
      </c>
      <c r="BB148" s="301">
        <f>'[1]ДоМ ТСЖ'!L171/1000</f>
        <v>1.0158783999999998</v>
      </c>
      <c r="BC148" s="301">
        <f>'[1]ДоМ ТСЖ'!M171/1000</f>
        <v>1.0158783999999998</v>
      </c>
      <c r="BD148" s="301">
        <f t="shared" si="132"/>
        <v>0</v>
      </c>
      <c r="BE148" s="301">
        <f>'[1]ООО ТехноГрад'!K175/1000</f>
        <v>1.27633</v>
      </c>
      <c r="BF148" s="301">
        <f>'[1]ООО ТехноГрад'!L175/1000</f>
        <v>0.8168512</v>
      </c>
      <c r="BG148" s="301">
        <f>'[1]ООО ТехноГрад'!M175/1000</f>
        <v>0.8168512</v>
      </c>
      <c r="BH148" s="301">
        <f t="shared" si="149"/>
        <v>0</v>
      </c>
      <c r="BI148" s="300">
        <f>[1]СМУ!K441/1000</f>
        <v>59.35604</v>
      </c>
      <c r="BJ148" s="300">
        <f>[1]СМУ!L441/1000</f>
        <v>27.906674200000001</v>
      </c>
      <c r="BK148" s="300">
        <f>[1]СМУ!M441/1000</f>
        <v>27.906674200000001</v>
      </c>
      <c r="BL148" s="301">
        <f>BK148-BJ148</f>
        <v>0</v>
      </c>
      <c r="BM148" s="300">
        <f>'[1]Евро-Строй-Сервис'!K243/1000</f>
        <v>7.5585900000000006</v>
      </c>
      <c r="BN148" s="300">
        <f>'[1]Евро-Строй-Сервис'!L243/1000</f>
        <v>4.6202133000000005</v>
      </c>
      <c r="BO148" s="300">
        <f>'[1]Евро-Строй-Сервис'!M243/1000</f>
        <v>4.6202133000000005</v>
      </c>
      <c r="BP148" s="300">
        <f>BO148-BN148</f>
        <v>0</v>
      </c>
      <c r="BQ148" s="300">
        <f>'[1]ОАО ДК Засвияжье 2'!K566/1000</f>
        <v>6.5994500000000009</v>
      </c>
      <c r="BR148" s="300">
        <f>'[1]ОАО ДК Засвияжье 2'!L566/1000</f>
        <v>3.5708386999999999</v>
      </c>
      <c r="BS148" s="300">
        <f>'[1]ОАО ДК Засвияжье 2'!M566/1000</f>
        <v>3.5708386999999999</v>
      </c>
      <c r="BT148" s="301">
        <f t="shared" si="135"/>
        <v>0</v>
      </c>
      <c r="BU148" s="300">
        <f>('[1]ОАО ДК Лен р-на'!K746+'[1]ООО Технология'!K377)/1000</f>
        <v>100.73186</v>
      </c>
      <c r="BV148" s="300">
        <f>('[1]ОАО ДК Лен р-на'!L746+'[1]ООО Технология'!L377)/1000</f>
        <v>59.311558599999998</v>
      </c>
      <c r="BW148" s="300">
        <f>('[1]ОАО ДК Лен р-на'!M746+'[1]ООО Технология'!M377)/1000</f>
        <v>59.311558599999998</v>
      </c>
      <c r="BX148" s="301">
        <f t="shared" si="137"/>
        <v>0</v>
      </c>
      <c r="BY148" s="300">
        <f>'[1]ОАО ДК ЖД р-на'!K1072/1000</f>
        <v>185.06292999999999</v>
      </c>
      <c r="BZ148" s="300">
        <f>'[1]ОАО ДК ЖД р-на'!L1072/1000</f>
        <v>100.8834083</v>
      </c>
      <c r="CA148" s="300">
        <f>'[1]ОАО ДК ЖД р-на'!M1072/1000</f>
        <v>100.8834083</v>
      </c>
      <c r="CB148" s="301">
        <f t="shared" si="138"/>
        <v>0</v>
      </c>
      <c r="CC148" s="300">
        <f>[1]СУК!K172/1000</f>
        <v>0</v>
      </c>
      <c r="CD148" s="300">
        <f>[1]СУК!L172/1000</f>
        <v>0</v>
      </c>
      <c r="CE148" s="300">
        <f>[1]СУК!M172/1000</f>
        <v>0</v>
      </c>
      <c r="CF148" s="301">
        <f t="shared" si="210"/>
        <v>0</v>
      </c>
      <c r="CG148" s="300">
        <f>'[1]УК ЖСС'!K245/1000</f>
        <v>122.26800999999999</v>
      </c>
      <c r="CH148" s="300">
        <f>'[1]УК ЖСС'!L245/1000</f>
        <v>78.064264799999989</v>
      </c>
      <c r="CI148" s="300">
        <f>'[1]УК ЖСС'!M245/1000</f>
        <v>78.064264799999989</v>
      </c>
      <c r="CJ148" s="301">
        <f t="shared" si="122"/>
        <v>0</v>
      </c>
      <c r="CK148" s="300">
        <f>'[1]ТСЖ Народ контроль R'!K172/1000</f>
        <v>3.8978299999999999</v>
      </c>
      <c r="CL148" s="300">
        <f>'[1]ТСЖ Народ контроль R'!L172/1000</f>
        <v>3.8978299999999999</v>
      </c>
      <c r="CM148" s="300">
        <f>'[1]ТСЖ Народ контроль R'!M172/1000</f>
        <v>3.8978299999999999</v>
      </c>
      <c r="CN148" s="300">
        <f>CM148-CL148</f>
        <v>0</v>
      </c>
      <c r="CO148" s="300">
        <f>'[1]Север-1'!K533/1000</f>
        <v>2.65178</v>
      </c>
      <c r="CP148" s="300">
        <f>'[1]Север-1'!L533/1000</f>
        <v>1.2701116000000001</v>
      </c>
      <c r="CQ148" s="300">
        <f>'[1]Север-1'!M533/1000</f>
        <v>1.2701116000000001</v>
      </c>
      <c r="CR148" s="300">
        <f t="shared" si="194"/>
        <v>0</v>
      </c>
      <c r="CS148" s="300">
        <f>'[1]МостОтряд №51'!K172/1000</f>
        <v>4.2033000000000005</v>
      </c>
      <c r="CT148" s="300">
        <f>'[1]МостОтряд №51'!L172/1000</f>
        <v>1.5612862000000001</v>
      </c>
      <c r="CU148" s="300">
        <f>'[1]МостОтряд №51'!M172/1000</f>
        <v>1.5612862000000001</v>
      </c>
      <c r="CV148" s="300">
        <f>CU148-CT148</f>
        <v>0</v>
      </c>
      <c r="CW148" s="300">
        <f>'[1]Пр-т Гая'!K685/1000</f>
        <v>7.0202999999999989</v>
      </c>
      <c r="CX148" s="300">
        <f>'[1]Пр-т Гая'!L685/1000</f>
        <v>3.5455212</v>
      </c>
      <c r="CY148" s="300">
        <f>'[1]Пр-т Гая'!M685/1000</f>
        <v>3.5455212</v>
      </c>
      <c r="CZ148" s="300">
        <f>CY148-CX148</f>
        <v>0</v>
      </c>
      <c r="DA148" s="300">
        <f>[1]Стасова!K401/1000</f>
        <v>3.1000699999999997</v>
      </c>
      <c r="DB148" s="300">
        <f>[1]Стасова!L401/1000</f>
        <v>1.6128524</v>
      </c>
      <c r="DC148" s="300">
        <f>[1]Стасова!M401/1000</f>
        <v>1.6128524</v>
      </c>
      <c r="DD148" s="300">
        <f>DC148-DB148</f>
        <v>0</v>
      </c>
      <c r="DE148" s="300">
        <f>'[1]Мегаполис ТСЖ'!K172/1000</f>
        <v>2.4764200000000001</v>
      </c>
      <c r="DF148" s="300">
        <f>'[1]Мегаполис ТСЖ'!L172/1000</f>
        <v>1.6329586</v>
      </c>
      <c r="DG148" s="300">
        <f>'[1]Мегаполис ТСЖ'!M172/1000</f>
        <v>1.6329586</v>
      </c>
      <c r="DH148" s="300">
        <f t="shared" si="159"/>
        <v>0</v>
      </c>
      <c r="DI148" s="300">
        <f>'[1]ООО УК Инвестстрой М'!K174/1000</f>
        <v>0</v>
      </c>
      <c r="DJ148" s="300">
        <f>'[1]ООО УК Инвестстрой М'!L174/1000</f>
        <v>0</v>
      </c>
      <c r="DK148" s="300">
        <f>'[1]ООО УК Инвестстрой М'!M174/1000</f>
        <v>0</v>
      </c>
      <c r="DL148" s="300">
        <f>DK148-DJ148</f>
        <v>0</v>
      </c>
      <c r="DM148" s="300">
        <f>'[1]Альфаком-У'!K437/1000</f>
        <v>51.272309999999997</v>
      </c>
      <c r="DN148" s="300">
        <f>'[1]Альфаком-У'!L437/1000</f>
        <v>26.492292599999999</v>
      </c>
      <c r="DO148" s="300">
        <f>'[1]Альфаком-У'!M437/1000</f>
        <v>26.492292599999999</v>
      </c>
      <c r="DP148" s="300">
        <f>DO148-DN148</f>
        <v>0</v>
      </c>
      <c r="DQ148" s="300">
        <f>'[1]ТСЖ Дачный'!K401/1000</f>
        <v>0</v>
      </c>
      <c r="DR148" s="300">
        <f>'[1]ТСЖ Дачный'!L401/1000</f>
        <v>0</v>
      </c>
      <c r="DS148" s="300">
        <f>'[1]ТСЖ Дачный'!M401/1000</f>
        <v>0</v>
      </c>
      <c r="DT148" s="300">
        <f t="shared" si="197"/>
        <v>0</v>
      </c>
      <c r="DU148" s="300">
        <f>'[1]Альфаком-У-ТСЖ З-2'!K414/1000</f>
        <v>11.08244</v>
      </c>
      <c r="DV148" s="300">
        <f>'[1]Альфаком-У-ТСЖ З-2'!L414/1000</f>
        <v>6.9761162000000008</v>
      </c>
      <c r="DW148" s="300">
        <f>'[1]Альфаком-У-ТСЖ З-2'!M414/1000</f>
        <v>6.9761162000000008</v>
      </c>
      <c r="DX148" s="301">
        <f>DW148-DV148</f>
        <v>0</v>
      </c>
      <c r="DY148" s="300">
        <f>'[1]ЖСК Электромаш'!K172/1000</f>
        <v>0</v>
      </c>
      <c r="DZ148" s="300">
        <f>'[1]ЖСК Электромаш'!L172/1000</f>
        <v>0</v>
      </c>
      <c r="EA148" s="300">
        <f>'[1]ЖСК Электромаш'!M172/1000</f>
        <v>0</v>
      </c>
      <c r="EB148" s="300">
        <f>EA148-DZ148</f>
        <v>0</v>
      </c>
      <c r="EC148" s="300">
        <f>'[1]ЗАО Авиастар-СП'!K172/1000</f>
        <v>0</v>
      </c>
      <c r="ED148" s="300">
        <f>'[1]ЗАО Авиастар-СП'!L172/1000</f>
        <v>0</v>
      </c>
      <c r="EE148" s="300">
        <f>'[1]ЗАО Авиастар-СП'!M172/1000</f>
        <v>0</v>
      </c>
      <c r="EF148" s="300">
        <f t="shared" si="211"/>
        <v>0</v>
      </c>
      <c r="EG148" s="300">
        <f>'[1]ООО ЦЭТ'!K569/1000</f>
        <v>14.855699999999999</v>
      </c>
      <c r="EH148" s="300">
        <f>'[1]ООО ЦЭТ'!L569/1000</f>
        <v>9.6839736000000016</v>
      </c>
      <c r="EI148" s="300">
        <f>'[1]ООО ЦЭТ'!M569/1000</f>
        <v>9.6839736000000016</v>
      </c>
      <c r="EJ148" s="300">
        <f t="shared" si="190"/>
        <v>0</v>
      </c>
      <c r="EK148" s="300">
        <f>'[1]ТСЖ Форт'!K172/1000</f>
        <v>0</v>
      </c>
      <c r="EL148" s="300">
        <f>'[1]ТСЖ Форт'!L172/1000</f>
        <v>0</v>
      </c>
      <c r="EM148" s="300">
        <f>'[1]ТСЖ Форт'!M172/1000</f>
        <v>0</v>
      </c>
      <c r="EN148" s="301">
        <f t="shared" si="199"/>
        <v>0</v>
      </c>
      <c r="EO148" s="300">
        <f>'[1]ООО ЖЭК'!K324/1000</f>
        <v>1.5332699999999999</v>
      </c>
      <c r="EP148" s="300">
        <f>'[1]ООО ЖЭК'!L324/1000</f>
        <v>0.99613609999999997</v>
      </c>
      <c r="EQ148" s="300">
        <f>'[1]ООО ЖЭК'!M324/1000</f>
        <v>0.99613609999999997</v>
      </c>
      <c r="ER148" s="300">
        <f t="shared" si="200"/>
        <v>0</v>
      </c>
      <c r="ES148" s="300">
        <f>'[1]УК ЖКХ Симбирск'!K556/1000</f>
        <v>1.0678800000000002</v>
      </c>
      <c r="ET148" s="300">
        <f>'[1]УК ЖКХ Симбирск'!L556/1000</f>
        <v>0.69580419999999998</v>
      </c>
      <c r="EU148" s="300">
        <f>'[1]УК ЖКХ Симбирск'!M556/1000</f>
        <v>0.69580419999999998</v>
      </c>
      <c r="EV148" s="300">
        <f t="shared" si="201"/>
        <v>0</v>
      </c>
      <c r="EW148" s="300">
        <f>'[1]ООО Наш Дом 010212'!K466/1000</f>
        <v>0</v>
      </c>
      <c r="EX148" s="300">
        <f>'[1]ООО Наш Дом 010212'!L466/1000</f>
        <v>0</v>
      </c>
      <c r="EY148" s="300">
        <f>'[1]ООО Наш Дом 010212'!M466/1000</f>
        <v>0</v>
      </c>
      <c r="EZ148" s="301">
        <f t="shared" si="202"/>
        <v>0</v>
      </c>
      <c r="FA148" s="300">
        <f>'[1]ООО Истоки+'!K372/1000</f>
        <v>0.84989999999999999</v>
      </c>
      <c r="FB148" s="300">
        <f>'[1]ООО Истоки+'!L372/1000</f>
        <v>0.63719939999999997</v>
      </c>
      <c r="FC148" s="300">
        <f>'[1]ООО Истоки+'!M372/1000</f>
        <v>0.63719939999999997</v>
      </c>
      <c r="FD148" s="301">
        <f t="shared" si="203"/>
        <v>0</v>
      </c>
      <c r="FE148" s="300">
        <f>'[1]ООО ЖКиСР УправДом'!K582/1000</f>
        <v>0.32606000000000002</v>
      </c>
      <c r="FF148" s="300">
        <f>'[1]ООО ЖКиСР УправДом'!L582/1000</f>
        <v>0.18259360000000002</v>
      </c>
      <c r="FG148" s="300">
        <f>'[1]ООО ЖКиСР УправДом'!M582/1000</f>
        <v>0.18259360000000002</v>
      </c>
      <c r="FH148" s="301">
        <f t="shared" si="191"/>
        <v>0</v>
      </c>
      <c r="FI148" s="300">
        <f>'[1]ТСЖ Малахит'!K169/1000</f>
        <v>0</v>
      </c>
      <c r="FJ148" s="300">
        <f>'[1]ТСЖ Малахит'!L169/1000</f>
        <v>0</v>
      </c>
      <c r="FK148" s="300">
        <f>'[1]ТСЖ Малахит'!M169/1000</f>
        <v>0</v>
      </c>
      <c r="FL148" s="300">
        <f>FK148-FJ148</f>
        <v>0</v>
      </c>
      <c r="FM148" s="300">
        <v>0</v>
      </c>
      <c r="FN148" s="300">
        <v>0</v>
      </c>
      <c r="FO148" s="300">
        <v>0</v>
      </c>
      <c r="FP148" s="300">
        <f t="shared" si="206"/>
        <v>0</v>
      </c>
      <c r="FQ148" s="300">
        <f>'[1]ООО ЖКХ Лен-го района'!K498/1000</f>
        <v>6.6853300000000004</v>
      </c>
      <c r="FR148" s="300">
        <f>'[1]ООО ЖКХ Лен-го района'!L498/1000</f>
        <v>3.0723000000000003</v>
      </c>
      <c r="FS148" s="300">
        <f>'[1]ООО ЖКХ Лен-го района'!M498/1000</f>
        <v>3.0723000000000003</v>
      </c>
      <c r="FT148" s="300">
        <f>FS148-FR148</f>
        <v>0</v>
      </c>
      <c r="FU148" s="300">
        <f>'[1]ООО УК КПД-1'!K195/1000</f>
        <v>6.0850600000000004</v>
      </c>
      <c r="FV148" s="300">
        <f>'[1]ООО УК КПД-1'!L195/1000</f>
        <v>1.7646674</v>
      </c>
      <c r="FW148" s="300">
        <f>'[1]ООО УК КПД-1'!M195/1000</f>
        <v>1.7646674</v>
      </c>
      <c r="FX148" s="300">
        <f t="shared" si="173"/>
        <v>0</v>
      </c>
      <c r="FY148" s="300">
        <f>'[1]ООО КПД-2 Жилсервис'!K180/1000</f>
        <v>0</v>
      </c>
      <c r="FZ148" s="300">
        <f>'[1]ООО КПД-2 Жилсервис'!L180/1000</f>
        <v>0</v>
      </c>
      <c r="GA148" s="300">
        <f>'[1]ООО КПД-2 Жилсервис'!M180/1000</f>
        <v>0</v>
      </c>
      <c r="GB148" s="301">
        <f t="shared" si="205"/>
        <v>0</v>
      </c>
      <c r="GC148" s="300">
        <f>'[1]ООО УК ЦЭТ'!K536/1000</f>
        <v>0.67907000000000006</v>
      </c>
      <c r="GD148" s="300">
        <f>'[1]ООО УК ЦЭТ'!L536/1000</f>
        <v>0.62474440000000009</v>
      </c>
      <c r="GE148" s="300">
        <f>'[1]ООО УК ЦЭТ'!M536/1000</f>
        <v>0.62474440000000009</v>
      </c>
      <c r="GF148" s="300">
        <f t="shared" si="174"/>
        <v>0</v>
      </c>
      <c r="GG148" s="300">
        <f>'[1]ЖСК пер Рылеева-14'!K556/1000</f>
        <v>0</v>
      </c>
      <c r="GH148" s="300">
        <f>'[1]ЖСК пер Рылеева-14'!L556/1000</f>
        <v>0</v>
      </c>
      <c r="GI148" s="300">
        <f>'[1]ЖСК пер Рылеева-14'!M556/1000</f>
        <v>0</v>
      </c>
      <c r="GJ148" s="300">
        <f t="shared" si="179"/>
        <v>0</v>
      </c>
      <c r="GK148" s="300">
        <f>'[1]ЖСК пер Рылеева-14'!O556/1000</f>
        <v>0</v>
      </c>
      <c r="GL148" s="300">
        <f>'[1]ЖСК пер Рылеева-14'!P556/1000</f>
        <v>0</v>
      </c>
      <c r="GM148" s="300">
        <f>'[1]ЖСК пер Рылеева-14'!Q556/1000</f>
        <v>0</v>
      </c>
      <c r="GN148" s="301">
        <f t="shared" si="208"/>
        <v>0</v>
      </c>
      <c r="GO148" s="300">
        <f>'[1]ООО УО Партнер'!K256/1000</f>
        <v>9.260349999999999</v>
      </c>
      <c r="GP148" s="300">
        <f>'[1]ООО УО Партнер'!L256/1000</f>
        <v>3.0015459</v>
      </c>
      <c r="GQ148" s="300">
        <f>'[1]ООО УО Партнер'!M256/1000</f>
        <v>3.0015459</v>
      </c>
      <c r="GR148" s="300">
        <f t="shared" si="180"/>
        <v>0</v>
      </c>
      <c r="GS148" s="300">
        <f>'[1]ООО ТК Святогор'!K172/1000</f>
        <v>0</v>
      </c>
      <c r="GT148" s="300">
        <f>'[1]ООО ТК Святогор'!L172/1000</f>
        <v>0</v>
      </c>
      <c r="GU148" s="300">
        <f>'[1]ООО ТК Святогор'!M172/1000</f>
        <v>0</v>
      </c>
      <c r="GV148" s="301">
        <f t="shared" si="207"/>
        <v>0</v>
      </c>
      <c r="GW148" s="300">
        <f>'[1]ТСЖ Володарец'!K248</f>
        <v>0</v>
      </c>
      <c r="GX148" s="300">
        <f>'[1]ТСЖ Володарец'!L248/1000</f>
        <v>0</v>
      </c>
      <c r="GY148" s="300">
        <f>'[1]ТСЖ Володарец'!M248/1000</f>
        <v>0</v>
      </c>
      <c r="GZ148" s="301">
        <f t="shared" si="150"/>
        <v>0</v>
      </c>
      <c r="HA148" s="468"/>
      <c r="HB148" s="413" t="s">
        <v>183</v>
      </c>
      <c r="HC148" s="469">
        <f>HC147-HC146</f>
        <v>-29.848108629987109</v>
      </c>
      <c r="HD148" s="469">
        <f t="shared" ref="HD148:HL148" si="213">HD147-HD146</f>
        <v>170.26322609999625</v>
      </c>
      <c r="HE148" s="469">
        <f t="shared" si="213"/>
        <v>-114.31946919999973</v>
      </c>
      <c r="HF148" s="469">
        <f t="shared" si="213"/>
        <v>-463.41087266999966</v>
      </c>
      <c r="HG148" s="469">
        <f t="shared" si="213"/>
        <v>387.84918623999692</v>
      </c>
      <c r="HH148" s="469">
        <f t="shared" si="213"/>
        <v>126.51818339998135</v>
      </c>
      <c r="HI148" s="469">
        <f>HI147-HI146</f>
        <v>4.2728500000011991</v>
      </c>
      <c r="HJ148" s="469">
        <f t="shared" si="213"/>
        <v>459.95628569999826</v>
      </c>
      <c r="HK148" s="469" t="e">
        <f t="shared" si="213"/>
        <v>#REF!</v>
      </c>
      <c r="HL148" s="469">
        <f t="shared" si="213"/>
        <v>17.359991000000008</v>
      </c>
      <c r="HM148" s="469">
        <f>HM147-HM146</f>
        <v>-32.637833799999953</v>
      </c>
      <c r="HN148" s="429" t="e">
        <f>SUM(HD148:HM148)</f>
        <v>#REF!</v>
      </c>
      <c r="HS148" s="458"/>
      <c r="HT148" s="458"/>
      <c r="HU148" s="458"/>
      <c r="HV148" s="306"/>
    </row>
    <row r="149" spans="1:256" s="301" customFormat="1" ht="13.5" hidden="1" customHeight="1">
      <c r="A149" s="371"/>
      <c r="B149" s="297" t="s">
        <v>88</v>
      </c>
      <c r="C149" s="297"/>
      <c r="D149" s="470"/>
      <c r="F149" s="300" t="e">
        <f>F6+F45+F54+F55+F99+F131+F134+F137+F141+F142+F143+F144+F145+F146+F147+F148+F46+F48+F49+F52+F53+F50+F51+F47</f>
        <v>#REF!</v>
      </c>
      <c r="G149" s="300" t="e">
        <f>G6+G45+G54+G55+G99+G131+G134+G137+G141+G142+G143+G144+G145+G146+G147+G148+G46+G48+G49+G52+G53+G50+G51+G47</f>
        <v>#REF!</v>
      </c>
      <c r="H149" s="300" t="e">
        <f>H6+H45+H54+H55+H99+H131+H134+H137+H141+H142+H143+H144+H145+H146+H147+H148+H46+H48+H49+H52+H53+H50+H51+H47</f>
        <v>#REF!</v>
      </c>
      <c r="J149" s="300">
        <f>J6+J45+J54+J55+J99+J131+J134+J137+J141+J142+J143+J144+J145+J146+J147+J148+J46+J48+J49+J52+J53+J50+J51+J47</f>
        <v>2572.3337145</v>
      </c>
      <c r="K149" s="300">
        <f>K6+K45+K54+K55+K99+K131+K134+K137+K141+K142+K143+K144+K145+K146+K147+K148+K46+K48+K49+K52+K53+K50+K51+K47</f>
        <v>2572.3337145</v>
      </c>
      <c r="L149" s="300">
        <f>L6+L45+L54+L55+L99+L131+L134+L137+L141+L142+L143+L144+L145+L146+L147+L148+L46+L48+L49+L52+L53+L50+L51+L47</f>
        <v>0</v>
      </c>
      <c r="N149" s="300">
        <f>N6+N45+N54+N55+N99+N131+N134+N137+N141+N142+N143+N144+N145+N146+N147+N148+N46+N48+N49+N52+N53+N50+N51+N47</f>
        <v>167.521883</v>
      </c>
      <c r="O149" s="300">
        <f>O6+O45+O54+O55+O99+O131+O134+O137+O141+O142+O143+O144+O145+O146+O147+O148+O46+O48+O49+O52+O53+O50+O51+O47</f>
        <v>167.521883</v>
      </c>
      <c r="P149" s="300">
        <f>P6+P45+P54+P55+P99+P131+P134+P137+P141+P142+P143+P144+P145+P146+P147+P148+P46+P48+P49+P52+P53+P50+P51+P47</f>
        <v>0</v>
      </c>
      <c r="R149" s="300">
        <f>R6+R45+R54+R55+R99+R131+R134+R137+R141+R142+R143+R144+R145+R146+R147+R148+R46+R48+R49+R52+R53+R50+R51+R47</f>
        <v>51212.058593100002</v>
      </c>
      <c r="S149" s="300">
        <f>S6+S45+S54+S55+S99+S131+S134+S137+S141+S142+S143+S144+S145+S146+S147+S148+S46+S48+S49+S52+S53+S50+S51+S47</f>
        <v>51212.058593100002</v>
      </c>
      <c r="T149" s="300">
        <f>T6+T45+T54+T55+T99+T131+T134+T137+T141+T142+T143+T144+T145+T146+T147+T148+T46+T48+T49+T52+T53+T50+T51+T47</f>
        <v>0</v>
      </c>
      <c r="V149" s="300">
        <f>V6+V45+V54+V55+V99+V131+V134+V137+V141+V142+V143+V144+V145+V146+V147+V148+V46+V48+V49+V52+V53+V50+V51+V47</f>
        <v>34053.266641970004</v>
      </c>
      <c r="W149" s="300">
        <f>W6+W45+W54+W55+W99+W131+W134+W137+W141+W142+W143+W144+W145+W146+W147+W148+W46+W48+W49+W52+W53+W50+W51+W47</f>
        <v>34053.266641970004</v>
      </c>
      <c r="X149" s="300">
        <f>X6+X45+X54+X55+X99+X131+X134+X137+X141+X142+X143+X144+X145+X146+X147+X148+X46+X48+X49+X52+X53+X50+X51+X47</f>
        <v>0</v>
      </c>
      <c r="Z149" s="300">
        <f>Z6+Z45+Z54+Z55+Z99+Z131+Z134+Z137+Z141+Z142+Z143+Z144+Z145+Z146+Z147+Z148+Z46+Z48+Z49+Z52+Z53+Z50+Z51+Z47</f>
        <v>15470.905716199999</v>
      </c>
      <c r="AA149" s="300">
        <f>AA6+AA45+AA54+AA55+AA99+AA131+AA134+AA137+AA141+AA142+AA143+AA144+AA145+AA146+AA147+AA148+AA46+AA48+AA49+AA52+AA53+AA50+AA51+AA47</f>
        <v>15470.905716199999</v>
      </c>
      <c r="AB149" s="300">
        <f>AB6+AB45+AB54+AB55+AB99+AB131+AB134+AB137+AB141+AB142+AB143+AB144+AB145+AB146+AB147+AB148+AB46+AB48+AB49+AB52+AB53+AB50+AB51+AB47</f>
        <v>0</v>
      </c>
      <c r="AD149" s="300">
        <f>AD6+AD45+AD54+AD55+AD99+AD131+AD134+AD137+AD141+AD142+AD143+AD144+AD145+AD146+AD147+AD148+AD46+AD48+AD49+AD52+AD53+AD50+AD51+AD47</f>
        <v>11017.258378200002</v>
      </c>
      <c r="AE149" s="300">
        <f>AE6+AE45+AE54+AE55+AE99+AE131+AE134+AE137+AE141+AE142+AE143+AE144+AE145+AE146+AE147+AE148+AE46+AE48+AE49+AE52+AE53+AE50+AE51+AE47</f>
        <v>11017.258378200002</v>
      </c>
      <c r="AF149" s="300">
        <f>AF6+AF45+AF54+AF55+AF99+AF131+AF134+AF137+AF141+AF142+AF143+AF144+AF145+AF146+AF147+AF148+AF46+AF48+AF49+AF52+AF53+AF50+AF51+AF47</f>
        <v>0</v>
      </c>
      <c r="AH149" s="300">
        <f>AH6+AH45+AH54+AH55+AH99+AH131+AH134+AH137+AH141+AH142+AH143+AH144+AH145+AH146+AH147+AH148+AH46+AH48+AH49+AH52+AH53+AH50+AH51+AH47</f>
        <v>1637.1323005000004</v>
      </c>
      <c r="AI149" s="300">
        <f>AI6+AI45+AI54+AI55+AI99+AI131+AI134+AI137+AI141+AI142+AI143+AI144+AI145+AI146+AI147+AI148+AI46+AI48+AI49+AI52+AI53+AI50+AI51+AI47</f>
        <v>1637.1323005000004</v>
      </c>
      <c r="AJ149" s="300">
        <f>AJ6+AJ45+AJ54+AJ55+AJ99+AJ131+AJ134+AJ137+AJ141+AJ142+AJ143+AJ144+AJ145+AJ146+AJ147+AJ148+AJ46+AJ48+AJ49+AJ52+AJ53+AJ50+AJ51+AJ47</f>
        <v>0</v>
      </c>
      <c r="AL149" s="300">
        <f>AL6+AL45+AL54+AL55+AL99+AL131+AL134+AL137+AL141+AL142+AL143+AL144+AL145+AL146+AL147+AL148+AL46+AL48+AL49+AL52+AL53+AL50+AL51+AL47</f>
        <v>19133.186848099995</v>
      </c>
      <c r="AM149" s="300">
        <f>AM6+AM45+AM54+AM55+AM99+AM131+AM134+AM137+AM141+AM142+AM143+AM144+AM145+AM146+AM147+AM148+AM46+AM48+AM49+AM52+AM53+AM50+AM51+AM47</f>
        <v>19133.186848099995</v>
      </c>
      <c r="AN149" s="300">
        <f>AN6+AN45+AN54+AN55+AN99+AN131+AN134+AN137+AN141+AN142+AN143+AN144+AN145+AN146+AN147+AN148+AN46+AN48+AN49+AN52+AN53+AN50+AN51+AN47</f>
        <v>0</v>
      </c>
      <c r="AP149" s="300">
        <f>AP6+AP45+AP54+AP55+AP99+AP131+AP134+AP137+AP141+AP142+AP143+AP144+AP145+AP146+AP147+AP148+AP46+AP48+AP49+AP52+AP53+AP50+AP51+AP47</f>
        <v>54903.05430792</v>
      </c>
      <c r="AQ149" s="300">
        <f>AQ6+AQ45+AQ54+AQ55+AQ99+AQ131+AQ134+AQ137+AQ141+AQ142+AQ143+AQ144+AQ145+AQ146+AQ147+AQ148+AQ46+AQ48+AQ49+AQ52+AQ53+AQ50+AQ51+AQ47</f>
        <v>54903.05430792</v>
      </c>
      <c r="AR149" s="300">
        <f>AR6+AR45+AR54+AR55+AR99+AR131+AR134+AR137+AR141+AR142+AR143+AR144+AR145+AR146+AR147+AR148+AR46+AR48+AR49+AR52+AR53+AR50+AR51+AR47</f>
        <v>0</v>
      </c>
      <c r="AT149" s="300">
        <f>AT6+AT45+AT54+AT55+AT99+AT131+AT134+AT137+AT141+AT142+AT143+AT144+AT145+AT146+AT147+AT148+AT46+AT48+AT49+AT52+AT53+AT50+AT51+AT47</f>
        <v>8626.5734988000004</v>
      </c>
      <c r="AU149" s="300">
        <f>AU6+AU45+AU54+AU55+AU99+AU131+AU134+AU137+AU141+AU142+AU143+AU144+AU145+AU146+AU147+AU148+AU46+AU48+AU49+AU52+AU53+AU50+AU51+AU47</f>
        <v>8626.5734988000004</v>
      </c>
      <c r="AV149" s="300">
        <f>AV6+AV45+AV54+AV55+AV99+AV131+AV134+AV137+AV141+AV142+AV143+AV144+AV145+AV146+AV147+AV148+AV46+AV48+AV49+AV52+AV53+AV50+AV51+AV47</f>
        <v>0</v>
      </c>
      <c r="AX149" s="300">
        <f>AX6+AX45+AX54+AX55+AX99+AX131+AX134+AX137+AX141+AX142+AX143+AX144+AX145+AX146+AX147+AX148+AX46+AX48+AX49+AX52+AX53+AX50+AX51+AX47</f>
        <v>1505.0711176</v>
      </c>
      <c r="AY149" s="300">
        <f>AY6+AY45+AY54+AY55+AY99+AY131+AY134+AY137+AY141+AY142+AY143+AY144+AY145+AY146+AY147+AY148+AY46+AY48+AY49+AY52+AY53+AY50+AY51+AY47</f>
        <v>1505.0711176</v>
      </c>
      <c r="AZ149" s="300">
        <f>AZ6+AZ45+AZ54+AZ55+AZ99+AZ131+AZ134+AZ137+AZ141+AZ142+AZ143+AZ144+AZ145+AZ146+AZ147+AZ148+AZ46+AZ48+AZ49+AZ52+AZ53+AZ50+AZ51+AZ47</f>
        <v>0</v>
      </c>
      <c r="BB149" s="300">
        <f>BB6+BB45+BB54+BB55+BB99+BB131+BB134+BB137+BB141+BB142+BB143+BB144+BB145+BB146+BB147+BB148+BB46+BB48+BB49+BB52+BB53+BB50+BB51+BB47</f>
        <v>469.95167280000004</v>
      </c>
      <c r="BC149" s="300">
        <f>BC6+BC45+BC54+BC55+BC99+BC131+BC134+BC137+BC141+BC142+BC143+BC144+BC145+BC146+BC147+BC148+BC46+BC48+BC49+BC52+BC53+BC50+BC51+BC47</f>
        <v>469.95167280000004</v>
      </c>
      <c r="BD149" s="300">
        <f>BD6+BD45+BD54+BD55+BD99+BD131+BD134+BD137+BD141+BD142+BD143+BD144+BD145+BD146+BD147+BD148+BD46+BD48+BD49+BD52+BD53+BD50+BD51+BD47</f>
        <v>0</v>
      </c>
      <c r="BF149" s="300">
        <f>BF6+BF45+BF54+BF55+BF99+BF131+BF134+BF137+BF141+BF142+BF143+BF144+BF145+BF146+BF147+BF148+BF46+BF48+BF49+BF52+BF53+BF50+BF51+BF47</f>
        <v>380.59751269999998</v>
      </c>
      <c r="BG149" s="300">
        <f>BG6+BG45+BG54+BG55+BG99+BG131+BG134+BG137+BG141+BG142+BG143+BG144+BG145+BG146+BG147+BG148+BG46+BG48+BG49+BG52+BG53+BG50+BG51+BG47</f>
        <v>380.59751269999998</v>
      </c>
      <c r="BH149" s="300">
        <f>BH6+BH45+BH54+BH55+BH99+BH131+BH134+BH137+BH141+BH142+BH143+BH144+BH145+BH146+BH147+BH148+BH46+BH48+BH49+BH52+BH53+BH50+BH51+BH47</f>
        <v>0</v>
      </c>
      <c r="BJ149" s="300">
        <f>BJ6+BJ45+BJ54+BJ55+BJ99+BJ131+BJ134+BJ137+BJ141+BJ142+BJ143+BJ144+BJ145+BJ146+BJ147+BJ148+BJ46+BJ48+BJ49+BJ52+BJ53+BJ50+BJ51+BJ47</f>
        <v>16874.985549499994</v>
      </c>
      <c r="BK149" s="300">
        <f>BK6+BK45+BK54+BK55+BK99+BK131+BK134+BK137+BK141+BK142+BK143+BK144+BK145+BK146+BK147+BK148+BK46+BK48+BK49+BK52+BK53+BK50+BK51+BK47</f>
        <v>16874.985549499994</v>
      </c>
      <c r="BL149" s="300">
        <f>BL6+BL45+BL54+BL55+BL99+BL131+BL134+BL137+BL141+BL142+BL143+BL144+BL145+BL146+BL147+BL148+BL46+BL48+BL49+BL52+BL53+BL50+BL51+BL47</f>
        <v>0</v>
      </c>
      <c r="BN149" s="300">
        <f>BN6+BN45+BN54+BN55+BN99+BN131+BN134+BN137+BN141+BN142+BN143+BN144+BN145+BN146+BN147+BN148+BN46+BN48+BN49+BN52+BN53+BN50+BN51+BN47</f>
        <v>2816.9930374000005</v>
      </c>
      <c r="BO149" s="300">
        <f>BO6+BO45+BO54+BO55+BO99+BO131+BO134+BO137+BO141+BO142+BO143+BO144+BO145+BO146+BO147+BO148+BO46+BO48+BO49+BO52+BO53+BO50+BO51+BO47</f>
        <v>2816.9930374000005</v>
      </c>
      <c r="BP149" s="300">
        <f>BP6+BP45+BP54+BP55+BP99+BP131+BP134+BP137+BP141+BP142+BP143+BP144+BP145+BP146+BP147+BP148+BP46+BP48+BP49+BP52+BP53+BP50+BP51+BP47</f>
        <v>0</v>
      </c>
      <c r="BR149" s="300">
        <f>BR6+BR45+BR54+BR55+BR99+BR131+BR134+BR137+BR141+BR142+BR143+BR144+BR145+BR146+BR147+BR148+BR46+BR48+BR49+BR52+BR53+BR50+BR51+BR47</f>
        <v>2705.1736282999996</v>
      </c>
      <c r="BS149" s="300">
        <f>BS6+BS45+BS54+BS55+BS99+BS131+BS134+BS137+BS141+BS142+BS143+BS144+BS145+BS146+BS147+BS148+BS46+BS48+BS49+BS52+BS53+BS50+BS51+BS47</f>
        <v>2705.1736282999996</v>
      </c>
      <c r="BT149" s="300">
        <f>BT6+BT45+BT54+BT55+BT99+BT131+BT134+BT137+BT141+BT142+BT143+BT144+BT145+BT146+BT147+BT148+BT46+BT48+BT49+BT52+BT53+BT50+BT51+BT47</f>
        <v>0</v>
      </c>
      <c r="BV149" s="300">
        <f>BV6+BV45+BV54+BV55+BV99+BV131+BV134+BV137+BV141+BV142+BV143+BV144+BV145+BV146+BV147+BV148+BV46+BV48+BV49+BV52+BV53+BV50+BV51+BV47</f>
        <v>44028.282947399988</v>
      </c>
      <c r="BW149" s="300">
        <f>BW6+BW45+BW54+BW55+BW99+BW131+BW134+BW137+BW141+BW142+BW143+BW144+BW145+BW146+BW147+BW148+BW46+BW48+BW49+BW52+BW53+BW50+BW51+BW47</f>
        <v>44028.282947399988</v>
      </c>
      <c r="BX149" s="300">
        <f>BX6+BX45+BX54+BX55+BX99+BX131+BX134+BX137+BX141+BX142+BX143+BX144+BX145+BX146+BX147+BX148+BX46+BX48+BX49+BX52+BX53+BX50+BX51+BX47</f>
        <v>0</v>
      </c>
      <c r="BZ149" s="300">
        <f>BZ6+BZ45+BZ54+BZ55+BZ99+BZ131+BZ134+BZ137+BZ141+BZ142+BZ143+BZ144+BZ145+BZ146+BZ147+BZ148+BZ46+BZ48+BZ49+BZ52+BZ53+BZ50+BZ51+BZ47</f>
        <v>53822.366643400004</v>
      </c>
      <c r="CA149" s="300">
        <f>CA6+CA45+CA54+CA55+CA99+CA131+CA134+CA137+CA141+CA142+CA143+CA144+CA145+CA146+CA147+CA148+CA46+CA48+CA49+CA52+CA53+CA50+CA51+CA47</f>
        <v>53822.366643400004</v>
      </c>
      <c r="CB149" s="300">
        <f>CB6+CB45+CB54+CB55+CB99+CB131+CB134+CB137+CB141+CB142+CB143+CB144+CB145+CB146+CB147+CB148+CB46+CB48+CB49+CB52+CB53+CB50+CB51+CB47</f>
        <v>0</v>
      </c>
      <c r="CD149" s="300">
        <f>CD6+CD45+CD54+CD55+CD99+CD131+CD134+CD137+CD141+CD142+CD143+CD144+CD145+CD146+CD147+CD148+CD46+CD48+CD49+CD52+CD53+CD50+CD51+CD47</f>
        <v>240.8048422</v>
      </c>
      <c r="CE149" s="300">
        <f>CE6+CE45+CE54+CE55+CE99+CE131+CE134+CE137+CE141+CE142+CE143+CE144+CE145+CE146+CE147+CE148+CE46+CE48+CE49+CE52+CE53+CE50+CE51+CE47</f>
        <v>240.8048422</v>
      </c>
      <c r="CF149" s="300">
        <f>CF6+CF45+CF54+CF55+CF99+CF131+CF134+CF137+CF141+CF142+CF143+CF144+CF145+CF146+CF147+CF148+CF46+CF48+CF49+CF52+CF53+CF50+CF51+CF47</f>
        <v>0</v>
      </c>
      <c r="CH149" s="300">
        <f>CH6+CH45+CH54+CH55+CH99+CH131+CH134+CH137+CH141+CH142+CH143+CH144+CH145+CH146+CH147+CH148+CH46+CH48+CH49+CH52+CH53+CH50+CH51+CH47</f>
        <v>46272.75940078</v>
      </c>
      <c r="CI149" s="300">
        <f>CI6+CI45+CI54+CI55+CI99+CI131+CI134+CI137+CI141+CI142+CI143+CI144+CI145+CI146+CI147+CI148+CI46+CI48+CI49+CI52+CI53+CI50+CI51+CI47</f>
        <v>46272.75940078</v>
      </c>
      <c r="CJ149" s="300">
        <f>CJ6+CJ45+CJ54+CJ55+CJ99+CJ131+CJ134+CJ137+CJ141+CJ142+CJ143+CJ144+CJ145+CJ146+CJ147+CJ148+CJ46+CJ48+CJ49+CJ52+CJ53+CJ50+CJ51+CJ47</f>
        <v>0</v>
      </c>
      <c r="CL149" s="300">
        <f>CL6+CL45+CL54+CL55+CL99+CL131+CL134+CL137+CL141+CL142+CL143+CL144+CL145+CL146+CL147+CL148+CL46+CL48+CL49+CL52+CL53+CL50+CL51+CL47</f>
        <v>1743.9299972000003</v>
      </c>
      <c r="CM149" s="300">
        <f>CM6+CM45+CM54+CM55+CM99+CM131+CM134+CM137+CM141+CM142+CM143+CM144+CM145+CM146+CM147+CM148+CM46+CM48+CM49+CM52+CM53+CM50+CM51+CM47</f>
        <v>1743.9299972000003</v>
      </c>
      <c r="CN149" s="300">
        <f>CN6+CN45+CN54+CN55+CN99+CN131+CN134+CN137+CN141+CN142+CN143+CN144+CN145+CN146+CN147+CN148+CN46+CN48+CN49+CN52+CN53+CN50+CN51+CN47</f>
        <v>0</v>
      </c>
      <c r="CP149" s="300" t="e">
        <f>CP6+CP45+CP54+CP55+CP99+CP131+CP134+CP137+CP141+CP142+CP143+CP144+CP145+CP146+CP147+CP148+CP46+CP48+CP49+CP52+CP53+CP50+CP51+CP47</f>
        <v>#REF!</v>
      </c>
      <c r="CQ149" s="300" t="e">
        <f>CQ6+CQ45+CQ54+CQ55+CQ99+CQ131+CQ134+CQ137+CQ141+CQ142+CQ143+CQ144+CQ145+CQ146+CQ147+CQ148+CQ46+CQ48+CQ49+CQ52+CQ53+CQ50+CQ51+CQ47</f>
        <v>#REF!</v>
      </c>
      <c r="CR149" s="300" t="e">
        <f>CR6+CR45+CR54+CR55+CR99+CR131+CR134+CR137+CR141+CR142+CR143+CR144+CR145+CR146+CR147+CR148+CR46+CR48+CR49+CR52+CR53+CR50+CR51+CR47</f>
        <v>#REF!</v>
      </c>
      <c r="CT149" s="300" t="e">
        <f>CT6+CT45+CT54+CT55+CT99+CT131+CT134+CT137+CT141+CT142+CT143+CT144+CT145+CT146+CT147+CT148+CT46+CT48+CT49+CT52+CT53+CT50+CT51+CT47</f>
        <v>#REF!</v>
      </c>
      <c r="CU149" s="300" t="e">
        <f>CU6+CU45+CU54+CU55+CU99+CU131+CU134+CU137+CU141+CU142+CU143+CU144+CU145+CU146+CU147+CU148+CU46+CU48+CU49+CU52+CU53+CU50+CU51+CU47</f>
        <v>#REF!</v>
      </c>
      <c r="CV149" s="300" t="e">
        <f>CV6+CV45+CV54+CV55+CV99+CV131+CV134+CV137+CV141+CV142+CV143+CV144+CV145+CV146+CV147+CV148+CV46+CV48+CV49+CV52+CV53+CV50+CV51+CV47</f>
        <v>#REF!</v>
      </c>
      <c r="CX149" s="300">
        <f>CX6+CX45+CX54+CX55+CX99+CX131+CX134+CX137+CX141+CX142+CX143+CX144+CX145+CX146+CX147+CX148+CX46+CX48+CX49+CX52+CX53+CX50+CX51+CX47</f>
        <v>1588.3491216</v>
      </c>
      <c r="CY149" s="300">
        <f>CY6+CY45+CY54+CY55+CY99+CY131+CY134+CY137+CY141+CY142+CY143+CY144+CY145+CY146+CY147+CY148+CY46+CY48+CY49+CY52+CY53+CY50+CY51+CY47</f>
        <v>1588.3491216</v>
      </c>
      <c r="CZ149" s="300">
        <f>CZ6+CZ45+CZ54+CZ55+CZ99+CZ131+CZ134+CZ137+CZ141+CZ142+CZ143+CZ144+CZ145+CZ146+CZ147+CZ148+CZ46+CZ48+CZ49+CZ52+CZ53+CZ50+CZ51+CZ47</f>
        <v>0</v>
      </c>
      <c r="DB149" s="300">
        <f>DB6+DB45+DB54+DB55+DB99+DB131+DB134+DB137+DB141+DB142+DB143+DB144+DB145+DB146+DB147+DB148+DB46+DB48+DB49+DB52+DB53+DB50+DB51+DB47</f>
        <v>785.34651650000001</v>
      </c>
      <c r="DC149" s="300">
        <f>DC6+DC45+DC54+DC55+DC99+DC131+DC134+DC137+DC141+DC142+DC143+DC144+DC145+DC146+DC147+DC148+DC46+DC48+DC49+DC52+DC53+DC50+DC51+DC47</f>
        <v>785.34651650000001</v>
      </c>
      <c r="DD149" s="300">
        <f>DD6+DD45+DD54+DD55+DD99+DD131+DD134+DD137+DD141+DD142+DD143+DD144+DD145+DD146+DD147+DD148+DD46+DD48+DD49+DD52+DD53+DD50+DD51+DD47</f>
        <v>0</v>
      </c>
      <c r="DF149" s="300">
        <f>DF6+DF45+DF54+DF55+DF99+DF131+DF134+DF137+DF141+DF142+DF143+DF144+DF145+DF146+DF147+DF148+DF46+DF48+DF49+DF52+DF53+DF50+DF51+DF47</f>
        <v>1364.6887335999998</v>
      </c>
      <c r="DG149" s="300">
        <f>DG6+DG45+DG54+DG55+DG99+DG131+DG134+DG137+DG141+DG142+DG143+DG144+DG145+DG146+DG147+DG148+DG46+DG48+DG49+DG52+DG53+DG50+DG51+DG47</f>
        <v>1364.6887335999998</v>
      </c>
      <c r="DH149" s="300">
        <f>DH6+DH45+DH54+DH55+DH99+DH131+DH134+DH137+DH141+DH142+DH143+DH144+DH145+DH146+DH147+DH148+DH46+DH48+DH49+DH52+DH53+DH50+DH51+DH47</f>
        <v>0</v>
      </c>
      <c r="DJ149" s="300">
        <f>DJ6+DJ45+DJ54+DJ55+DJ99+DJ131+DJ134+DJ137+DJ141+DJ142+DJ143+DJ144+DJ145+DJ146+DJ147+DJ148+DJ46+DJ48+DJ49+DJ52+DJ53+DJ50+DJ51+DJ47</f>
        <v>423.07416380000001</v>
      </c>
      <c r="DK149" s="300">
        <f>DK6+DK45+DK54+DK55+DK99+DK131+DK134+DK137+DK141+DK142+DK143+DK144+DK145+DK146+DK147+DK148+DK46+DK48+DK49+DK52+DK53+DK50+DK51+DK47</f>
        <v>423.07416380000001</v>
      </c>
      <c r="DL149" s="300">
        <f>DL6+DL45+DL54+DL55+DL99+DL131+DL134+DL137+DL141+DL142+DL143+DL144+DL145+DL146+DL147+DL148+DL46+DL48+DL49+DL52+DL53+DL50+DL51+DL47</f>
        <v>0</v>
      </c>
      <c r="DN149" s="300">
        <f>DN6+DN45+DN54+DN55+DN99+DN131+DN134+DN137+DN141+DN142+DN143+DN144+DN145+DN146+DN147+DN148+DN46+DN48+DN49+DN52+DN53+DN50+DN51+DN47</f>
        <v>13381.839512399996</v>
      </c>
      <c r="DO149" s="300">
        <f>DO6+DO45+DO54+DO55+DO99+DO131+DO134+DO137+DO141+DO142+DO143+DO144+DO145+DO146+DO147+DO148+DO46+DO48+DO49+DO52+DO53+DO50+DO51+DO47</f>
        <v>13381.839512399996</v>
      </c>
      <c r="DP149" s="300">
        <f>DP6+DP45+DP54+DP55+DP99+DP131+DP134+DP137+DP141+DP142+DP143+DP144+DP145+DP146+DP147+DP148+DP46+DP48+DP49+DP52+DP53+DP50+DP51+DP47</f>
        <v>0</v>
      </c>
      <c r="DR149" s="300">
        <f>DR6+DR45+DR54+DR55+DR99+DR131+DR134+DR137+DR141+DR142+DR143+DR144+DR145+DR146+DR147+DR148+DR46+DR48+DR49+DR52+DR53+DR50+DR51+DR47</f>
        <v>1.9198976000000001</v>
      </c>
      <c r="DS149" s="300">
        <f>DS6+DS45+DS54+DS55+DS99+DS131+DS134+DS137+DS141+DS142+DS143+DS144+DS145+DS146+DS147+DS148+DS46+DS48+DS49+DS52+DS53+DS50+DS51+DS47</f>
        <v>1.9198976000000001</v>
      </c>
      <c r="DT149" s="300">
        <f>DT6+DT45+DT54+DT55+DT99+DT131+DT134+DT137+DT141+DT142+DT143+DT144+DT145+DT146+DT147+DT148+DT46+DT48+DT49+DT52+DT53+DT50+DT51+DT47</f>
        <v>0</v>
      </c>
      <c r="DV149" s="300">
        <f>DV6+DV45+DV54+DV55+DV99+DV131+DV134+DV137+DV141+DV142+DV143+DV144+DV145+DV146+DV147+DV148+DV46+DV48+DV49+DV52+DV53+DV50+DV51+DV47</f>
        <v>2859.2760033999998</v>
      </c>
      <c r="DW149" s="300">
        <f>DW6+DW45+DW54+DW55+DW99+DW131+DW134+DW137+DW141+DW142+DW143+DW144+DW145+DW146+DW147+DW148+DW46+DW48+DW49+DW52+DW53+DW50+DW51+DW47</f>
        <v>2859.2760033999998</v>
      </c>
      <c r="DX149" s="300">
        <f>DX6+DX45+DX54+DX55+DX99+DX131+DX134+DX137+DX141+DX142+DX143+DX144+DX145+DX146+DX147+DX148+DX46+DX48+DX49+DX52+DX53+DX50+DX51+DX47</f>
        <v>0</v>
      </c>
      <c r="DZ149" s="300">
        <f>DZ6+DZ45+DZ54+DZ55+DZ99+DZ131+DZ134+DZ137+DZ141+DZ142+DZ143+DZ144+DZ145+DZ146+DZ147+DZ148+DZ46+DZ48+DZ49+DZ52+DZ53+DZ50+DZ51+DZ47</f>
        <v>537.59466799999996</v>
      </c>
      <c r="EA149" s="300">
        <f>EA6+EA45+EA54+EA55+EA99+EA131+EA134+EA137+EA141+EA142+EA143+EA144+EA145+EA146+EA147+EA148+EA46+EA48+EA49+EA52+EA53+EA50+EA51+EA47</f>
        <v>537.59466799999996</v>
      </c>
      <c r="EB149" s="300">
        <f>EB6+EB45+EB54+EB55+EB99+EB131+EB134+EB137+EB141+EB142+EB143+EB144+EB145+EB146+EB147+EB148+EB46+EB48+EB49+EB52+EB53+EB50+EB51+EB47</f>
        <v>0</v>
      </c>
      <c r="ED149" s="300">
        <f>ED6+ED45+ED54+ED55+ED99+ED131+ED134+ED137+ED141+ED142+ED143+ED144+ED145+ED146+ED147+ED148+ED46+ED48+ED49+ED52+ED53+ED50+ED51+ED47</f>
        <v>445.7872827999999</v>
      </c>
      <c r="EE149" s="300">
        <f>EE6+EE45+EE54+EE55+EE99+EE131+EE134+EE137+EE141+EE142+EE143+EE144+EE145+EE146+EE147+EE148+EE46+EE48+EE49+EE52+EE53+EE50+EE51+EE47</f>
        <v>445.7872827999999</v>
      </c>
      <c r="EF149" s="300">
        <f>EF6+EF45+EF54+EF55+EF99+EF131+EF134+EF137+EF141+EF142+EF143+EF144+EF145+EF146+EF147+EF148+EF46+EF48+EF49+EF52+EF53+EF50+EF51+EF47</f>
        <v>0</v>
      </c>
      <c r="EH149" s="300">
        <f>EH6+EH45+EH54+EH55+EH99+EH131+EH134+EH137+EH141+EH142+EH143+EH144+EH145+EH146+EH147+EH148+EH46+EH48+EH49+EH52+EH53+EH50+EH51+EH47</f>
        <v>8834.1626421999972</v>
      </c>
      <c r="EI149" s="300">
        <f>EI6+EI45+EI54+EI55+EI99+EI131+EI134+EI137+EI141+EI142+EI143+EI144+EI145+EI146+EI147+EI148+EI46+EI48+EI49+EI52+EI53+EI50+EI51+EI47</f>
        <v>8834.1626421999972</v>
      </c>
      <c r="EJ149" s="300">
        <f>EJ6+EJ45+EJ54+EJ55+EJ99+EJ131+EJ134+EJ137+EJ141+EJ142+EJ143+EJ144+EJ145+EJ146+EJ147+EJ148+EJ46+EJ48+EJ49+EJ52+EJ53+EJ50+EJ51+EJ47</f>
        <v>0</v>
      </c>
      <c r="EL149" s="300">
        <f>EL6+EL45+EL54+EL55+EL99+EL131+EL134+EL137+EL141+EL142+EL143+EL144+EL145+EL146+EL147+EL148+EL46+EL48+EL49+EL52+EL53+EL50+EL51+EL47</f>
        <v>13.7239868</v>
      </c>
      <c r="EM149" s="300">
        <f>EM6+EM45+EM54+EM55+EM99+EM131+EM134+EM137+EM141+EM142+EM143+EM144+EM145+EM146+EM147+EM148+EM46+EM48+EM49+EM52+EM53+EM50+EM51+EM47</f>
        <v>13.7239868</v>
      </c>
      <c r="EN149" s="300">
        <f>EN6+EN45+EN54+EN55+EN99+EN131+EN134+EN137+EN141+EN142+EN143+EN144+EN145+EN146+EN147+EN148+EN46+EN48+EN49+EN52+EN53+EN50+EN51+EN47</f>
        <v>0</v>
      </c>
      <c r="EP149" s="300">
        <f>EP6+EP45+EP54+EP55+EP99+EP131+EP134+EP137+EP141+EP142+EP143+EP144+EP145+EP146+EP147+EP148+EP46+EP48+EP49+EP52+EP53+EP50+EP51+EP47</f>
        <v>723.2073001</v>
      </c>
      <c r="EQ149" s="300">
        <f>EQ6+EQ45+EQ54+EQ55+EQ99+EQ131+EQ134+EQ137+EQ141+EQ142+EQ143+EQ144+EQ145+EQ146+EQ147+EQ148+EQ46+EQ48+EQ49+EQ52+EQ53+EQ50+EQ51+EQ47</f>
        <v>723.2073001</v>
      </c>
      <c r="ER149" s="300">
        <f>ER6+ER45+ER54+ER55+ER99+ER131+ER134+ER137+ER141+ER142+ER143+ER144+ER145+ER146+ER147+ER148+ER46+ER48+ER49+ER52+ER53+ER50+ER51+ER47</f>
        <v>0</v>
      </c>
      <c r="ET149" s="300">
        <f>ET6+ET45+ET54+ET55+ET99+ET131+ET134+ET137+ET141+ET142+ET143+ET144+ET145+ET146+ET147+ET148+ET46+ET48+ET49+ET52+ET53+ET50+ET51+ET47</f>
        <v>338.38727280000001</v>
      </c>
      <c r="EU149" s="300">
        <f>EU6+EU45+EU54+EU55+EU99+EU131+EU134+EU137+EU141+EU142+EU143+EU144+EU145+EU146+EU147+EU148+EU46+EU48+EU49+EU52+EU53+EU50+EU51+EU47</f>
        <v>338.38727280000001</v>
      </c>
      <c r="EV149" s="300">
        <f>EV6+EV45+EV54+EV55+EV99+EV131+EV134+EV137+EV141+EV142+EV143+EV144+EV145+EV146+EV147+EV148+EV46+EV48+EV49+EV52+EV53+EV50+EV51+EV47</f>
        <v>0</v>
      </c>
      <c r="EX149" s="300">
        <f>EX6+EX45+EX54+EX55+EX99+EX131+EX134+EX137+EX141+EX142+EX143+EX144+EX145+EX146+EX147+EX148+EX46+EX48+EX49+EX52+EX53+EX50+EX51+EX47</f>
        <v>101.6996547</v>
      </c>
      <c r="EY149" s="300">
        <f>EY6+EY45+EY54+EY55+EY99+EY131+EY134+EY137+EY141+EY142+EY143+EY144+EY145+EY146+EY147+EY148+EY46+EY48+EY49+EY52+EY53+EY50+EY51+EY47</f>
        <v>101.6996547</v>
      </c>
      <c r="EZ149" s="300">
        <f>EZ6+EZ45+EZ54+EZ55+EZ99+EZ131+EZ134+EZ137+EZ141+EZ142+EZ143+EZ144+EZ145+EZ146+EZ147+EZ148+EZ46+EZ48+EZ49+EZ52+EZ53+EZ50+EZ51+EZ47</f>
        <v>0</v>
      </c>
      <c r="FB149" s="300">
        <f>FB6+FB45+FB54+FB55+FB99+FB131+FB134+FB137+FB141+FB142+FB143+FB144+FB145+FB146+FB147+FB148+FB46+FB48+FB49+FB52+FB53+FB50+FB51+FB47</f>
        <v>1331.7460792000002</v>
      </c>
      <c r="FC149" s="300">
        <f>FC6+FC45+FC54+FC55+FC99+FC131+FC134+FC137+FC141+FC142+FC143+FC144+FC145+FC146+FC147+FC148+FC46+FC48+FC49+FC52+FC53+FC50+FC51+FC47</f>
        <v>1331.7460792000002</v>
      </c>
      <c r="FD149" s="300">
        <f>FD6+FD45+FD54+FD55+FD99+FD131+FD134+FD137+FD141+FD142+FD143+FD144+FD145+FD146+FD147+FD148+FD46+FD48+FD49+FD52+FD53+FD50+FD51+FD47</f>
        <v>0</v>
      </c>
      <c r="FF149" s="300">
        <f>FF6+FF45+FF54+FF55+FF99+FF131+FF134+FF137+FF141+FF142+FF143+FF144+FF145+FF146+FF147+FF148+FF46+FF48+FF49+FF52+FF53+FF50+FF51+FF47</f>
        <v>702.76109539999993</v>
      </c>
      <c r="FG149" s="300">
        <f>FG6+FG45+FG54+FG55+FG99+FG131+FG134+FG137+FG141+FG142+FG143+FG144+FG145+FG146+FG147+FG148+FG46+FG48+FG49+FG52+FG53+FG50+FG51+FG47</f>
        <v>702.76109539999993</v>
      </c>
      <c r="FH149" s="300">
        <f>FH6+FH45+FH54+FH55+FH99+FH131+FH134+FH137+FH141+FH142+FH143+FH144+FH145+FH146+FH147+FH148+FH46+FH48+FH49+FH52+FH53+FH50+FH51+FH47</f>
        <v>0</v>
      </c>
      <c r="FJ149" s="300">
        <f>FJ6+FJ45+FJ54+FJ55+FJ99+FJ131+FJ134+FJ137+FJ141+FJ142+FJ143+FJ144+FJ145+FJ146+FJ147+FJ148+FJ46+FJ48+FJ49+FJ52+FJ53+FJ50+FJ51+FJ47</f>
        <v>240.67670950000002</v>
      </c>
      <c r="FK149" s="300">
        <f>FK6+FK45+FK54+FK55+FK99+FK131+FK134+FK137+FK141+FK142+FK143+FK144+FK145+FK146+FK147+FK148+FK46+FK48+FK49+FK52+FK53+FK50+FK51+FK47</f>
        <v>240.67670950000002</v>
      </c>
      <c r="FL149" s="300">
        <f>FL6+FL45+FL54+FL55+FL99+FL131+FL134+FL137+FL141+FL142+FL143+FL144+FL145+FL146+FL147+FL148+FL46+FL48+FL49+FL52+FL53+FL50+FL51+FL47</f>
        <v>0</v>
      </c>
      <c r="FN149" s="300">
        <f>FN6+FN45+FN54+FN55+FN99+FN131+FN134+FN137+FN141+FN142+FN143+FN144+FN145+FN146+FN147+FN148+FN46+FN48+FN49+FN52+FN53+FN50+FN51+FN47</f>
        <v>0</v>
      </c>
      <c r="FO149" s="300">
        <f>FO6+FO45+FO54+FO55+FO99+FO131+FO134+FO137+FO141+FO142+FO143+FO144+FO145+FO146+FO147+FO148+FO46+FO48+FO49+FO52+FO53+FO50+FO51+FO47</f>
        <v>0</v>
      </c>
      <c r="FP149" s="300">
        <f>FP6+FP45+FP54+FP55+FP99+FP131+FP134+FP137+FP141+FP142+FP143+FP144+FP145+FP146+FP147+FP148+FP46+FP48+FP49+FP52+FP53+FP50+FP51+FP47</f>
        <v>0</v>
      </c>
      <c r="FR149" s="300">
        <f>FR6+FR45+FR54+FR55+FR99+FR131+FR134+FR137+FR141+FR142+FR143+FR144+FR145+FR146+FR147+FR148+FR46+FR48+FR49+FR52+FR53+FR50+FR51+FR47</f>
        <v>1177.1890748999999</v>
      </c>
      <c r="FS149" s="300">
        <f>FS6+FS45+FS54+FS55+FS99+FS131+FS134+FS137+FS141+FS142+FS143+FS144+FS145+FS146+FS147+FS148+FS46+FS48+FS49+FS52+FS53+FS50+FS51+FS47</f>
        <v>1177.1890748999999</v>
      </c>
      <c r="FT149" s="300">
        <f>FT6+FT45+FT54+FT55+FT99+FT131+FT134+FT137+FT141+FT142+FT143+FT144+FT145+FT146+FT147+FT148+FT46+FT48+FT49+FT52+FT53+FT50+FT51+FT47</f>
        <v>0</v>
      </c>
      <c r="FV149" s="300">
        <f>FV6+FV45+FV54+FV55+FV99+FV131+FV134+FV137+FV141+FV142+FV143+FV144+FV145+FV146+FV147+FV148+FV46+FV48+FV49+FV52+FV53+FV50+FV51+FV47</f>
        <v>1195.9968635</v>
      </c>
      <c r="FW149" s="300">
        <f>FW6+FW45+FW54+FW55+FW99+FW131+FW134+FW137+FW141+FW142+FW143+FW144+FW145+FW146+FW147+FW148+FW46+FW48+FW49+FW52+FW53+FW50+FW51+FW47</f>
        <v>1195.9968635</v>
      </c>
      <c r="FX149" s="300">
        <f>FX6+FX45+FX54+FX55+FX99+FX131+FX134+FX137+FX141+FX142+FX143+FX144+FX145+FX146+FX147+FX148+FX46+FX48+FX49+FX52+FX53+FX50+FX51+FX47</f>
        <v>0</v>
      </c>
      <c r="FZ149" s="300">
        <f>FZ6+FZ45+FZ54+FZ55+FZ99+FZ131+FZ134+FZ137+FZ141+FZ142+FZ143+FZ144+FZ145+FZ146+FZ147+FZ148+FZ46+FZ48+FZ49+FZ52+FZ53+FZ50+FZ51+FZ47</f>
        <v>135.68304499999999</v>
      </c>
      <c r="GA149" s="300">
        <f>GA6+GA45+GA54+GA55+GA99+GA131+GA134+GA137+GA141+GA142+GA143+GA144+GA145+GA146+GA147+GA148+GA46+GA48+GA49+GA52+GA53+GA50+GA51+GA47</f>
        <v>135.68304499999999</v>
      </c>
      <c r="GB149" s="300">
        <f>GB6+GB45+GB54+GB55+GB99+GB131+GB134+GB137+GB141+GB142+GB143+GB144+GB145+GB146+GB147+GB148+GB46+GB48+GB49+GB52+GB53+GB50+GB51+GB47</f>
        <v>0</v>
      </c>
      <c r="GD149" s="300">
        <f>GD6+GD45+GD54+GD55+GD99+GD131+GD134+GD137+GD141+GD142+GD143+GD144+GD145+GD146+GD147+GD148+GD46+GD48+GD49+GD52+GD53+GD50+GD51+GD47</f>
        <v>479.36206020000003</v>
      </c>
      <c r="GE149" s="300">
        <f>GE6+GE45+GE54+GE55+GE99+GE131+GE134+GE137+GE141+GE142+GE143+GE144+GE145+GE146+GE147+GE148+GE46+GE48+GE49+GE52+GE53+GE50+GE51+GE47</f>
        <v>479.36206020000003</v>
      </c>
      <c r="GF149" s="300">
        <f>GF6+GF45+GF54+GF55+GF99+GF131+GF134+GF137+GF141+GF142+GF143+GF144+GF145+GF146+GF147+GF148+GF46+GF48+GF49+GF52+GF53+GF50+GF51+GF47</f>
        <v>0</v>
      </c>
      <c r="GH149" s="300">
        <f>GH6+GH45+GH54+GH55+GH99+GH131+GH134+GH137+GH141+GH142+GH143+GH144+GH145+GH146+GH147+GH148+GH46+GH48+GH49+GH52+GH53+GH50+GH51+GH47</f>
        <v>58.462108999999998</v>
      </c>
      <c r="GI149" s="300">
        <f>GI6+GI45+GI54+GI55+GI99+GI131+GI134+GI137+GI141+GI142+GI143+GI144+GI145+GI146+GI147+GI148+GI46+GI48+GI49+GI52+GI53+GI50+GI51+GI47</f>
        <v>58.462108999999998</v>
      </c>
      <c r="GJ149" s="300">
        <f>GJ6+GJ45+GJ54+GJ55+GJ99+GJ131+GJ134+GJ137+GJ141+GJ142+GJ143+GJ144+GJ145+GJ146+GJ147+GJ148+GJ46+GJ48+GJ49+GJ52+GJ53+GJ50+GJ51+GJ47</f>
        <v>0</v>
      </c>
      <c r="GL149" s="300">
        <f>GL6+GL45+GL54+GL55+GL99+GL131+GL134+GL137+GL141+GL142+GL143+GL144+GL145+GL146+GL147+GL148+GL46+GL48+GL49+GL52+GL53+GL50+GL51+GL47</f>
        <v>21.336638999999998</v>
      </c>
      <c r="GM149" s="300">
        <f>GM6+GM45+GM54+GM55+GM99+GM131+GM134+GM137+GM141+GM142+GM143+GM144+GM145+GM146+GM147+GM148+GM46+GM48+GM49+GM52+GM53+GM50+GM51+GM47</f>
        <v>21.336638999999998</v>
      </c>
      <c r="GN149" s="300">
        <f>GN6+GN45+GN54+GN55+GN99+GN131+GN134+GN137+GN141+GN142+GN143+GN144+GN145+GN146+GN147+GN148+GN46+GN48+GN49+GN52+GN53+GN50+GN51+GN47</f>
        <v>0</v>
      </c>
      <c r="GP149" s="300">
        <f>GP6+GP45+GP54+GP55+GP99+GP131+GP134+GP137+GP141+GP142+GP143+GP144+GP145+GP146+GP147+GP148+GP46+GP48+GP49+GP52+GP53+GP50+GP51+GP47</f>
        <v>418.61446510000002</v>
      </c>
      <c r="GQ149" s="300">
        <f>GQ6+GQ45+GQ54+GQ55+GQ99+GQ131+GQ134+GQ137+GQ141+GQ142+GQ143+GQ144+GQ145+GQ146+GQ147+GQ148+GQ46+GQ48+GQ49+GQ52+GQ53+GQ50+GQ51+GQ47</f>
        <v>418.61446510000002</v>
      </c>
      <c r="GR149" s="300">
        <f>GR6+GR45+GR54+GR55+GR99+GR131+GR134+GR137+GR141+GR142+GR143+GR144+GR145+GR146+GR147+GR148+GR46+GR48+GR49+GR52+GR53+GR50+GR51+GR47</f>
        <v>0</v>
      </c>
      <c r="GT149" s="300">
        <f>GT6+GT45+GT54+GT55+GT99+GT131+GT134+GT137+GT141+GT142+GT143+GT144+GT145+GT146+GT147+GT148+GT46+GT48+GT49+GT52+GT53+GT50+GT51+GT47</f>
        <v>219.62853960000001</v>
      </c>
      <c r="GU149" s="300">
        <f>GU6+GU45+GU54+GU55+GU99+GU131+GU134+GU137+GU141+GU142+GU143+GU144+GU145+GU146+GU147+GU148+GU46+GU48+GU49+GU52+GU53+GU50+GU51+GU47</f>
        <v>219.62853960000001</v>
      </c>
      <c r="GV149" s="300">
        <f>GV6+GV45+GV54+GV55+GV99+GV131+GV134+GV137+GV141+GV142+GV143+GV144+GV145+GV146+GV147+GV148+GV46+GV48+GV49+GV52+GV53+GV50+GV51+GV47</f>
        <v>0</v>
      </c>
      <c r="GX149" s="300">
        <f>GX6+GX45+GX54+GX55+GX99+GX131+GX134+GX137+GX141+GX142+GX143+GX144+GX145+GX146+GX147+GX148+GX46+GX48+GX49+GX52+GX53+GX50+GX51+GX47</f>
        <v>15.804549999999999</v>
      </c>
      <c r="GY149" s="300">
        <f>GY6+GY45+GY54+GY55+GY99+GY131+GY134+GY137+GY141+GY142+GY143+GY144+GY145+GY146+GY147+GY148+GY46+GY48+GY49+GY52+GY53+GY50+GY51+GY47</f>
        <v>15.804549999999999</v>
      </c>
      <c r="GZ149" s="300">
        <f>GZ6+GZ45+GZ54+GZ55+GZ99+GZ131+GZ134+GZ137+GZ141+GZ142+GZ143+GZ144+GZ145+GZ146+GZ147+GZ148+GZ46+GZ48+GZ49+GZ52+GZ53+GZ50+GZ51+GZ47</f>
        <v>0</v>
      </c>
      <c r="HA149" s="471"/>
      <c r="HB149" s="303"/>
      <c r="HC149" s="303"/>
      <c r="HD149" s="303"/>
      <c r="HE149" s="328"/>
      <c r="HF149" s="303"/>
      <c r="HG149" s="303"/>
      <c r="HH149" s="303"/>
      <c r="HI149" s="328"/>
      <c r="HJ149" s="303"/>
      <c r="HK149" s="303"/>
      <c r="HL149" s="303"/>
      <c r="HM149" s="328"/>
      <c r="HN149" s="357"/>
      <c r="HO149" s="286"/>
      <c r="HP149" s="286"/>
      <c r="HQ149" s="286"/>
      <c r="HR149" s="286"/>
      <c r="HS149" s="458"/>
      <c r="HT149" s="458"/>
      <c r="HU149" s="458"/>
      <c r="HV149" s="306"/>
      <c r="HW149" s="286"/>
      <c r="HX149" s="286"/>
      <c r="HY149" s="286"/>
      <c r="HZ149" s="286"/>
      <c r="IA149" s="286"/>
      <c r="IB149" s="286"/>
      <c r="IC149" s="286"/>
      <c r="ID149" s="286"/>
      <c r="IE149" s="286"/>
      <c r="IF149" s="286"/>
      <c r="IG149" s="286"/>
      <c r="IH149" s="286"/>
      <c r="II149" s="286"/>
      <c r="IJ149" s="286"/>
      <c r="IK149" s="286"/>
      <c r="IL149" s="286"/>
      <c r="IM149" s="286"/>
      <c r="IN149" s="286"/>
      <c r="IO149" s="286"/>
      <c r="IP149" s="286"/>
      <c r="IQ149" s="286"/>
      <c r="IR149" s="286"/>
      <c r="IS149" s="286"/>
      <c r="IT149" s="286"/>
      <c r="IU149" s="286"/>
      <c r="IV149" s="286"/>
    </row>
    <row r="150" spans="1:256" ht="13.5" hidden="1" customHeight="1">
      <c r="D150" s="285"/>
      <c r="E150" s="472"/>
      <c r="F150" s="473"/>
      <c r="G150" s="473"/>
      <c r="H150" s="473"/>
      <c r="HA150" s="474"/>
      <c r="HB150" s="475"/>
      <c r="HC150" s="472"/>
      <c r="HD150" s="472"/>
      <c r="HE150" s="472"/>
      <c r="HF150" s="472"/>
      <c r="HG150" s="472"/>
      <c r="HH150" s="472"/>
      <c r="HI150" s="472"/>
      <c r="HJ150" s="472"/>
      <c r="HK150" s="472"/>
      <c r="HL150" s="472"/>
      <c r="HM150" s="472"/>
      <c r="HN150" s="476"/>
      <c r="HS150" s="471"/>
      <c r="HT150" s="471"/>
      <c r="HU150" s="471"/>
    </row>
    <row r="151" spans="1:256" s="474" customFormat="1" ht="13.5" hidden="1" customHeight="1">
      <c r="A151" s="472"/>
      <c r="B151" s="472"/>
      <c r="C151" s="472"/>
      <c r="D151" s="472"/>
      <c r="E151" s="472"/>
      <c r="F151" s="477">
        <v>408950.05883471016</v>
      </c>
      <c r="G151" s="477">
        <v>408950.05883471016</v>
      </c>
      <c r="H151" s="477">
        <v>0</v>
      </c>
      <c r="J151" s="474">
        <v>2476.5345585</v>
      </c>
      <c r="K151" s="474">
        <v>2476.5345585</v>
      </c>
      <c r="L151" s="474">
        <v>0</v>
      </c>
      <c r="N151" s="474">
        <v>184.88187400000001</v>
      </c>
      <c r="O151" s="474">
        <v>184.88187400000001</v>
      </c>
      <c r="P151" s="474">
        <v>0</v>
      </c>
      <c r="R151" s="474">
        <v>51382.321819199999</v>
      </c>
      <c r="S151" s="474">
        <v>51382.321819199999</v>
      </c>
      <c r="T151" s="474">
        <v>0</v>
      </c>
      <c r="V151" s="474">
        <v>33711.361923800003</v>
      </c>
      <c r="W151" s="474">
        <v>33711.361923800003</v>
      </c>
      <c r="X151" s="474">
        <v>0</v>
      </c>
      <c r="Z151" s="474">
        <v>15327.571706799996</v>
      </c>
      <c r="AA151" s="474">
        <v>15327.571706799996</v>
      </c>
      <c r="AB151" s="474">
        <v>0</v>
      </c>
      <c r="AD151" s="474">
        <v>10950.959787200001</v>
      </c>
      <c r="AE151" s="474">
        <v>10950.959787200001</v>
      </c>
      <c r="AF151" s="474">
        <v>0</v>
      </c>
      <c r="AG151" s="472"/>
      <c r="AH151" s="472">
        <v>1623.3620006000001</v>
      </c>
      <c r="AI151" s="472">
        <v>1623.3620006000001</v>
      </c>
      <c r="AJ151" s="472">
        <v>0</v>
      </c>
      <c r="AL151" s="474">
        <v>19352.724733699994</v>
      </c>
      <c r="AM151" s="474">
        <v>19352.724733699994</v>
      </c>
      <c r="AN151" s="474">
        <v>0</v>
      </c>
      <c r="AP151" s="474">
        <v>55363.010593619998</v>
      </c>
      <c r="AQ151" s="474">
        <v>55363.010593619998</v>
      </c>
      <c r="AR151" s="474">
        <v>0</v>
      </c>
      <c r="AT151" s="474">
        <v>8630.8463488000016</v>
      </c>
      <c r="AU151" s="474">
        <v>8630.8463488000016</v>
      </c>
      <c r="AV151" s="474">
        <v>0</v>
      </c>
      <c r="AW151" s="472"/>
      <c r="AX151" s="472">
        <v>1463.3253340999997</v>
      </c>
      <c r="AY151" s="472">
        <v>1463.3253340999997</v>
      </c>
      <c r="AZ151" s="472">
        <v>0</v>
      </c>
      <c r="BA151" s="472"/>
      <c r="BB151" s="472">
        <v>468.72795080000003</v>
      </c>
      <c r="BC151" s="472">
        <v>468.72795080000003</v>
      </c>
      <c r="BD151" s="472">
        <v>0</v>
      </c>
      <c r="BE151" s="472"/>
      <c r="BF151" s="472">
        <v>381.73341269999997</v>
      </c>
      <c r="BG151" s="472">
        <v>381.73341269999997</v>
      </c>
      <c r="BH151" s="472">
        <v>0</v>
      </c>
      <c r="BJ151" s="474">
        <v>16902.013414999998</v>
      </c>
      <c r="BK151" s="474">
        <v>16902.013414999998</v>
      </c>
      <c r="BL151" s="474">
        <v>0</v>
      </c>
      <c r="BN151" s="474">
        <v>2772.4281224000001</v>
      </c>
      <c r="BO151" s="474">
        <v>2772.4281224000001</v>
      </c>
      <c r="BP151" s="474">
        <v>0</v>
      </c>
      <c r="BR151" s="474">
        <v>2600.2849143000003</v>
      </c>
      <c r="BS151" s="474">
        <v>2600.2849143000003</v>
      </c>
      <c r="BT151" s="474">
        <v>0</v>
      </c>
      <c r="BV151" s="474">
        <v>40764.176150070001</v>
      </c>
      <c r="BW151" s="474">
        <v>40764.176150070001</v>
      </c>
      <c r="BX151" s="474">
        <v>0</v>
      </c>
      <c r="BZ151" s="474">
        <v>53718.437803799992</v>
      </c>
      <c r="CA151" s="474">
        <v>53718.437803799992</v>
      </c>
      <c r="CB151" s="474">
        <v>0</v>
      </c>
      <c r="CD151" s="474">
        <v>245.25131390000001</v>
      </c>
      <c r="CE151" s="474">
        <v>245.25131390000001</v>
      </c>
      <c r="CF151" s="474">
        <v>0</v>
      </c>
      <c r="CH151" s="474">
        <v>46745.03626162</v>
      </c>
      <c r="CI151" s="474">
        <v>46745.03626162</v>
      </c>
      <c r="CJ151" s="474">
        <v>0</v>
      </c>
      <c r="CL151" s="474">
        <v>1779.1880184000001</v>
      </c>
      <c r="CM151" s="474">
        <v>1779.1880184000001</v>
      </c>
      <c r="CN151" s="474">
        <v>0</v>
      </c>
      <c r="CP151" s="474">
        <v>755.1264764</v>
      </c>
      <c r="CQ151" s="474">
        <v>755.1264764</v>
      </c>
      <c r="CR151" s="474">
        <v>0</v>
      </c>
      <c r="CT151" s="474">
        <v>412.75159960000002</v>
      </c>
      <c r="CU151" s="474">
        <v>412.75159960000002</v>
      </c>
      <c r="CV151" s="474">
        <v>0</v>
      </c>
      <c r="CX151" s="474">
        <v>1611.5757464999999</v>
      </c>
      <c r="CY151" s="474">
        <v>1611.5757464999999</v>
      </c>
      <c r="CZ151" s="474">
        <v>0</v>
      </c>
      <c r="DB151" s="474">
        <v>773.73394780000001</v>
      </c>
      <c r="DC151" s="474">
        <v>773.73394780000001</v>
      </c>
      <c r="DD151" s="474">
        <v>0</v>
      </c>
      <c r="DF151" s="474">
        <v>1362.6858361999998</v>
      </c>
      <c r="DG151" s="474">
        <v>1362.6858361999998</v>
      </c>
      <c r="DH151" s="474">
        <v>0</v>
      </c>
      <c r="DJ151" s="474">
        <v>653.52118680000001</v>
      </c>
      <c r="DK151" s="474">
        <v>653.52118680000001</v>
      </c>
      <c r="DL151" s="474">
        <v>0</v>
      </c>
      <c r="DN151" s="474">
        <v>13402.120637</v>
      </c>
      <c r="DO151" s="474">
        <v>13402.120637</v>
      </c>
      <c r="DP151" s="474">
        <v>0</v>
      </c>
      <c r="DR151" s="474">
        <v>36.523981800000001</v>
      </c>
      <c r="DS151" s="474">
        <v>36.523981800000001</v>
      </c>
      <c r="DT151" s="474">
        <v>0</v>
      </c>
      <c r="DV151" s="474">
        <v>2858.8284123999997</v>
      </c>
      <c r="DW151" s="474">
        <v>2858.8284123999997</v>
      </c>
      <c r="DX151" s="474">
        <v>0</v>
      </c>
      <c r="DZ151" s="474">
        <v>535.90323920000003</v>
      </c>
      <c r="EA151" s="474">
        <v>535.90323920000003</v>
      </c>
      <c r="EB151" s="474">
        <v>0</v>
      </c>
      <c r="ED151" s="474">
        <v>449.29898529999991</v>
      </c>
      <c r="EE151" s="474">
        <v>449.29898529999991</v>
      </c>
      <c r="EF151" s="474">
        <v>0</v>
      </c>
      <c r="EH151" s="474">
        <v>8908.8275161000001</v>
      </c>
      <c r="EI151" s="474">
        <v>8908.8275161000001</v>
      </c>
      <c r="EJ151" s="474">
        <v>0</v>
      </c>
      <c r="EL151" s="474">
        <v>13.7239868</v>
      </c>
      <c r="EM151" s="474">
        <v>13.7239868</v>
      </c>
      <c r="EN151" s="474">
        <v>0</v>
      </c>
      <c r="EP151" s="474">
        <v>717.95043249999992</v>
      </c>
      <c r="EQ151" s="474">
        <v>717.95043249999992</v>
      </c>
      <c r="ER151" s="474">
        <v>0</v>
      </c>
      <c r="ET151" s="474">
        <v>339.5104728</v>
      </c>
      <c r="EU151" s="474">
        <v>339.5104728</v>
      </c>
      <c r="EV151" s="474">
        <v>0</v>
      </c>
      <c r="EX151" s="474">
        <v>227.49743040000001</v>
      </c>
      <c r="EY151" s="474">
        <v>227.49743040000001</v>
      </c>
      <c r="EZ151" s="474">
        <v>0</v>
      </c>
      <c r="FB151" s="474">
        <v>1328.9053378000001</v>
      </c>
      <c r="FC151" s="474">
        <v>1328.9053378000001</v>
      </c>
      <c r="FD151" s="474">
        <v>0</v>
      </c>
      <c r="FF151" s="474">
        <v>702.85107540000001</v>
      </c>
      <c r="FG151" s="474">
        <v>702.85107540000001</v>
      </c>
      <c r="FH151" s="474">
        <v>0</v>
      </c>
      <c r="FJ151" s="474">
        <v>218.81074550000005</v>
      </c>
      <c r="FK151" s="474">
        <v>218.81074550000005</v>
      </c>
      <c r="FL151" s="474">
        <v>0</v>
      </c>
      <c r="FN151" s="474">
        <v>3186.4124889</v>
      </c>
      <c r="FO151" s="474">
        <v>3186.4124889</v>
      </c>
      <c r="FP151" s="474">
        <v>0</v>
      </c>
      <c r="FR151" s="474">
        <v>1130.3019259999999</v>
      </c>
      <c r="FS151" s="474">
        <v>1130.3019259999999</v>
      </c>
      <c r="FT151" s="474">
        <v>0</v>
      </c>
      <c r="FV151" s="474">
        <v>1163.3590297000001</v>
      </c>
      <c r="FW151" s="474">
        <v>1163.3590297000001</v>
      </c>
      <c r="FX151" s="474">
        <v>0</v>
      </c>
      <c r="FZ151" s="474">
        <v>134.71877499999999</v>
      </c>
      <c r="GA151" s="474">
        <v>134.71877499999999</v>
      </c>
      <c r="GB151" s="474">
        <v>0</v>
      </c>
      <c r="GD151" s="474">
        <v>477.7621982</v>
      </c>
      <c r="GE151" s="474">
        <v>477.7621982</v>
      </c>
      <c r="GF151" s="474">
        <v>0</v>
      </c>
      <c r="GH151" s="474">
        <v>52.470748999999998</v>
      </c>
      <c r="GI151" s="474">
        <v>52.470748999999998</v>
      </c>
      <c r="GJ151" s="474">
        <v>0</v>
      </c>
      <c r="GL151" s="474">
        <v>20.622743599999996</v>
      </c>
      <c r="GM151" s="474">
        <v>20.622743599999996</v>
      </c>
      <c r="GN151" s="474">
        <v>0</v>
      </c>
      <c r="GP151" s="474">
        <v>410.14797990000005</v>
      </c>
      <c r="GQ151" s="474">
        <v>410.14797990000005</v>
      </c>
      <c r="GR151" s="474">
        <v>0</v>
      </c>
      <c r="GT151" s="474">
        <v>204.13330479999996</v>
      </c>
      <c r="GU151" s="474">
        <v>204.13330479999996</v>
      </c>
      <c r="GV151" s="474">
        <v>0</v>
      </c>
      <c r="GX151" s="474">
        <v>22.404789999999998</v>
      </c>
      <c r="GY151" s="474">
        <v>22.404789999999998</v>
      </c>
      <c r="GZ151" s="474">
        <v>0</v>
      </c>
      <c r="HA151" s="477"/>
      <c r="HB151" s="478"/>
      <c r="HC151" s="476"/>
      <c r="HD151" s="476"/>
      <c r="HE151" s="476"/>
      <c r="HF151" s="476"/>
      <c r="HG151" s="476"/>
      <c r="HH151" s="476"/>
      <c r="HI151" s="476"/>
      <c r="HJ151" s="476"/>
      <c r="HK151" s="476"/>
      <c r="HL151" s="476"/>
      <c r="HM151" s="476"/>
      <c r="HN151" s="476"/>
      <c r="HO151" s="472"/>
      <c r="HP151" s="472"/>
      <c r="HQ151" s="472"/>
      <c r="HR151" s="472"/>
      <c r="HV151" s="472"/>
      <c r="HW151" s="472"/>
      <c r="HX151" s="472"/>
      <c r="HY151" s="472"/>
      <c r="HZ151" s="472"/>
      <c r="IA151" s="472"/>
      <c r="IB151" s="472"/>
      <c r="IC151" s="472"/>
      <c r="ID151" s="472"/>
      <c r="IE151" s="472"/>
      <c r="IF151" s="472"/>
      <c r="IG151" s="472"/>
      <c r="IH151" s="472"/>
      <c r="II151" s="472"/>
      <c r="IJ151" s="472"/>
      <c r="IK151" s="472"/>
      <c r="IL151" s="472"/>
      <c r="IM151" s="472"/>
      <c r="IN151" s="472"/>
      <c r="IO151" s="472"/>
      <c r="IP151" s="472"/>
      <c r="IQ151" s="472"/>
      <c r="IR151" s="472"/>
      <c r="IS151" s="472"/>
      <c r="IT151" s="472"/>
      <c r="IU151" s="472"/>
      <c r="IV151" s="472"/>
    </row>
    <row r="152" spans="1:256" s="477" customFormat="1" ht="13.5" hidden="1" customHeight="1">
      <c r="A152" s="472"/>
      <c r="B152" s="472"/>
      <c r="C152" s="472"/>
      <c r="D152" s="472"/>
      <c r="E152" s="472"/>
      <c r="F152" s="477" t="e">
        <f>(F149-F151)/F151</f>
        <v>#REF!</v>
      </c>
      <c r="G152" s="477" t="e">
        <f t="shared" ref="G152:BR152" si="214">(G149-G151)/G151</f>
        <v>#REF!</v>
      </c>
      <c r="H152" s="477" t="e">
        <f t="shared" si="214"/>
        <v>#REF!</v>
      </c>
      <c r="J152" s="477">
        <f t="shared" si="214"/>
        <v>3.8682745480452391E-2</v>
      </c>
      <c r="K152" s="477">
        <f t="shared" si="214"/>
        <v>3.8682745480452391E-2</v>
      </c>
      <c r="L152" s="477" t="e">
        <f>(L149-L151)/L151</f>
        <v>#DIV/0!</v>
      </c>
      <c r="N152" s="477">
        <f t="shared" si="214"/>
        <v>-9.3897744675608422E-2</v>
      </c>
      <c r="O152" s="477">
        <f t="shared" si="214"/>
        <v>-9.3897744675608422E-2</v>
      </c>
      <c r="P152" s="477" t="e">
        <f t="shared" si="214"/>
        <v>#DIV/0!</v>
      </c>
      <c r="R152" s="477">
        <f t="shared" si="214"/>
        <v>-3.3136538029383891E-3</v>
      </c>
      <c r="S152" s="477">
        <f t="shared" si="214"/>
        <v>-3.3136538029383891E-3</v>
      </c>
      <c r="T152" s="477" t="e">
        <f t="shared" si="214"/>
        <v>#DIV/0!</v>
      </c>
      <c r="V152" s="477">
        <f t="shared" si="214"/>
        <v>1.0142121191746281E-2</v>
      </c>
      <c r="W152" s="477">
        <f t="shared" si="214"/>
        <v>1.0142121191746281E-2</v>
      </c>
      <c r="X152" s="477" t="e">
        <f>(X149-X151)/X151</f>
        <v>#DIV/0!</v>
      </c>
      <c r="Z152" s="477">
        <f t="shared" si="214"/>
        <v>9.3513840379826005E-3</v>
      </c>
      <c r="AA152" s="477">
        <f t="shared" si="214"/>
        <v>9.3513840379826005E-3</v>
      </c>
      <c r="AB152" s="477" t="e">
        <f t="shared" si="214"/>
        <v>#DIV/0!</v>
      </c>
      <c r="AD152" s="477">
        <f t="shared" si="214"/>
        <v>6.0541351889076963E-3</v>
      </c>
      <c r="AE152" s="477">
        <f t="shared" si="214"/>
        <v>6.0541351889076963E-3</v>
      </c>
      <c r="AF152" s="477" t="e">
        <f t="shared" si="214"/>
        <v>#DIV/0!</v>
      </c>
      <c r="AH152" s="477">
        <f t="shared" si="214"/>
        <v>8.4825811463559771E-3</v>
      </c>
      <c r="AI152" s="477">
        <f t="shared" si="214"/>
        <v>8.4825811463559771E-3</v>
      </c>
      <c r="AJ152" s="477" t="e">
        <f t="shared" si="214"/>
        <v>#DIV/0!</v>
      </c>
      <c r="AL152" s="477">
        <f t="shared" si="214"/>
        <v>-1.1344029774665533E-2</v>
      </c>
      <c r="AM152" s="477">
        <f t="shared" si="214"/>
        <v>-1.1344029774665533E-2</v>
      </c>
      <c r="AN152" s="477" t="e">
        <f t="shared" si="214"/>
        <v>#DIV/0!</v>
      </c>
      <c r="AP152" s="477">
        <f t="shared" si="214"/>
        <v>-8.3080071110331454E-3</v>
      </c>
      <c r="AQ152" s="477">
        <f t="shared" si="214"/>
        <v>-8.3080071110331454E-3</v>
      </c>
      <c r="AR152" s="477" t="e">
        <f t="shared" si="214"/>
        <v>#DIV/0!</v>
      </c>
      <c r="AT152" s="477">
        <f t="shared" si="214"/>
        <v>-4.9506732333327646E-4</v>
      </c>
      <c r="AU152" s="477">
        <f t="shared" si="214"/>
        <v>-4.9506732333327646E-4</v>
      </c>
      <c r="AV152" s="477" t="e">
        <f t="shared" si="214"/>
        <v>#DIV/0!</v>
      </c>
      <c r="AW152" s="479"/>
      <c r="AX152" s="479">
        <f t="shared" si="214"/>
        <v>2.8528026220276899E-2</v>
      </c>
      <c r="AY152" s="479">
        <f t="shared" si="214"/>
        <v>2.8528026220276899E-2</v>
      </c>
      <c r="AZ152" s="479" t="e">
        <f t="shared" si="214"/>
        <v>#DIV/0!</v>
      </c>
      <c r="BA152" s="479"/>
      <c r="BB152" s="479">
        <f t="shared" si="214"/>
        <v>2.6107297376045647E-3</v>
      </c>
      <c r="BC152" s="479">
        <f t="shared" si="214"/>
        <v>2.6107297376045647E-3</v>
      </c>
      <c r="BD152" s="479" t="e">
        <f t="shared" si="214"/>
        <v>#DIV/0!</v>
      </c>
      <c r="BE152" s="479"/>
      <c r="BF152" s="479">
        <f t="shared" si="214"/>
        <v>-2.975636824572869E-3</v>
      </c>
      <c r="BG152" s="479">
        <f t="shared" si="214"/>
        <v>-2.975636824572869E-3</v>
      </c>
      <c r="BH152" s="479" t="e">
        <f t="shared" si="214"/>
        <v>#DIV/0!</v>
      </c>
      <c r="BJ152" s="477">
        <f t="shared" si="214"/>
        <v>-1.5990914713165153E-3</v>
      </c>
      <c r="BK152" s="477">
        <f t="shared" si="214"/>
        <v>-1.5990914713165153E-3</v>
      </c>
      <c r="BL152" s="477" t="e">
        <f>(BL149-BL151)/BL151</f>
        <v>#DIV/0!</v>
      </c>
      <c r="BN152" s="477">
        <f t="shared" si="214"/>
        <v>1.6074326558706956E-2</v>
      </c>
      <c r="BO152" s="477">
        <f t="shared" si="214"/>
        <v>1.6074326558706956E-2</v>
      </c>
      <c r="BP152" s="477" t="e">
        <f t="shared" si="214"/>
        <v>#DIV/0!</v>
      </c>
      <c r="BR152" s="477">
        <f t="shared" si="214"/>
        <v>4.0337392807678313E-2</v>
      </c>
      <c r="BS152" s="477">
        <f t="shared" ref="BS152:CB152" si="215">(BS149-BS151)/BS151</f>
        <v>4.0337392807678313E-2</v>
      </c>
      <c r="BT152" s="477" t="e">
        <f t="shared" si="215"/>
        <v>#DIV/0!</v>
      </c>
      <c r="BV152" s="477">
        <f t="shared" si="215"/>
        <v>8.0072924454880262E-2</v>
      </c>
      <c r="BW152" s="477">
        <f t="shared" si="215"/>
        <v>8.0072924454880262E-2</v>
      </c>
      <c r="BX152" s="477" t="e">
        <f t="shared" si="215"/>
        <v>#DIV/0!</v>
      </c>
      <c r="BZ152" s="477">
        <f t="shared" si="215"/>
        <v>1.9346958669870359E-3</v>
      </c>
      <c r="CA152" s="477">
        <f t="shared" si="215"/>
        <v>1.9346958669870359E-3</v>
      </c>
      <c r="CB152" s="477" t="e">
        <f t="shared" si="215"/>
        <v>#DIV/0!</v>
      </c>
      <c r="CD152" s="477">
        <f>(CD149-CD151)/CD151</f>
        <v>-1.8130266579583113E-2</v>
      </c>
      <c r="CE152" s="477">
        <f>(CE149-CE151)/CE151</f>
        <v>-1.8130266579583113E-2</v>
      </c>
      <c r="CF152" s="477" t="e">
        <f>(CF149-CF151)/CF151</f>
        <v>#DIV/0!</v>
      </c>
      <c r="CH152" s="477">
        <f>(CH149-CH151)/CH151</f>
        <v>-1.0103251566578909E-2</v>
      </c>
      <c r="CI152" s="477">
        <f>(CI149-CI151)/CI151</f>
        <v>-1.0103251566578909E-2</v>
      </c>
      <c r="CJ152" s="477" t="e">
        <f>(CJ149-CJ151)/CJ151</f>
        <v>#DIV/0!</v>
      </c>
      <c r="CL152" s="477">
        <f>(CL149-CL151)/CL151</f>
        <v>-1.9816916950523795E-2</v>
      </c>
      <c r="CM152" s="477">
        <f>(CM149-CM151)/CM151</f>
        <v>-1.9816916950523795E-2</v>
      </c>
      <c r="CN152" s="477" t="e">
        <f>(CN149-CN151)/CN151</f>
        <v>#DIV/0!</v>
      </c>
      <c r="CP152" s="477" t="e">
        <f>(CP149-CP151)/CP151</f>
        <v>#REF!</v>
      </c>
      <c r="CQ152" s="477" t="e">
        <f>(CQ149-CQ151)/CQ151</f>
        <v>#REF!</v>
      </c>
      <c r="CR152" s="477" t="e">
        <f>(CR149-CR151)/CR151</f>
        <v>#REF!</v>
      </c>
      <c r="CT152" s="477" t="e">
        <f>(CT149-CT151)/CT151</f>
        <v>#REF!</v>
      </c>
      <c r="CU152" s="477" t="e">
        <f>(CU149-CU151)/CU151</f>
        <v>#REF!</v>
      </c>
      <c r="CV152" s="477" t="e">
        <f>(CV149-CV151)/CV151</f>
        <v>#REF!</v>
      </c>
      <c r="CX152" s="477">
        <f>(CX149-CX151)/CX151</f>
        <v>-1.4412369353685811E-2</v>
      </c>
      <c r="CY152" s="477">
        <f>(CY149-CY151)/CY151</f>
        <v>-1.4412369353685811E-2</v>
      </c>
      <c r="CZ152" s="477" t="e">
        <f>(CZ149-CZ151)/CZ151</f>
        <v>#DIV/0!</v>
      </c>
      <c r="DB152" s="477">
        <f>(DB149-DB151)/DB151</f>
        <v>1.5008477698333708E-2</v>
      </c>
      <c r="DC152" s="477">
        <f>(DC149-DC151)/DC151</f>
        <v>1.5008477698333708E-2</v>
      </c>
      <c r="DD152" s="477" t="e">
        <f>(DD149-DD151)/DD151</f>
        <v>#DIV/0!</v>
      </c>
      <c r="DF152" s="477">
        <f>(DF149-DF151)/DF151</f>
        <v>1.4698159669621568E-3</v>
      </c>
      <c r="DG152" s="477">
        <f>(DG149-DG151)/DG151</f>
        <v>1.4698159669621568E-3</v>
      </c>
      <c r="DH152" s="477" t="e">
        <f>(DH149-DH151)/DH151</f>
        <v>#DIV/0!</v>
      </c>
      <c r="DJ152" s="477">
        <f>(DJ149-DJ151)/DJ151</f>
        <v>-0.35262364503956739</v>
      </c>
      <c r="DK152" s="477">
        <f>(DK149-DK151)/DK151</f>
        <v>-0.35262364503956739</v>
      </c>
      <c r="DL152" s="477" t="e">
        <f>(DL149-DL151)/DL151</f>
        <v>#DIV/0!</v>
      </c>
      <c r="DN152" s="477">
        <f>(DN149-DN151)/DN151</f>
        <v>-1.5132772752404937E-3</v>
      </c>
      <c r="DO152" s="477">
        <f>(DO149-DO151)/DO151</f>
        <v>-1.5132772752404937E-3</v>
      </c>
      <c r="DP152" s="477" t="e">
        <f>(DP149-DP151)/DP151</f>
        <v>#DIV/0!</v>
      </c>
      <c r="DR152" s="477">
        <f>(DR149-DR151)/DR151</f>
        <v>-0.94743460309138583</v>
      </c>
      <c r="DS152" s="477">
        <f>(DS149-DS151)/DS151</f>
        <v>-0.94743460309138583</v>
      </c>
      <c r="DT152" s="477" t="e">
        <f>(DT149-DT151)/DT151</f>
        <v>#DIV/0!</v>
      </c>
      <c r="DV152" s="477">
        <f>(DV149-DV151)/DV151</f>
        <v>1.5656448566787101E-4</v>
      </c>
      <c r="DW152" s="477">
        <f>(DW149-DW151)/DW151</f>
        <v>1.5656448566787101E-4</v>
      </c>
      <c r="DX152" s="477" t="e">
        <f>(DX149-DX151)/DX151</f>
        <v>#DIV/0!</v>
      </c>
      <c r="DZ152" s="477">
        <f>(DZ149-DZ151)/DZ151</f>
        <v>3.1562205194447085E-3</v>
      </c>
      <c r="EA152" s="477">
        <f>(EA149-EA151)/EA151</f>
        <v>3.1562205194447085E-3</v>
      </c>
      <c r="EB152" s="477" t="e">
        <f>(EB149-EB151)/EB151</f>
        <v>#DIV/0!</v>
      </c>
      <c r="ED152" s="477">
        <f>(ED149-ED151)/ED151</f>
        <v>-7.8159591160777402E-3</v>
      </c>
      <c r="EE152" s="477">
        <f>(EE149-EE151)/EE151</f>
        <v>-7.8159591160777402E-3</v>
      </c>
      <c r="EF152" s="477" t="e">
        <f>(EF149-EF151)/EF151</f>
        <v>#DIV/0!</v>
      </c>
      <c r="EH152" s="477">
        <f>(EH149-EH151)/EH151</f>
        <v>-8.380998932246567E-3</v>
      </c>
      <c r="EI152" s="477">
        <f>(EI149-EI151)/EI151</f>
        <v>-8.380998932246567E-3</v>
      </c>
      <c r="EJ152" s="477" t="e">
        <f>(EJ149-EJ151)/EJ151</f>
        <v>#DIV/0!</v>
      </c>
      <c r="EL152" s="477">
        <f>(EL149-EL151)/EL151</f>
        <v>0</v>
      </c>
      <c r="EM152" s="477">
        <f>(EM149-EM151)/EM151</f>
        <v>0</v>
      </c>
      <c r="EN152" s="477" t="e">
        <f>(EN149-EN151)/EN151</f>
        <v>#DIV/0!</v>
      </c>
      <c r="EP152" s="477">
        <f>(EP149-EP151)/EP151</f>
        <v>7.3220480997482768E-3</v>
      </c>
      <c r="EQ152" s="477">
        <f>(EQ149-EQ151)/EQ151</f>
        <v>7.3220480997482768E-3</v>
      </c>
      <c r="ER152" s="477" t="e">
        <f>(ER149-ER151)/ER151</f>
        <v>#DIV/0!</v>
      </c>
      <c r="ET152" s="477">
        <f>(ET149-ET151)/ET151</f>
        <v>-3.308292644809386E-3</v>
      </c>
      <c r="EU152" s="477">
        <f>(EU149-EU151)/EU151</f>
        <v>-3.308292644809386E-3</v>
      </c>
      <c r="EV152" s="477" t="e">
        <f>(EV149-EV151)/EV151</f>
        <v>#DIV/0!</v>
      </c>
      <c r="EX152" s="477">
        <f>(EX149-EX151)/EX151</f>
        <v>-0.55296350151654283</v>
      </c>
      <c r="EY152" s="477">
        <f>(EY149-EY151)/EY151</f>
        <v>-0.55296350151654283</v>
      </c>
      <c r="EZ152" s="477" t="e">
        <f>(EZ149-EZ151)/EZ151</f>
        <v>#DIV/0!</v>
      </c>
      <c r="FB152" s="477">
        <f>(FB149-FB151)/FB151</f>
        <v>2.1376551957439731E-3</v>
      </c>
      <c r="FC152" s="477">
        <f>(FC149-FC151)/FC151</f>
        <v>2.1376551957439731E-3</v>
      </c>
      <c r="FD152" s="477" t="e">
        <f>(FD149-FD151)/FD151</f>
        <v>#DIV/0!</v>
      </c>
      <c r="FF152" s="477">
        <f>(FF149-FF151)/FF151</f>
        <v>-1.280214303561729E-4</v>
      </c>
      <c r="FG152" s="477">
        <f>(FG149-FG151)/FG151</f>
        <v>-1.280214303561729E-4</v>
      </c>
      <c r="FH152" s="477" t="e">
        <f>(FH149-FH151)/FH151</f>
        <v>#DIV/0!</v>
      </c>
      <c r="FJ152" s="477">
        <f>(FJ149-FJ151)/FJ151</f>
        <v>9.9930942376867671E-2</v>
      </c>
      <c r="FK152" s="477">
        <f>(FK149-FK151)/FK151</f>
        <v>9.9930942376867671E-2</v>
      </c>
      <c r="FL152" s="477" t="e">
        <f>(FL149-FL151)/FL151</f>
        <v>#DIV/0!</v>
      </c>
      <c r="FN152" s="477">
        <f>(FN149-FN151)/FN151</f>
        <v>-1</v>
      </c>
      <c r="FO152" s="477">
        <f>(FO149-FO151)/FO151</f>
        <v>-1</v>
      </c>
      <c r="FP152" s="477" t="e">
        <f>(FP149-FP151)/FP151</f>
        <v>#DIV/0!</v>
      </c>
      <c r="FR152" s="477">
        <f>(FR149-FR151)/FR151</f>
        <v>4.1481968509005318E-2</v>
      </c>
      <c r="FS152" s="477">
        <f>(FS149-FS151)/FS151</f>
        <v>4.1481968509005318E-2</v>
      </c>
      <c r="FT152" s="477" t="e">
        <f>(FT149-FT151)/FT151</f>
        <v>#DIV/0!</v>
      </c>
      <c r="FV152" s="477">
        <f>(FV149-FV151)/FV151</f>
        <v>2.8054824836333113E-2</v>
      </c>
      <c r="FW152" s="477">
        <f>(FW149-FW151)/FW151</f>
        <v>2.8054824836333113E-2</v>
      </c>
      <c r="FX152" s="477" t="e">
        <f>(FX149-FX151)/FX151</f>
        <v>#DIV/0!</v>
      </c>
      <c r="FZ152" s="477">
        <f>(FZ149-FZ151)/FZ151</f>
        <v>7.1576511885592716E-3</v>
      </c>
      <c r="GA152" s="477">
        <f>(GA149-GA151)/GA151</f>
        <v>7.1576511885592716E-3</v>
      </c>
      <c r="GB152" s="477" t="e">
        <f>(GB149-GB151)/GB151</f>
        <v>#DIV/0!</v>
      </c>
      <c r="GD152" s="477">
        <f>(GD149-GD151)/GD151</f>
        <v>3.3486575665207792E-3</v>
      </c>
      <c r="GE152" s="477">
        <f>(GE149-GE151)/GE151</f>
        <v>3.3486575665207792E-3</v>
      </c>
      <c r="GF152" s="477" t="e">
        <f>(GF149-GF151)/GF151</f>
        <v>#DIV/0!</v>
      </c>
      <c r="GH152" s="477">
        <f>(GH149-GH151)/GH151</f>
        <v>0.11418476225677664</v>
      </c>
      <c r="GI152" s="477">
        <f>(GI149-GI151)/GI151</f>
        <v>0.11418476225677664</v>
      </c>
      <c r="GJ152" s="477" t="e">
        <f>(GJ149-GJ151)/GJ151</f>
        <v>#DIV/0!</v>
      </c>
      <c r="GL152" s="477">
        <f>(GL149-GL151)/GL151</f>
        <v>3.4616897433569514E-2</v>
      </c>
      <c r="GM152" s="477">
        <f>(GM149-GM151)/GM151</f>
        <v>3.4616897433569514E-2</v>
      </c>
      <c r="GN152" s="477" t="e">
        <f>(GN149-GN151)/GN151</f>
        <v>#DIV/0!</v>
      </c>
      <c r="GP152" s="477">
        <f>(GP149-GP151)/GP151</f>
        <v>2.0642513470538647E-2</v>
      </c>
      <c r="GQ152" s="477">
        <f>(GQ149-GQ151)/GQ151</f>
        <v>2.0642513470538647E-2</v>
      </c>
      <c r="GR152" s="477" t="e">
        <f>(GR149-GR151)/GR151</f>
        <v>#DIV/0!</v>
      </c>
      <c r="GT152" s="477">
        <f>(GT149-GT151)/GT151</f>
        <v>7.590743125028783E-2</v>
      </c>
      <c r="GU152" s="477">
        <f>(GU149-GU151)/GU151</f>
        <v>7.590743125028783E-2</v>
      </c>
      <c r="GV152" s="477" t="e">
        <f>(GV149-GV151)/GV151</f>
        <v>#DIV/0!</v>
      </c>
      <c r="HA152" s="472"/>
      <c r="HE152" s="472"/>
      <c r="HI152" s="472"/>
      <c r="HM152" s="472"/>
      <c r="HO152" s="472"/>
      <c r="HP152" s="472"/>
      <c r="HQ152" s="472"/>
      <c r="HR152" s="472"/>
      <c r="HS152" s="474"/>
      <c r="HT152" s="474"/>
      <c r="HU152" s="474"/>
      <c r="HV152" s="472"/>
      <c r="HW152" s="472"/>
      <c r="HX152" s="472"/>
      <c r="HY152" s="472"/>
      <c r="HZ152" s="472"/>
      <c r="IA152" s="472"/>
      <c r="IB152" s="472"/>
      <c r="IC152" s="472"/>
      <c r="ID152" s="472"/>
      <c r="IE152" s="472"/>
      <c r="IF152" s="472"/>
      <c r="IG152" s="472"/>
      <c r="IH152" s="472"/>
      <c r="II152" s="472"/>
      <c r="IJ152" s="472"/>
      <c r="IK152" s="472"/>
      <c r="IL152" s="472"/>
      <c r="IM152" s="472"/>
      <c r="IN152" s="472"/>
      <c r="IO152" s="472"/>
      <c r="IP152" s="472"/>
      <c r="IQ152" s="472"/>
      <c r="IR152" s="472"/>
      <c r="IS152" s="472"/>
      <c r="IT152" s="472"/>
      <c r="IU152" s="472"/>
      <c r="IV152" s="472"/>
    </row>
    <row r="153" spans="1:256" s="472" customFormat="1" ht="13.5" hidden="1" customHeight="1">
      <c r="F153" s="477" t="e">
        <f>F149-F151</f>
        <v>#REF!</v>
      </c>
      <c r="G153" s="477" t="e">
        <f>G149-G151</f>
        <v>#REF!</v>
      </c>
      <c r="H153" s="477"/>
      <c r="J153" s="477">
        <f>J149-J151</f>
        <v>95.799156000000039</v>
      </c>
      <c r="K153" s="477">
        <f>K149-K151</f>
        <v>95.799156000000039</v>
      </c>
      <c r="L153" s="477"/>
      <c r="N153" s="477">
        <f>N149-N151</f>
        <v>-17.359991000000008</v>
      </c>
      <c r="O153" s="477">
        <f>O149-O151</f>
        <v>-17.359991000000008</v>
      </c>
      <c r="P153" s="477"/>
      <c r="R153" s="477">
        <f>R149-R151</f>
        <v>-170.26322609999625</v>
      </c>
      <c r="S153" s="477">
        <f>S149-S151</f>
        <v>-170.26322609999625</v>
      </c>
      <c r="T153" s="477"/>
      <c r="V153" s="477">
        <f>V149-V151</f>
        <v>341.90471817000071</v>
      </c>
      <c r="W153" s="477">
        <f>W149-W151</f>
        <v>341.90471817000071</v>
      </c>
      <c r="X153" s="477"/>
      <c r="Z153" s="477">
        <f>Z149-Z151</f>
        <v>143.3340094000032</v>
      </c>
      <c r="AA153" s="477">
        <f>AA149-AA151</f>
        <v>143.3340094000032</v>
      </c>
      <c r="AB153" s="477"/>
      <c r="AD153" s="477">
        <f>AD149-AD151</f>
        <v>66.29859100000067</v>
      </c>
      <c r="AE153" s="477">
        <f>AE149-AE151</f>
        <v>66.29859100000067</v>
      </c>
      <c r="AF153" s="477"/>
      <c r="AH153" s="477">
        <f>AH149-AH151</f>
        <v>13.770299900000282</v>
      </c>
      <c r="AI153" s="477">
        <f>AI149-AI151</f>
        <v>13.770299900000282</v>
      </c>
      <c r="AJ153" s="477"/>
      <c r="AL153" s="477">
        <f>AL149-AL151</f>
        <v>-219.53788559999884</v>
      </c>
      <c r="AM153" s="477">
        <f>AM149-AM151</f>
        <v>-219.53788559999884</v>
      </c>
      <c r="AN153" s="477"/>
      <c r="AP153" s="477">
        <f>AP149-AP151</f>
        <v>-459.95628569999826</v>
      </c>
      <c r="AQ153" s="477">
        <f>AQ149-AQ151</f>
        <v>-459.95628569999826</v>
      </c>
      <c r="AR153" s="477"/>
      <c r="AT153" s="477">
        <f>AT149-AT151</f>
        <v>-4.2728500000011991</v>
      </c>
      <c r="AU153" s="477">
        <f>AU149-AU151</f>
        <v>-4.2728500000011991</v>
      </c>
      <c r="AV153" s="477"/>
      <c r="AX153" s="477">
        <f>AX149-AX151</f>
        <v>41.745783500000243</v>
      </c>
      <c r="AY153" s="477">
        <f>AY149-AY151</f>
        <v>41.745783500000243</v>
      </c>
      <c r="AZ153" s="477"/>
      <c r="BB153" s="477">
        <f>BB149-BB151</f>
        <v>1.2237220000000093</v>
      </c>
      <c r="BC153" s="477">
        <f>BC149-BC151</f>
        <v>1.2237220000000093</v>
      </c>
      <c r="BD153" s="477"/>
      <c r="BF153" s="477">
        <f>BF149-BF151</f>
        <v>-1.1358999999999924</v>
      </c>
      <c r="BG153" s="477">
        <f>BG149-BG151</f>
        <v>-1.1358999999999924</v>
      </c>
      <c r="BH153" s="477"/>
      <c r="BJ153" s="477">
        <f>BJ149-BJ151</f>
        <v>-27.027865500003827</v>
      </c>
      <c r="BK153" s="477">
        <f>BK149-BK151</f>
        <v>-27.027865500003827</v>
      </c>
      <c r="BL153" s="477"/>
      <c r="BN153" s="477">
        <f>BN149-BN151</f>
        <v>44.564915000000383</v>
      </c>
      <c r="BO153" s="477">
        <f>BO149-BO151</f>
        <v>44.564915000000383</v>
      </c>
      <c r="BP153" s="477"/>
      <c r="BR153" s="477">
        <f>BR149-BR151</f>
        <v>104.88871399999925</v>
      </c>
      <c r="BS153" s="477">
        <f>BS149-BS151</f>
        <v>104.88871399999925</v>
      </c>
      <c r="BT153" s="477"/>
      <c r="BV153" s="477">
        <f>BV149-BV151</f>
        <v>3264.1067973299869</v>
      </c>
      <c r="BW153" s="477">
        <f>BW149-BW151</f>
        <v>3264.1067973299869</v>
      </c>
      <c r="BX153" s="477"/>
      <c r="BZ153" s="477">
        <f>BZ149-BZ151</f>
        <v>103.928839600012</v>
      </c>
      <c r="CA153" s="477">
        <f>CA149-CA151</f>
        <v>103.928839600012</v>
      </c>
      <c r="CB153" s="477"/>
      <c r="CD153" s="477">
        <f>CD149-CD151</f>
        <v>-4.4464717000000178</v>
      </c>
      <c r="CE153" s="477">
        <f>CE149-CE151</f>
        <v>-4.4464717000000178</v>
      </c>
      <c r="CF153" s="477"/>
      <c r="CH153" s="477">
        <f>CH149-CH151</f>
        <v>-472.27686084000015</v>
      </c>
      <c r="CI153" s="477">
        <f>CI149-CI151</f>
        <v>-472.27686084000015</v>
      </c>
      <c r="CJ153" s="477"/>
      <c r="CL153" s="477">
        <f>CL149-CL151</f>
        <v>-35.258021199999803</v>
      </c>
      <c r="CM153" s="477">
        <f>CM149-CM151</f>
        <v>-35.258021199999803</v>
      </c>
      <c r="CN153" s="477"/>
      <c r="CP153" s="477" t="e">
        <f>CP149-CP151</f>
        <v>#REF!</v>
      </c>
      <c r="CQ153" s="477" t="e">
        <f>CQ149-CQ151</f>
        <v>#REF!</v>
      </c>
      <c r="CR153" s="477"/>
      <c r="CT153" s="477" t="e">
        <f>CT149-CT151</f>
        <v>#REF!</v>
      </c>
      <c r="CU153" s="477" t="e">
        <f>CU149-CU151</f>
        <v>#REF!</v>
      </c>
      <c r="CV153" s="477"/>
      <c r="CX153" s="477">
        <f>CX149-CX151</f>
        <v>-23.226624899999933</v>
      </c>
      <c r="CY153" s="477">
        <f>CY149-CY151</f>
        <v>-23.226624899999933</v>
      </c>
      <c r="CZ153" s="477"/>
      <c r="DB153" s="477">
        <f>DB149-DB151</f>
        <v>11.612568699999997</v>
      </c>
      <c r="DC153" s="477">
        <f>DC149-DC151</f>
        <v>11.612568699999997</v>
      </c>
      <c r="DD153" s="477"/>
      <c r="DF153" s="477">
        <f>DF149-DF151</f>
        <v>2.002897399999938</v>
      </c>
      <c r="DG153" s="477">
        <f>DG149-DG151</f>
        <v>2.002897399999938</v>
      </c>
      <c r="DH153" s="477"/>
      <c r="DJ153" s="477">
        <f>DJ149-DJ151</f>
        <v>-230.447023</v>
      </c>
      <c r="DK153" s="477">
        <f>DK149-DK151</f>
        <v>-230.447023</v>
      </c>
      <c r="DL153" s="477"/>
      <c r="DN153" s="477">
        <f>DN149-DN151</f>
        <v>-20.28112460000375</v>
      </c>
      <c r="DO153" s="477">
        <f>DO149-DO151</f>
        <v>-20.28112460000375</v>
      </c>
      <c r="DP153" s="477"/>
      <c r="DR153" s="477">
        <f>DR149-DR151</f>
        <v>-34.604084200000003</v>
      </c>
      <c r="DS153" s="477">
        <f>DS149-DS151</f>
        <v>-34.604084200000003</v>
      </c>
      <c r="DT153" s="477"/>
      <c r="DV153" s="477">
        <f>DV149-DV151</f>
        <v>0.44759100000010221</v>
      </c>
      <c r="DW153" s="477">
        <f>DW149-DW151</f>
        <v>0.44759100000010221</v>
      </c>
      <c r="DX153" s="477"/>
      <c r="DZ153" s="477">
        <f>DZ149-DZ151</f>
        <v>1.691428799999926</v>
      </c>
      <c r="EA153" s="477">
        <f>EA149-EA151</f>
        <v>1.691428799999926</v>
      </c>
      <c r="EB153" s="477"/>
      <c r="ED153" s="477">
        <f>ED149-ED151</f>
        <v>-3.5117025000000126</v>
      </c>
      <c r="EE153" s="477">
        <f>EE149-EE151</f>
        <v>-3.5117025000000126</v>
      </c>
      <c r="EF153" s="477"/>
      <c r="EH153" s="477">
        <f>EH149-EH151</f>
        <v>-74.664873900002931</v>
      </c>
      <c r="EI153" s="477">
        <f>EI149-EI151</f>
        <v>-74.664873900002931</v>
      </c>
      <c r="EJ153" s="477"/>
      <c r="EL153" s="477">
        <f>EL149-EL151</f>
        <v>0</v>
      </c>
      <c r="EM153" s="477">
        <f>EM149-EM151</f>
        <v>0</v>
      </c>
      <c r="EN153" s="477"/>
      <c r="EP153" s="477">
        <f>EP149-EP151</f>
        <v>5.2568676000000778</v>
      </c>
      <c r="EQ153" s="477">
        <f>EQ149-EQ151</f>
        <v>5.2568676000000778</v>
      </c>
      <c r="ER153" s="477"/>
      <c r="ET153" s="477">
        <f>ET149-ET151</f>
        <v>-1.1231999999999971</v>
      </c>
      <c r="EU153" s="477">
        <f>EU149-EU151</f>
        <v>-1.1231999999999971</v>
      </c>
      <c r="EV153" s="477"/>
      <c r="EX153" s="477">
        <f>EX149-EX151</f>
        <v>-125.79777570000002</v>
      </c>
      <c r="EY153" s="477">
        <f>EY149-EY151</f>
        <v>-125.79777570000002</v>
      </c>
      <c r="EZ153" s="477"/>
      <c r="FB153" s="477">
        <f>FB149-FB151</f>
        <v>2.8407414000000699</v>
      </c>
      <c r="FC153" s="477">
        <f>FC149-FC151</f>
        <v>2.8407414000000699</v>
      </c>
      <c r="FD153" s="477"/>
      <c r="FF153" s="477">
        <f>FF149-FF151</f>
        <v>-8.9980000000082327E-2</v>
      </c>
      <c r="FG153" s="477">
        <f>FG149-FG151</f>
        <v>-8.9980000000082327E-2</v>
      </c>
      <c r="FH153" s="477"/>
      <c r="FJ153" s="477">
        <f>FJ149-FJ151</f>
        <v>21.865963999999963</v>
      </c>
      <c r="FK153" s="477">
        <f>FK149-FK151</f>
        <v>21.865963999999963</v>
      </c>
      <c r="FL153" s="477"/>
      <c r="FN153" s="477">
        <f>FN149-FN151</f>
        <v>-3186.4124889</v>
      </c>
      <c r="FO153" s="477">
        <f>FO149-FO151</f>
        <v>-3186.4124889</v>
      </c>
      <c r="FP153" s="477"/>
      <c r="FR153" s="477">
        <f>FR149-FR151</f>
        <v>46.887148900000057</v>
      </c>
      <c r="FS153" s="477">
        <f>FS149-FS151</f>
        <v>46.887148900000057</v>
      </c>
      <c r="FT153" s="477"/>
      <c r="FV153" s="477">
        <f>FV149-FV151</f>
        <v>32.637833799999953</v>
      </c>
      <c r="FW153" s="477">
        <f>FW149-FW151</f>
        <v>32.637833799999953</v>
      </c>
      <c r="FX153" s="477"/>
      <c r="FZ153" s="477">
        <f>FZ149-FZ151</f>
        <v>0.96426999999999907</v>
      </c>
      <c r="GA153" s="477">
        <f>GA149-GA151</f>
        <v>0.96426999999999907</v>
      </c>
      <c r="GB153" s="477"/>
      <c r="GD153" s="477">
        <f>GD149-GD151</f>
        <v>1.5998620000000301</v>
      </c>
      <c r="GE153" s="477">
        <f>GE149-GE151</f>
        <v>1.5998620000000301</v>
      </c>
      <c r="GF153" s="477"/>
      <c r="GH153" s="477">
        <f>GH149-GH151</f>
        <v>5.9913600000000002</v>
      </c>
      <c r="GI153" s="477">
        <f>GI149-GI151</f>
        <v>5.9913600000000002</v>
      </c>
      <c r="GJ153" s="477"/>
      <c r="GL153" s="477">
        <f>GL149-GL151</f>
        <v>0.71389540000000196</v>
      </c>
      <c r="GM153" s="477">
        <f>GM149-GM151</f>
        <v>0.71389540000000196</v>
      </c>
      <c r="GN153" s="477"/>
      <c r="GP153" s="477">
        <f>GP149-GP151</f>
        <v>8.4664851999999655</v>
      </c>
      <c r="GQ153" s="477">
        <f>GQ149-GQ151</f>
        <v>8.4664851999999655</v>
      </c>
      <c r="GR153" s="477"/>
      <c r="GT153" s="477">
        <f>GT149-GT151</f>
        <v>15.495234800000048</v>
      </c>
      <c r="GU153" s="477">
        <f>GU149-GU151</f>
        <v>15.495234800000048</v>
      </c>
      <c r="GV153" s="477"/>
      <c r="GX153" s="477"/>
      <c r="GY153" s="477"/>
      <c r="GZ153" s="477"/>
      <c r="HA153" s="471"/>
      <c r="HB153" s="480"/>
      <c r="HC153" s="358"/>
      <c r="HD153" s="425"/>
      <c r="HE153" s="357"/>
      <c r="HF153" s="357"/>
      <c r="HG153" s="357"/>
      <c r="HH153" s="357"/>
      <c r="HI153" s="357"/>
      <c r="HJ153" s="357"/>
      <c r="HK153" s="357"/>
      <c r="HL153" s="361"/>
      <c r="HM153" s="357"/>
      <c r="HN153" s="357"/>
      <c r="HO153" s="477"/>
      <c r="HS153" s="474"/>
      <c r="HT153" s="474"/>
      <c r="HU153" s="474"/>
    </row>
    <row r="154" spans="1:256" ht="13.5" hidden="1" customHeight="1">
      <c r="C154" s="279"/>
      <c r="D154" s="340"/>
      <c r="E154" s="279" t="s">
        <v>281</v>
      </c>
      <c r="H154" s="481">
        <f>SUM(J149,N149,R149,V149,Z149,AD149,AH149,AL149,AP149,AT149,AX149,BB149,BF149,BJ149,BN149,BR149,BV149,BZ149,CD149,CH149,CL149)</f>
        <v>369654.20823156997</v>
      </c>
      <c r="R154" s="282" t="s">
        <v>282</v>
      </c>
      <c r="HB154" s="412"/>
      <c r="HC154" s="419"/>
      <c r="HD154" s="448"/>
      <c r="HE154" s="448"/>
      <c r="HF154" s="448"/>
      <c r="HG154" s="448"/>
      <c r="HH154" s="448"/>
      <c r="HI154" s="448"/>
      <c r="HJ154" s="448"/>
      <c r="HK154" s="448"/>
      <c r="HL154" s="482"/>
      <c r="HM154" s="448"/>
      <c r="HN154" s="357"/>
      <c r="HS154" s="471"/>
      <c r="HT154" s="471"/>
      <c r="HU154" s="471"/>
    </row>
    <row r="155" spans="1:256" ht="13.5" hidden="1" customHeight="1">
      <c r="C155" s="279"/>
      <c r="H155" s="481" t="e">
        <f>SUM(CP149,CT149,CX149,DB149,DF149,DJ149,DN149,DR149,DV149,DZ149,ED149,EH149)</f>
        <v>#REF!</v>
      </c>
      <c r="HA155" s="483"/>
      <c r="HB155" s="412"/>
      <c r="HC155" s="419"/>
      <c r="HD155" s="451"/>
      <c r="HE155" s="451"/>
      <c r="HF155" s="452"/>
      <c r="HG155" s="452"/>
      <c r="HH155" s="452"/>
      <c r="HI155" s="452"/>
      <c r="HJ155" s="452"/>
      <c r="HK155" s="452"/>
      <c r="HL155" s="452"/>
      <c r="HM155" s="452"/>
      <c r="HN155" s="484"/>
    </row>
    <row r="156" spans="1:256" ht="13.5" hidden="1" customHeight="1">
      <c r="C156" s="279"/>
      <c r="E156" s="279" t="s">
        <v>283</v>
      </c>
      <c r="H156" s="481" t="e">
        <f>SUM(H154:H155)</f>
        <v>#REF!</v>
      </c>
      <c r="R156" s="282" t="s">
        <v>284</v>
      </c>
      <c r="HB156" s="485"/>
      <c r="HC156" s="419"/>
      <c r="HD156" s="451"/>
      <c r="HE156" s="451"/>
      <c r="HF156" s="452"/>
      <c r="HG156" s="452"/>
      <c r="HH156" s="452"/>
      <c r="HI156" s="452"/>
      <c r="HJ156" s="452"/>
      <c r="HK156" s="452"/>
      <c r="HL156" s="452"/>
      <c r="HM156" s="452"/>
      <c r="HN156" s="484"/>
    </row>
    <row r="157" spans="1:256" ht="13.5" customHeight="1">
      <c r="C157" s="279"/>
      <c r="E157" s="279" t="s">
        <v>285</v>
      </c>
      <c r="H157" s="481" t="e">
        <f>F149-H156</f>
        <v>#REF!</v>
      </c>
      <c r="HC157" s="413"/>
      <c r="HD157" s="452"/>
      <c r="HE157" s="452"/>
      <c r="HF157" s="452"/>
      <c r="HG157" s="452"/>
      <c r="HH157" s="452"/>
      <c r="HI157" s="452"/>
      <c r="HJ157" s="452"/>
      <c r="HK157" s="452"/>
      <c r="HL157" s="452"/>
      <c r="HM157" s="452"/>
      <c r="HN157" s="484"/>
    </row>
    <row r="158" spans="1:256" hidden="1">
      <c r="C158" s="279"/>
      <c r="D158" s="279"/>
      <c r="HC158" s="412"/>
      <c r="HD158" s="451"/>
      <c r="HE158" s="451"/>
      <c r="HF158" s="452"/>
      <c r="HG158" s="452"/>
      <c r="HH158" s="452"/>
      <c r="HI158" s="452"/>
      <c r="HJ158" s="452"/>
      <c r="HK158" s="452"/>
      <c r="HL158" s="452"/>
      <c r="HM158" s="452"/>
      <c r="HN158" s="484"/>
    </row>
    <row r="159" spans="1:256" ht="13.5" hidden="1" customHeight="1">
      <c r="C159" s="340"/>
      <c r="HA159" s="486"/>
      <c r="HB159" s="487"/>
      <c r="HC159" s="285"/>
      <c r="HD159" s="417"/>
      <c r="HE159" s="417"/>
      <c r="HF159" s="417"/>
      <c r="HG159" s="417"/>
      <c r="HH159" s="417"/>
      <c r="HI159" s="417"/>
      <c r="HJ159" s="417"/>
      <c r="HK159" s="417"/>
      <c r="HL159" s="417"/>
      <c r="HM159" s="417"/>
      <c r="HN159" s="417"/>
    </row>
    <row r="160" spans="1:256" s="282" customFormat="1" hidden="1">
      <c r="A160" s="340"/>
      <c r="B160" s="340"/>
      <c r="C160" s="340"/>
      <c r="D160" s="340"/>
      <c r="E160" s="276"/>
      <c r="F160" s="488" t="e">
        <f>F149-F101-F133-F136-F146-F147</f>
        <v>#REF!</v>
      </c>
      <c r="G160" s="488" t="e">
        <f>G149-G101-G133-G136-G146-G147</f>
        <v>#REF!</v>
      </c>
      <c r="H160" s="488" t="e">
        <f>H149-H101-H133-H136-H146-H147</f>
        <v>#REF!</v>
      </c>
      <c r="J160" s="282">
        <f>J149-J101-J133-J136-J146-J147</f>
        <v>2260.3125845</v>
      </c>
      <c r="K160" s="282">
        <f>K149-K101-K133-K136-K146-K147</f>
        <v>2260.3125845</v>
      </c>
      <c r="N160" s="282">
        <f>N149-N101-N133-N136-N146-N147</f>
        <v>117.18193299999999</v>
      </c>
      <c r="O160" s="282">
        <f>O149-O101-O133-O136-O146-O147</f>
        <v>117.18193299999999</v>
      </c>
      <c r="R160" s="282">
        <f>R149-R101-R133-R136-R146-R147</f>
        <v>46423.45517519999</v>
      </c>
      <c r="S160" s="282">
        <f>S149-S101-S133-S136-S146-S147</f>
        <v>46423.45517519999</v>
      </c>
      <c r="V160" s="282">
        <f>V149-V101-V133-V136-V146-V147</f>
        <v>30600.753940400002</v>
      </c>
      <c r="W160" s="282">
        <f>W149-W101-W133-W136-W146-W147</f>
        <v>30600.753940400002</v>
      </c>
      <c r="Z160" s="282">
        <f>Z149-Z101-Z133-Z136-Z146-Z147</f>
        <v>11458.705996299999</v>
      </c>
      <c r="AA160" s="282">
        <f>AA149-AA101-AA133-AA136-AA146-AA147</f>
        <v>11458.705996299999</v>
      </c>
      <c r="AD160" s="282">
        <f>AD149-AD101-AD133-AD136-AD146-AD147</f>
        <v>7385.1132308000015</v>
      </c>
      <c r="AE160" s="282">
        <f>AE149-AE101-AE133-AE136-AE146-AE147</f>
        <v>7385.1132308000015</v>
      </c>
      <c r="AH160" s="282">
        <f>AH149-AH101-AH133-AH136-AH146-AH147</f>
        <v>1312.6942397000005</v>
      </c>
      <c r="AI160" s="282">
        <f>AI149-AI101-AI133-AI136-AI146-AI147</f>
        <v>1312.6942397000005</v>
      </c>
      <c r="AL160" s="282">
        <f>AL149-AL101-AL133-AL136-AL146-AL147</f>
        <v>16616.057371699997</v>
      </c>
      <c r="AM160" s="282">
        <f>AM149-AM101-AM133-AM136-AM146-AM147</f>
        <v>16616.057371699997</v>
      </c>
      <c r="AP160" s="282">
        <f>AP149-AP101-AP133-AP136-AP146-AP147</f>
        <v>48521.962059500001</v>
      </c>
      <c r="AQ160" s="282">
        <f>AQ149-AQ101-AQ133-AQ136-AQ146-AQ147</f>
        <v>48521.962059500001</v>
      </c>
      <c r="AT160" s="282">
        <f>AT149-AT101-AT133-AT136-AT146-AT147</f>
        <v>5702.249086400001</v>
      </c>
      <c r="AU160" s="282">
        <f>AU149-AU101-AU133-AU136-AU146-AU147</f>
        <v>5702.249086400001</v>
      </c>
      <c r="AX160" s="282">
        <f>AX149-AX101-AX133-AX136-AX146-AX147</f>
        <v>903.73538100000007</v>
      </c>
      <c r="AY160" s="282">
        <f>AY149-AY101-AY133-AY136-AY146-AY147</f>
        <v>903.73538100000007</v>
      </c>
      <c r="BB160" s="282">
        <f>BB149-BB101-BB133-BB136-BB146-BB147</f>
        <v>338.70044680000007</v>
      </c>
      <c r="BC160" s="282">
        <f>BC149-BC101-BC133-BC136-BC146-BC147</f>
        <v>338.70044680000007</v>
      </c>
      <c r="BF160" s="282">
        <f>BF149-BF101-BF133-BF136-BF146-BF147</f>
        <v>296.83093269999995</v>
      </c>
      <c r="BG160" s="282">
        <f>BG149-BG101-BG133-BG136-BG146-BG147</f>
        <v>296.83093269999995</v>
      </c>
      <c r="BJ160" s="282">
        <f>BJ149-BJ101-BJ133-BJ136-BJ146-BJ147</f>
        <v>13623.962657099995</v>
      </c>
      <c r="BK160" s="282">
        <f>BK149-BK101-BK133-BK136-BK146-BK147</f>
        <v>13623.962657099995</v>
      </c>
      <c r="BN160" s="282">
        <f>BN149-BN101-BN133-BN136-BN146-BN147</f>
        <v>2487.4510354000004</v>
      </c>
      <c r="BO160" s="282">
        <f>BO149-BO101-BO133-BO136-BO146-BO147</f>
        <v>2487.4510354000004</v>
      </c>
      <c r="BR160" s="282">
        <f>BR149-BR101-BR133-BR136-BR146-BR147</f>
        <v>2533.9212223</v>
      </c>
      <c r="BS160" s="282">
        <f>BS149-BS101-BS133-BS136-BS146-BS147</f>
        <v>2533.9212223</v>
      </c>
      <c r="BV160" s="282">
        <f>BV149-BV101-BV133-BV136-BV146-BV147</f>
        <v>39974.112112599993</v>
      </c>
      <c r="BW160" s="282">
        <f>BW149-BW101-BW133-BW136-BW146-BW147</f>
        <v>39974.112112599993</v>
      </c>
      <c r="BZ160" s="282">
        <f>BZ149-BZ101-BZ133-BZ136-BZ146-BZ147</f>
        <v>49314.401646300001</v>
      </c>
      <c r="CA160" s="282">
        <f>CA149-CA101-CA133-CA136-CA146-CA147</f>
        <v>49314.401646300001</v>
      </c>
      <c r="CD160" s="282">
        <f>CD149-CD101-CD133-CD136-CD146-CD147</f>
        <v>160.21640600000001</v>
      </c>
      <c r="CE160" s="282">
        <f>CE149-CE101-CE133-CE136-CE146-CE147</f>
        <v>160.21640600000001</v>
      </c>
      <c r="CH160" s="282">
        <f>CH149-CH101-CH133-CH136-CH146-CH147</f>
        <v>34085.341102899991</v>
      </c>
      <c r="CI160" s="282">
        <f>CI149-CI101-CI133-CI136-CI146-CI147</f>
        <v>34085.341102899991</v>
      </c>
      <c r="CL160" s="282">
        <f>CL149-CL101-CL133-CL136-CL146-CL147</f>
        <v>1557.1653272000003</v>
      </c>
      <c r="CM160" s="282">
        <f>CM149-CM101-CM133-CM136-CM146-CM147</f>
        <v>1557.1653272000003</v>
      </c>
      <c r="CP160" s="282" t="e">
        <f>CP149-CP101-CP133-CP136-CP146-CP147</f>
        <v>#REF!</v>
      </c>
      <c r="CQ160" s="282" t="e">
        <f>CQ149-CQ101-CQ133-CQ136-CQ146-CQ147</f>
        <v>#REF!</v>
      </c>
      <c r="CT160" s="282" t="e">
        <f>CT149-CT101-CT133-CT136-CT146-CT147</f>
        <v>#REF!</v>
      </c>
      <c r="CU160" s="282" t="e">
        <f>CU149-CU101-CU133-CU136-CU146-CU147</f>
        <v>#REF!</v>
      </c>
      <c r="CX160" s="282">
        <f>CX149-CX101-CX133-CX136-CX146-CX147</f>
        <v>1348.4225116</v>
      </c>
      <c r="CY160" s="282">
        <f>CY149-CY101-CY133-CY136-CY146-CY147</f>
        <v>1348.4225116</v>
      </c>
      <c r="DB160" s="282">
        <f>DB149-DB101-DB133-DB136-DB146-DB147</f>
        <v>705.0213164999999</v>
      </c>
      <c r="DC160" s="282">
        <f>DC149-DC101-DC133-DC136-DC146-DC147</f>
        <v>705.0213164999999</v>
      </c>
      <c r="DF160" s="282">
        <f>DF149-DF101-DF133-DF136-DF146-DF147</f>
        <v>1234.9791697999999</v>
      </c>
      <c r="DG160" s="282">
        <f>DG149-DG101-DG133-DG136-DG146-DG147</f>
        <v>1234.9791697999999</v>
      </c>
      <c r="DJ160" s="282">
        <f>DJ149-DJ101-DJ133-DJ136-DJ146-DJ147</f>
        <v>326.36459180000003</v>
      </c>
      <c r="DK160" s="282">
        <f>DK149-DK101-DK133-DK136-DK146-DK147</f>
        <v>326.36459180000003</v>
      </c>
      <c r="DN160" s="282">
        <f>DN149-DN101-DN133-DN136-DN146-DN147</f>
        <v>11736.842890399996</v>
      </c>
      <c r="DO160" s="282">
        <f>DO149-DO101-DO133-DO136-DO146-DO147</f>
        <v>11736.842890399996</v>
      </c>
      <c r="DR160" s="282">
        <f>DR149-DR101-DR133-DR136-DR146-DR147</f>
        <v>0.91637760000000024</v>
      </c>
      <c r="DS160" s="282">
        <f>DS149-DS101-DS133-DS136-DS146-DS147</f>
        <v>0.91637760000000024</v>
      </c>
      <c r="DV160" s="282">
        <f>DV149-DV101-DV133-DV136-DV146-DV147</f>
        <v>2503.9707053999996</v>
      </c>
      <c r="DW160" s="282">
        <f>DW149-DW101-DW133-DW136-DW146-DW147</f>
        <v>2503.9707053999996</v>
      </c>
      <c r="DZ160" s="282">
        <f>DZ149-DZ101-DZ133-DZ136-DZ146-DZ147</f>
        <v>375.78481240000002</v>
      </c>
      <c r="EA160" s="282">
        <f>EA149-EA101-EA133-EA136-EA146-EA147</f>
        <v>375.78481240000002</v>
      </c>
      <c r="ED160" s="282">
        <f>ED149-ED101-ED133-ED136-ED146-ED147</f>
        <v>378.37856649999992</v>
      </c>
      <c r="EE160" s="282">
        <f>EE149-EE101-EE133-EE136-EE146-EE147</f>
        <v>378.37856649999992</v>
      </c>
      <c r="EH160" s="282">
        <f>EH149-EH101-EH133-EH136-EH146-EH147</f>
        <v>7720.3936751999991</v>
      </c>
      <c r="EI160" s="282">
        <f>EI149-EI101-EI133-EI136-EI146-EI147</f>
        <v>7720.3936751999991</v>
      </c>
      <c r="EL160" s="282">
        <f>EL149-EL101-EL133-EL136-EL146-EL147</f>
        <v>13.7239868</v>
      </c>
      <c r="EM160" s="282">
        <f>EM149-EM101-EM133-EM136-EM146-EM147</f>
        <v>13.7239868</v>
      </c>
      <c r="EP160" s="282">
        <f>EP149-EP101-EP133-EP136-EP146-EP147</f>
        <v>667.25118339999995</v>
      </c>
      <c r="EQ160" s="282">
        <f>EQ149-EQ101-EQ133-EQ136-EQ146-EQ147</f>
        <v>667.25118339999995</v>
      </c>
      <c r="ET160" s="282">
        <f>ET149-ET101-ET133-ET136-ET146-ET147</f>
        <v>318.80390280000006</v>
      </c>
      <c r="EU160" s="282">
        <f>EU149-EU101-EU133-EU136-EU146-EU147</f>
        <v>318.80390280000006</v>
      </c>
      <c r="EX160" s="282">
        <f>EX149-EX101-EX133-EX136-EX146-EX147</f>
        <v>101.6996547</v>
      </c>
      <c r="EY160" s="282">
        <f>EY149-EY101-EY133-EY136-EY146-EY147</f>
        <v>101.6996547</v>
      </c>
      <c r="FB160" s="282">
        <f>FB149-FB101-FB133-FB136-FB146-FB147</f>
        <v>1139.8236802000001</v>
      </c>
      <c r="FC160" s="282">
        <f>FC149-FC101-FC133-FC136-FC146-FC147</f>
        <v>1139.8236802000001</v>
      </c>
      <c r="FF160" s="282">
        <f>FF149-FF101-FF133-FF136-FF146-FF147</f>
        <v>468.03198539999994</v>
      </c>
      <c r="FG160" s="282">
        <f>FG149-FG101-FG133-FG136-FG146-FG147</f>
        <v>468.03198539999994</v>
      </c>
      <c r="FJ160" s="282">
        <f>FJ149-FJ101-FJ133-FJ136-FJ146-FJ147</f>
        <v>148.40322950000001</v>
      </c>
      <c r="FK160" s="282">
        <f>FK149-FK101-FK133-FK136-FK146-FK147</f>
        <v>148.40322950000001</v>
      </c>
      <c r="FN160" s="282">
        <f>FN149-FN101-FN133-FN136-FN146-FN147</f>
        <v>0</v>
      </c>
      <c r="FO160" s="282">
        <f>FO149-FO101-FO133-FO136-FO146-FO147</f>
        <v>0</v>
      </c>
      <c r="FR160" s="282">
        <f>FR149-FR101-FR133-FR136-FR146-FR147</f>
        <v>1138.0453586999997</v>
      </c>
      <c r="FS160" s="282">
        <f>FS149-FS101-FS133-FS136-FS146-FS147</f>
        <v>1138.0453586999997</v>
      </c>
      <c r="FV160" s="282">
        <f>FV149-FV101-FV133-FV136-FV146-FV147</f>
        <v>711.57093349999991</v>
      </c>
      <c r="FW160" s="282">
        <f>FW149-FW101-FW133-FW136-FW146-FW147</f>
        <v>711.57093349999991</v>
      </c>
      <c r="FZ160" s="282">
        <f>FZ149-FZ101-FZ133-FZ136-FZ146-FZ147</f>
        <v>116.49955999999999</v>
      </c>
      <c r="GA160" s="282">
        <f>GA149-GA101-GA133-GA136-GA146-GA147</f>
        <v>116.49955999999999</v>
      </c>
      <c r="GD160" s="282">
        <f>GD149-GD101-GD133-GD136-GD146-GD147</f>
        <v>438.9961902</v>
      </c>
      <c r="GE160" s="282">
        <f>GE149-GE101-GE133-GE136-GE146-GE147</f>
        <v>438.9961902</v>
      </c>
      <c r="GH160" s="282">
        <f>GH149-GH101-GH133-GH136-GH146-GH147</f>
        <v>36.485375000000005</v>
      </c>
      <c r="GI160" s="282">
        <f>GI149-GI101-GI133-GI136-GI146-GI147</f>
        <v>36.485375000000005</v>
      </c>
      <c r="GL160" s="282">
        <f>GL149-GL101-GL133-GL136-GL146-GL147</f>
        <v>19.168920999999997</v>
      </c>
      <c r="GM160" s="282">
        <f>GM149-GM101-GM133-GM136-GM146-GM147</f>
        <v>19.168920999999997</v>
      </c>
      <c r="GP160" s="282">
        <f>GP149-GP101-GP133-GP136-GP146-GP147</f>
        <v>380.56688550000007</v>
      </c>
      <c r="GQ160" s="282">
        <f>GQ149-GQ101-GQ133-GQ136-GQ146-GQ147</f>
        <v>380.56688550000007</v>
      </c>
      <c r="GT160" s="282">
        <f>GT149-GT101-GT133-GT136-GT146-GT147</f>
        <v>194.37325799999999</v>
      </c>
      <c r="GU160" s="282">
        <f>GU149-GU101-GU133-GU136-GU146-GU147</f>
        <v>194.37325799999999</v>
      </c>
      <c r="GX160" s="282">
        <f>GX149-GX101-GX133-GX136-GX146-GX147</f>
        <v>15.804549999999999</v>
      </c>
      <c r="GY160" s="282">
        <f>GY149-GY101-GY133-GY136-GY146-GY147</f>
        <v>15.804549999999999</v>
      </c>
      <c r="HA160" s="483"/>
      <c r="HB160" s="339"/>
      <c r="HC160" s="412"/>
      <c r="HD160" s="452"/>
      <c r="HE160" s="452"/>
      <c r="HF160" s="452"/>
      <c r="HG160" s="452"/>
      <c r="HH160" s="452"/>
      <c r="HI160" s="452"/>
      <c r="HJ160" s="452"/>
      <c r="HK160" s="452"/>
      <c r="HL160" s="452"/>
      <c r="HM160" s="452"/>
      <c r="HN160" s="452"/>
      <c r="HO160" s="340"/>
      <c r="HP160" s="340"/>
      <c r="HQ160" s="340"/>
      <c r="HR160" s="340"/>
      <c r="HS160" s="340"/>
      <c r="HT160" s="340"/>
      <c r="HU160" s="340"/>
      <c r="HV160" s="340"/>
      <c r="HW160" s="340"/>
      <c r="HX160" s="340"/>
      <c r="HY160" s="340"/>
      <c r="HZ160" s="340"/>
      <c r="IA160" s="340"/>
      <c r="IB160" s="340"/>
      <c r="IC160" s="340"/>
      <c r="ID160" s="340"/>
      <c r="IE160" s="340"/>
      <c r="IF160" s="340"/>
      <c r="IG160" s="340"/>
      <c r="IH160" s="340"/>
      <c r="II160" s="340"/>
      <c r="IJ160" s="340"/>
      <c r="IK160" s="340"/>
      <c r="IL160" s="340"/>
      <c r="IM160" s="340"/>
      <c r="IN160" s="340"/>
      <c r="IO160" s="340"/>
      <c r="IP160" s="340"/>
      <c r="IQ160" s="340"/>
      <c r="IR160" s="340"/>
      <c r="IS160" s="340"/>
      <c r="IT160" s="340"/>
      <c r="IU160" s="340"/>
      <c r="IV160" s="340"/>
    </row>
    <row r="161" spans="2:222" hidden="1">
      <c r="C161" s="340"/>
      <c r="D161" s="279"/>
      <c r="E161" s="489"/>
      <c r="F161" s="488" t="e">
        <f>SUM(BZ160,BV160,BR160,BN160,BJ160,BF160,BB160,AX160,AT160,AP160,AL160,AH160,AD160,Z160,V160,R160,N160,J160,CD160,CH160)+CL160+CP160+CT160+CX160+DB160+DF160+DJ160+DN160+DR160+DV160+DZ160+ED160+EH160+EL160+EP160+ET160+EX160+FB160+FF160+FJ160+FN160+FR160+FV160+FZ160+GD160+GH160+GL160+GP160+GT160+GX160</f>
        <v>#REF!</v>
      </c>
      <c r="G161" s="488" t="e">
        <f>SUM(CA160,BW160,BS160,BO160,BK160,BG160,BC160,AY160,AU160,AQ160,AM160,AI160,AE160,AA160,W160,S160,O160,K160,CE160,CI160)+CM160+CQ160+CU160+CY160+DC160+DG160+DK160+DO160+DS160+DW160+EA160+EE160+EI160+EM160+EQ160+EU160+EY160+FC160+FG160+FK160+FO160+FS160+FW160+GA160+GE160+GI160+GM160+GQ160+GU160+GY160</f>
        <v>#REF!</v>
      </c>
      <c r="H161" s="488">
        <f>SUM(CB160,BX160,BT160,BP160,BL160,BH160,BD160,AZ160,AV160,AR160,AN160,AJ160,AF160,AB160,X160,T160,P160,L160,CF160,CJ160)+CN160+CR160+CV160+CZ160+DD160+DH160+DL160+DP160+DT160+DX160+EB160+EF160+EJ160+EN160+ER160+EV160+EZ160+FD160+FH160+FL160+FP160+FT160+FX160+GB160+GF160+GJ160+GN160+GR160+GV160</f>
        <v>0</v>
      </c>
      <c r="J161" s="282">
        <f>J160-'[1]ГК РЭС'!L202</f>
        <v>0</v>
      </c>
      <c r="K161" s="282">
        <f>K160-'[1]ГК РЭС'!M202</f>
        <v>0</v>
      </c>
      <c r="N161" s="282">
        <f>N160-'[1]УМУП УК ЖКХ г.Ульяновска'!L462</f>
        <v>0</v>
      </c>
      <c r="O161" s="282">
        <f>O160*1000-'[1]УМУП УК ЖКХ г.Ульяновска'!M460</f>
        <v>0</v>
      </c>
      <c r="R161" s="282">
        <f>R160-'[1]ОАО ДК Засвияжье 1'!L547</f>
        <v>0</v>
      </c>
      <c r="S161" s="282">
        <f>S160-'[1]ОАО ДК Засвияжье 1'!M547</f>
        <v>0</v>
      </c>
      <c r="V161" s="282">
        <f>V160-'[1]ОАО ДК Заволж р-на'!L545</f>
        <v>122.41139479999765</v>
      </c>
      <c r="W161" s="282">
        <f>W160-'[1]ОАО ДК Заволж р-на'!M545</f>
        <v>122.41139479999765</v>
      </c>
      <c r="Z161" s="282">
        <f>Z160-'[1]ООО ЖСС'!L229</f>
        <v>0</v>
      </c>
      <c r="AA161" s="282">
        <f>AA160-'[1]ООО ЖСС'!M229</f>
        <v>0</v>
      </c>
      <c r="AD161" s="282">
        <f>AD160-[1]МегаЛинк!L269</f>
        <v>0</v>
      </c>
      <c r="AE161" s="282">
        <f>AE160-[1]МегаЛинк!M269</f>
        <v>0</v>
      </c>
      <c r="AH161" s="279">
        <f>AH160-[1]Вымпел!L186</f>
        <v>0</v>
      </c>
      <c r="AI161" s="279">
        <f>AI160-[1]Вымпел!M186</f>
        <v>0</v>
      </c>
      <c r="AL161" s="282">
        <f>AL160-'[1]ООО РЭС'!L255</f>
        <v>2.9999999998835847E-2</v>
      </c>
      <c r="AM161" s="282">
        <f>AM160-'[1]ООО РЭС'!M255</f>
        <v>2.9999999998835847E-2</v>
      </c>
      <c r="AO161" s="490"/>
      <c r="AP161" s="490">
        <f>AP160-'[1]ЗАО ГК Аметист'!L621</f>
        <v>0</v>
      </c>
      <c r="AQ161" s="490">
        <f>AQ160-'[1]ЗАО ГК Аметист'!M621</f>
        <v>0</v>
      </c>
      <c r="AR161" s="491"/>
      <c r="AS161" s="491"/>
      <c r="AT161" s="491">
        <f>AT160-'[1]Фундамент СК ООО'!L432</f>
        <v>0</v>
      </c>
      <c r="AU161" s="491">
        <f>AU160-'[1]Фундамент СК ООО'!M432</f>
        <v>0</v>
      </c>
      <c r="AV161" s="491"/>
      <c r="AW161" s="476"/>
      <c r="AX161" s="476">
        <f>AX160-'[1]Ульяновский _2 ТСЖ'!L185</f>
        <v>0</v>
      </c>
      <c r="AY161" s="476">
        <f>AY160-'[1]Ульяновский _2 ТСЖ'!M185</f>
        <v>0</v>
      </c>
      <c r="AZ161" s="476"/>
      <c r="BB161" s="279">
        <f>BB160-'[1]ДоМ ТСЖ'!L185</f>
        <v>0</v>
      </c>
      <c r="BC161" s="279">
        <f>BC160-'[1]ДоМ ТСЖ'!M185</f>
        <v>0</v>
      </c>
      <c r="BF161" s="279">
        <f>BF160-'[1]ООО ТехноГрад'!L189</f>
        <v>0</v>
      </c>
      <c r="BG161" s="279">
        <f>BG160-'[1]ООО ТехноГрад'!M189</f>
        <v>0</v>
      </c>
      <c r="BJ161" s="282">
        <f>BJ160-[1]СМУ!L456</f>
        <v>0</v>
      </c>
      <c r="BK161" s="282">
        <f>BK160-[1]СМУ!M456</f>
        <v>0</v>
      </c>
      <c r="BN161" s="282">
        <f>BN160-'[1]Евро-Строй-Сервис'!L258</f>
        <v>0</v>
      </c>
      <c r="BO161" s="282">
        <f>BO160-'[1]Евро-Строй-Сервис'!M258</f>
        <v>0</v>
      </c>
      <c r="BR161" s="282">
        <f>BR160-'[1]ОАО ДК Засвияжье 2'!L580</f>
        <v>0</v>
      </c>
      <c r="BS161" s="282">
        <f>BS160-'[1]ОАО ДК Засвияжье 2'!M580</f>
        <v>0</v>
      </c>
      <c r="BV161" s="282">
        <f>BV160-'[1]ОАО ДК Лен р-на'!L771</f>
        <v>2227.5822327999849</v>
      </c>
      <c r="BW161" s="282">
        <f>BW160-'[1]ОАО ДК Лен р-на'!M771</f>
        <v>2227.5822327999849</v>
      </c>
      <c r="BZ161" s="282">
        <f>BZ160-'[1]ОАО ДК ЖД р-на'!L1089</f>
        <v>0</v>
      </c>
      <c r="CA161" s="282">
        <f>CA160-'[1]ОАО ДК ЖД р-на'!M1089</f>
        <v>0</v>
      </c>
      <c r="CD161" s="282">
        <f>CD160-[1]СУК!L186</f>
        <v>0</v>
      </c>
      <c r="CE161" s="282">
        <f>CE160-[1]СУК!M186</f>
        <v>0</v>
      </c>
      <c r="CH161" s="282">
        <f>CH160-'[1]УК ЖСС'!L259</f>
        <v>0</v>
      </c>
      <c r="CI161" s="282">
        <f>CI160-'[1]УК ЖСС'!M259</f>
        <v>0</v>
      </c>
      <c r="CL161" s="282">
        <f>CL160-'[1]ТСЖ Народ контроль R'!L186</f>
        <v>0</v>
      </c>
      <c r="CM161" s="282">
        <f>CM160-'[1]ТСЖ Народ контроль R'!M186</f>
        <v>0</v>
      </c>
      <c r="CP161" s="282" t="e">
        <f>CP160-'[1]Север-1'!L548</f>
        <v>#REF!</v>
      </c>
      <c r="CQ161" s="282" t="e">
        <f>CQ160-'[1]Север-1'!M548</f>
        <v>#REF!</v>
      </c>
      <c r="CT161" s="282" t="e">
        <f>CT160-'[1]МостОтряд №51'!L186</f>
        <v>#REF!</v>
      </c>
      <c r="CU161" s="282" t="e">
        <f>CU160-'[1]МостОтряд №51'!M186</f>
        <v>#REF!</v>
      </c>
      <c r="CX161" s="282">
        <f>CX160-'[1]Пр-т Гая'!L701</f>
        <v>0</v>
      </c>
      <c r="CY161" s="282">
        <f>CY160-'[1]Пр-т Гая'!M701</f>
        <v>0</v>
      </c>
      <c r="DB161" s="282">
        <f>DB160-[1]Стасова!L416</f>
        <v>0</v>
      </c>
      <c r="DC161" s="282">
        <f>DC160-[1]Стасова!M416</f>
        <v>0</v>
      </c>
      <c r="DF161" s="282">
        <f>DF160-'[1]Мегаполис ТСЖ'!L186</f>
        <v>0</v>
      </c>
      <c r="DG161" s="282">
        <f>DG160-'[1]Мегаполис ТСЖ'!M186</f>
        <v>0</v>
      </c>
      <c r="DJ161" s="282">
        <f>DJ160-'[1]ООО УК Инвестстрой М'!L188</f>
        <v>0</v>
      </c>
      <c r="DK161" s="282">
        <f>DK160-'[1]ООО УК Инвестстрой М'!M188</f>
        <v>0</v>
      </c>
      <c r="DN161" s="282">
        <f>DN160-'[1]Альфаком-У'!L452</f>
        <v>0</v>
      </c>
      <c r="DO161" s="282">
        <f>DO160-'[1]Альфаком-У'!M452</f>
        <v>0</v>
      </c>
      <c r="DR161" s="282">
        <f>DR160-'[1]ТСЖ Дачный'!L416</f>
        <v>0</v>
      </c>
      <c r="DS161" s="282">
        <f>DS160-'[1]ТСЖ Дачный'!M416</f>
        <v>0</v>
      </c>
      <c r="DV161" s="282">
        <f>DV160-'[1]Альфаком-У-ТСЖ З-2'!L429</f>
        <v>0</v>
      </c>
      <c r="DW161" s="282">
        <f>DW160-'[1]Альфаком-У-ТСЖ З-2'!M429</f>
        <v>0</v>
      </c>
      <c r="DZ161" s="282">
        <f>DZ160-'[1]ЖСК Электромаш'!L186</f>
        <v>0</v>
      </c>
      <c r="EA161" s="282">
        <f>EA160-'[1]ЖСК Электромаш'!M186</f>
        <v>0</v>
      </c>
      <c r="ED161" s="282">
        <f>ED160-'[1]ЗАО Авиастар-СП'!L186</f>
        <v>0</v>
      </c>
      <c r="EE161" s="282">
        <f>EE160-'[1]ЗАО Авиастар-СП'!M186</f>
        <v>0</v>
      </c>
      <c r="EH161" s="282">
        <f>EH160-'[1]ООО ЦЭТ'!L584</f>
        <v>0</v>
      </c>
      <c r="EI161" s="282">
        <f>EI160-'[1]ООО ЦЭТ'!M584</f>
        <v>0</v>
      </c>
      <c r="EL161" s="282">
        <f>EL160-'[1]ТСЖ Форт'!L186</f>
        <v>0</v>
      </c>
      <c r="EM161" s="282">
        <f>EM160-'[1]ТСЖ Форт'!M186</f>
        <v>0</v>
      </c>
      <c r="EP161" s="282">
        <f>EP160-'[1]ООО ЖЭК'!L339</f>
        <v>0</v>
      </c>
      <c r="EQ161" s="282">
        <f>EQ160-'[1]ООО ЖЭК'!M339</f>
        <v>0</v>
      </c>
      <c r="ET161" s="282">
        <f>ET160-'[1]УК ЖКХ Симбирск'!L571</f>
        <v>0</v>
      </c>
      <c r="EU161" s="282">
        <f>EU160-'[1]УК ЖКХ Симбирск'!M571</f>
        <v>0</v>
      </c>
      <c r="EX161" s="282">
        <f>EX160-'[1]ООО Наш Дом 010212'!L480</f>
        <v>0</v>
      </c>
      <c r="EY161" s="282">
        <f>EY160-'[1]ООО Наш Дом 010212'!M480</f>
        <v>0</v>
      </c>
      <c r="FB161" s="282">
        <f>FB160-'[1]ООО Истоки+'!L379</f>
        <v>0</v>
      </c>
      <c r="FC161" s="282">
        <f>FC160-'[1]ООО Истоки+'!M379</f>
        <v>0</v>
      </c>
      <c r="FF161" s="282">
        <f>FF160-'[1]ООО ЖКиСР УправДом'!L598</f>
        <v>0</v>
      </c>
      <c r="FG161" s="282">
        <f>FG160-'[1]ООО ЖКиСР УправДом'!M598</f>
        <v>0</v>
      </c>
      <c r="FJ161" s="282">
        <f>FJ160-'[1]ТСЖ Малахит'!L186</f>
        <v>0</v>
      </c>
      <c r="FK161" s="282">
        <f>FK160-'[1]ТСЖ Малахит'!M186</f>
        <v>0</v>
      </c>
      <c r="FN161" s="282">
        <f>FN160-'[1]ООО Технология'!L391</f>
        <v>-2229.5853442000002</v>
      </c>
      <c r="FO161" s="282">
        <f>FO160-'[1]ООО Технология'!M391</f>
        <v>-2229.5853442000002</v>
      </c>
      <c r="FR161" s="282">
        <f>FR160-'[1]ООО ЖКХ Лен-го района'!L512</f>
        <v>0</v>
      </c>
      <c r="FS161" s="282">
        <f>FS160-'[1]ООО ЖКХ Лен-го района'!M512</f>
        <v>0</v>
      </c>
      <c r="FV161" s="282">
        <f>FV160-'[1]ООО УК КПД-1'!L209</f>
        <v>0</v>
      </c>
      <c r="FW161" s="282">
        <f>FW160-'[1]ООО УК КПД-1'!M209</f>
        <v>0</v>
      </c>
      <c r="FZ161" s="282">
        <f>FZ160-'[1]ООО КПД-2 Жилсервис'!L194</f>
        <v>0</v>
      </c>
      <c r="GA161" s="282">
        <f>GA160-'[1]ООО КПД-2 Жилсервис'!M194</f>
        <v>0</v>
      </c>
      <c r="GD161" s="282">
        <f>GD160-'[1]ООО УК ЦЭТ'!L551</f>
        <v>0</v>
      </c>
      <c r="GE161" s="282">
        <f>GE160-'[1]ООО УК ЦЭТ'!M551</f>
        <v>0</v>
      </c>
      <c r="GH161" s="282">
        <f>GH160-'[1]ЖСК пер Рылеева-14'!L571</f>
        <v>0</v>
      </c>
      <c r="GI161" s="282">
        <f>GI160-'[1]ЖСК пер Рылеева-14'!M571</f>
        <v>0</v>
      </c>
      <c r="GL161" s="282">
        <f>GL160-'[1]ООО УК Симбирская'!L339</f>
        <v>0</v>
      </c>
      <c r="GM161" s="282">
        <f>GM160-'[1]ООО УК Симбирская'!M339</f>
        <v>0</v>
      </c>
      <c r="GP161" s="282">
        <f>GP160-'[1]ООО УО Партнер'!L270</f>
        <v>0</v>
      </c>
      <c r="GQ161" s="282">
        <f>GQ160-'[1]ООО УО Партнер'!M270</f>
        <v>0</v>
      </c>
      <c r="GT161" s="282">
        <f>GT160-'[1]ООО ТК Святогор'!L186</f>
        <v>0</v>
      </c>
      <c r="GU161" s="282">
        <f>GU160-'[1]ООО ТК Святогор'!M186</f>
        <v>0</v>
      </c>
      <c r="GX161" s="282">
        <f>GX160-'[1]ТСЖ Володарец'!L263</f>
        <v>0</v>
      </c>
      <c r="GY161" s="282">
        <f>GY160-'[1]ТСЖ Володарец'!M263</f>
        <v>0</v>
      </c>
      <c r="HA161" s="483"/>
      <c r="HC161" s="357"/>
      <c r="HD161" s="357"/>
      <c r="HE161" s="357"/>
      <c r="HF161" s="357"/>
      <c r="HG161" s="357"/>
      <c r="HH161" s="357"/>
      <c r="HI161" s="357"/>
      <c r="HJ161" s="357"/>
      <c r="HK161" s="357"/>
      <c r="HL161" s="357"/>
      <c r="HM161" s="357"/>
      <c r="HN161" s="357"/>
    </row>
    <row r="162" spans="2:222" hidden="1">
      <c r="C162" s="340"/>
      <c r="E162" s="276"/>
      <c r="F162" s="276" t="e">
        <f>F161-F160</f>
        <v>#REF!</v>
      </c>
      <c r="G162" s="276" t="e">
        <f>G161-G160</f>
        <v>#REF!</v>
      </c>
      <c r="AH162" s="282"/>
      <c r="AO162" s="490"/>
      <c r="AP162" s="490"/>
    </row>
    <row r="163" spans="2:222" hidden="1">
      <c r="C163" s="340"/>
      <c r="E163" s="276"/>
      <c r="F163" s="276"/>
      <c r="G163" s="276"/>
      <c r="AO163" s="490"/>
      <c r="AP163" s="490"/>
    </row>
    <row r="164" spans="2:222" hidden="1">
      <c r="C164" s="340"/>
      <c r="E164" s="276"/>
      <c r="F164" s="276"/>
      <c r="G164" s="276"/>
      <c r="AE164" s="303"/>
      <c r="AF164" s="303"/>
      <c r="AG164" s="303"/>
      <c r="AH164" s="303"/>
      <c r="AI164" s="303"/>
      <c r="AJ164" s="303"/>
      <c r="AK164" s="303"/>
      <c r="AL164" s="303"/>
      <c r="AO164" s="490"/>
      <c r="AP164" s="490"/>
    </row>
    <row r="165" spans="2:222" ht="38.25" hidden="1">
      <c r="E165" s="492" t="s">
        <v>286</v>
      </c>
      <c r="F165" s="493" t="s">
        <v>193</v>
      </c>
      <c r="G165" s="494" t="s">
        <v>172</v>
      </c>
      <c r="H165" s="494" t="s">
        <v>168</v>
      </c>
      <c r="I165" s="493" t="s">
        <v>164</v>
      </c>
      <c r="J165" s="493" t="s">
        <v>287</v>
      </c>
      <c r="K165" s="493" t="s">
        <v>288</v>
      </c>
      <c r="L165" s="493" t="s">
        <v>169</v>
      </c>
      <c r="M165" s="494" t="s">
        <v>167</v>
      </c>
      <c r="N165" s="493" t="s">
        <v>289</v>
      </c>
      <c r="O165" s="292" t="s">
        <v>290</v>
      </c>
      <c r="P165" s="495" t="s">
        <v>291</v>
      </c>
      <c r="Q165" s="474" t="s">
        <v>183</v>
      </c>
      <c r="AE165" s="303"/>
      <c r="AF165" s="303"/>
      <c r="AG165" s="303"/>
      <c r="AH165" s="303"/>
      <c r="AI165" s="303"/>
      <c r="AJ165" s="303"/>
      <c r="AK165" s="303"/>
      <c r="AL165" s="303"/>
      <c r="AO165" s="490"/>
      <c r="AP165" s="490"/>
    </row>
    <row r="166" spans="2:222" hidden="1">
      <c r="E166" s="496" t="s">
        <v>292</v>
      </c>
      <c r="F166" s="464">
        <f>M101+GO101</f>
        <v>200</v>
      </c>
      <c r="G166" s="497">
        <f>SUM(CO101,CS101,CW101,DA101,DE101,DI101,DM101,DQ101,DU101)</f>
        <v>11294</v>
      </c>
      <c r="H166" s="498">
        <f>SUM(I101,Y101,AG101,AK101,AW101,BA101,BE101,CC101,CG101,DY101,EC101,GS101)+10418</f>
        <v>103868</v>
      </c>
      <c r="I166" s="497">
        <f>SUM(BU101,CK101,EG101,EK101,EO101,ES101,FA101,FE101,FM101,FQ101,GC101,GG101,GK101)</f>
        <v>16376</v>
      </c>
      <c r="J166" s="497">
        <f>SUM(AO101,AS101,BQ101,FY101)</f>
        <v>46717</v>
      </c>
      <c r="K166" s="497">
        <f>SUM(Q101)</f>
        <v>23878</v>
      </c>
      <c r="L166" s="497">
        <f>SUM(BY101)</f>
        <v>14109</v>
      </c>
      <c r="M166" s="497">
        <f>SUM(U101,AC101,BI101,BM101,FI101)-10418</f>
        <v>20835</v>
      </c>
      <c r="N166" s="499">
        <f>FU101</f>
        <v>1395</v>
      </c>
      <c r="O166" s="500">
        <f>SUM(F166:N166)</f>
        <v>238672</v>
      </c>
      <c r="P166" s="501">
        <v>238860</v>
      </c>
      <c r="Q166" s="282">
        <f>P166-O166</f>
        <v>188</v>
      </c>
      <c r="AE166" s="303"/>
      <c r="AF166" s="303"/>
      <c r="AG166" s="303"/>
      <c r="AH166" s="303"/>
      <c r="AI166" s="303"/>
      <c r="AJ166" s="303"/>
      <c r="AK166" s="303"/>
      <c r="AL166" s="303"/>
      <c r="AO166" s="490"/>
      <c r="AP166" s="490"/>
    </row>
    <row r="167" spans="2:222" hidden="1">
      <c r="E167" s="496" t="s">
        <v>293</v>
      </c>
      <c r="F167" s="464">
        <f>M133+GO133</f>
        <v>274</v>
      </c>
      <c r="G167" s="497">
        <f>SUM(CO133,CS133,CW133,DA133,DE133,DI133,DM133,DQ133,DU133)</f>
        <v>12349</v>
      </c>
      <c r="H167" s="498">
        <f>SUM(I133,Y133,AG133,AK133,AW133,BA133,BE133,CC133,CG133,DY133,EC133,GS133)+10418</f>
        <v>103868</v>
      </c>
      <c r="I167" s="497">
        <f>SUM(BU133,CK133,EG133,EK133,EO133,ES133,FA133,FE133,FM133,FQ133,GC133,GG133,GK133)</f>
        <v>24316</v>
      </c>
      <c r="J167" s="497">
        <f>SUM(AO133,AS133,BQ133,FY133)</f>
        <v>47609</v>
      </c>
      <c r="K167" s="497">
        <f>SUM(Q136)</f>
        <v>29581</v>
      </c>
      <c r="L167" s="497">
        <f>SUM(BY133)</f>
        <v>23186</v>
      </c>
      <c r="M167" s="497">
        <f>SUM(U136,AC136,BI136,BM136,FI136)-10418</f>
        <v>28614</v>
      </c>
      <c r="N167" s="499">
        <f>FU133</f>
        <v>1400</v>
      </c>
      <c r="O167" s="500">
        <f>SUM(F167:N167)</f>
        <v>271197</v>
      </c>
      <c r="P167" s="501">
        <v>271291</v>
      </c>
      <c r="Q167" s="282">
        <f>P167-O167</f>
        <v>94</v>
      </c>
      <c r="AE167" s="303"/>
      <c r="AF167" s="303"/>
      <c r="AG167" s="489"/>
      <c r="AH167" s="489"/>
      <c r="AI167" s="489"/>
      <c r="AJ167" s="489"/>
      <c r="AK167" s="502"/>
      <c r="AL167" s="502"/>
      <c r="AO167" s="490"/>
      <c r="AP167" s="490"/>
    </row>
    <row r="168" spans="2:222" hidden="1">
      <c r="M168" s="282" t="s">
        <v>294</v>
      </c>
      <c r="AO168" s="490"/>
      <c r="AP168" s="490"/>
      <c r="HB168" s="485"/>
      <c r="HC168" s="357"/>
      <c r="HD168" s="357"/>
      <c r="HE168" s="357"/>
      <c r="HF168" s="357"/>
      <c r="HG168" s="357"/>
      <c r="HH168" s="357"/>
      <c r="HI168" s="357"/>
      <c r="HJ168" s="357"/>
      <c r="HK168" s="357"/>
      <c r="HL168" s="357"/>
      <c r="HM168" s="357"/>
      <c r="HN168" s="357"/>
    </row>
    <row r="169" spans="2:222" hidden="1">
      <c r="M169" s="501">
        <f>SUM(I166:M166)+G166+F166+N166</f>
        <v>134804</v>
      </c>
      <c r="AO169" s="503"/>
      <c r="AP169" s="503"/>
      <c r="AQ169" s="502"/>
      <c r="AR169" s="502"/>
      <c r="AS169" s="502"/>
      <c r="AT169" s="502"/>
      <c r="AU169" s="502"/>
      <c r="AV169" s="502"/>
      <c r="AW169" s="489"/>
      <c r="AX169" s="489"/>
      <c r="AY169" s="489"/>
      <c r="AZ169" s="489"/>
      <c r="HB169" s="485"/>
      <c r="HC169" s="357"/>
      <c r="HD169" s="357"/>
      <c r="HE169" s="357"/>
      <c r="HF169" s="357"/>
      <c r="HG169" s="357"/>
      <c r="HH169" s="357"/>
      <c r="HI169" s="357"/>
      <c r="HJ169" s="357"/>
      <c r="HK169" s="357"/>
      <c r="HL169" s="357"/>
      <c r="HM169" s="357"/>
      <c r="HN169" s="357"/>
    </row>
    <row r="170" spans="2:222" hidden="1">
      <c r="E170" s="504"/>
      <c r="F170" s="505"/>
      <c r="G170" s="505"/>
      <c r="H170" s="506"/>
      <c r="M170" s="501">
        <f>SUM(I167:M167)+G167+F167+N167</f>
        <v>167329</v>
      </c>
      <c r="AO170" s="503"/>
      <c r="AP170" s="503"/>
      <c r="AQ170" s="502"/>
      <c r="AR170" s="502"/>
      <c r="AS170" s="502"/>
      <c r="AT170" s="502"/>
      <c r="AU170" s="502"/>
      <c r="AV170" s="502"/>
      <c r="AW170" s="489"/>
      <c r="AX170" s="489"/>
      <c r="AY170" s="489"/>
      <c r="AZ170" s="489"/>
      <c r="HB170" s="485"/>
      <c r="HC170" s="425"/>
      <c r="HD170" s="357"/>
      <c r="HE170" s="357"/>
      <c r="HF170" s="357"/>
      <c r="HG170" s="357"/>
      <c r="HH170" s="357"/>
      <c r="HI170" s="357"/>
      <c r="HJ170" s="357"/>
      <c r="HK170" s="357"/>
      <c r="HL170" s="357"/>
      <c r="HM170" s="357"/>
      <c r="HN170" s="357"/>
    </row>
    <row r="171" spans="2:222" hidden="1">
      <c r="E171" s="418"/>
      <c r="F171" s="507"/>
      <c r="G171" s="507"/>
      <c r="H171" s="508"/>
      <c r="AO171" s="503"/>
      <c r="AP171" s="503"/>
      <c r="AQ171" s="303"/>
      <c r="AR171" s="502"/>
      <c r="AS171" s="502"/>
      <c r="AT171" s="502"/>
      <c r="AU171" s="502"/>
      <c r="AV171" s="502"/>
      <c r="AW171" s="489"/>
      <c r="AX171" s="489"/>
      <c r="AY171" s="489"/>
      <c r="AZ171" s="489"/>
      <c r="HB171" s="509"/>
      <c r="HC171" s="448"/>
      <c r="HD171" s="448"/>
      <c r="HE171" s="448"/>
      <c r="HF171" s="448"/>
      <c r="HG171" s="448"/>
      <c r="HH171" s="448"/>
      <c r="HI171" s="448"/>
      <c r="HJ171" s="448"/>
      <c r="HK171" s="448"/>
      <c r="HL171" s="448"/>
      <c r="HM171" s="357"/>
      <c r="HN171" s="357"/>
    </row>
    <row r="172" spans="2:222" hidden="1">
      <c r="HB172" s="480"/>
      <c r="HC172" s="510"/>
      <c r="HD172" s="451"/>
      <c r="HE172" s="452"/>
      <c r="HF172" s="452"/>
      <c r="HG172" s="452"/>
      <c r="HH172" s="452"/>
      <c r="HI172" s="452"/>
      <c r="HJ172" s="452"/>
      <c r="HK172" s="452"/>
      <c r="HL172" s="452"/>
      <c r="HM172" s="484"/>
      <c r="HN172" s="357"/>
    </row>
    <row r="173" spans="2:222">
      <c r="HB173" s="412"/>
      <c r="HC173" s="510"/>
      <c r="HD173" s="451"/>
      <c r="HE173" s="452"/>
      <c r="HF173" s="452"/>
      <c r="HG173" s="452"/>
      <c r="HH173" s="452"/>
      <c r="HI173" s="452"/>
      <c r="HJ173" s="452"/>
      <c r="HK173" s="452"/>
      <c r="HL173" s="452"/>
      <c r="HM173" s="511"/>
      <c r="HN173" s="357"/>
    </row>
    <row r="175" spans="2:222">
      <c r="G175" s="340"/>
    </row>
    <row r="176" spans="2:222">
      <c r="B176" s="340"/>
      <c r="C176" s="340"/>
      <c r="G176" s="340"/>
    </row>
    <row r="177" spans="1:256">
      <c r="B177" s="340"/>
      <c r="C177" s="340"/>
      <c r="G177" s="340"/>
    </row>
    <row r="178" spans="1:256">
      <c r="B178" s="340"/>
      <c r="C178" s="340"/>
    </row>
    <row r="179" spans="1:256">
      <c r="B179" s="340"/>
      <c r="C179" s="340"/>
      <c r="F179" s="306"/>
      <c r="G179" s="306"/>
    </row>
    <row r="180" spans="1:256">
      <c r="B180" s="340"/>
      <c r="C180" s="340"/>
    </row>
    <row r="181" spans="1:256">
      <c r="B181" s="340"/>
      <c r="C181" s="340"/>
    </row>
    <row r="182" spans="1:256">
      <c r="B182" s="340"/>
      <c r="C182" s="340"/>
    </row>
    <row r="183" spans="1:256">
      <c r="B183" s="340"/>
      <c r="C183" s="340"/>
    </row>
    <row r="184" spans="1:256">
      <c r="B184" s="340"/>
      <c r="C184" s="340"/>
      <c r="HA184" s="286"/>
      <c r="HB184" s="286"/>
    </row>
    <row r="185" spans="1:256" s="279" customFormat="1">
      <c r="A185" s="286"/>
      <c r="B185" s="340"/>
      <c r="C185" s="340"/>
      <c r="D185" s="286"/>
      <c r="I185" s="282"/>
      <c r="J185" s="282"/>
      <c r="K185" s="282"/>
      <c r="L185" s="282"/>
      <c r="M185" s="282"/>
      <c r="N185" s="282"/>
      <c r="O185" s="282"/>
      <c r="P185" s="282"/>
      <c r="Q185" s="282"/>
      <c r="R185" s="282"/>
      <c r="S185" s="282"/>
      <c r="T185" s="282"/>
      <c r="U185" s="282"/>
      <c r="V185" s="282"/>
      <c r="W185" s="282"/>
      <c r="X185" s="282"/>
      <c r="Y185" s="282"/>
      <c r="Z185" s="282"/>
      <c r="AA185" s="282"/>
      <c r="AB185" s="282"/>
      <c r="AC185" s="282"/>
      <c r="AD185" s="282"/>
      <c r="AE185" s="282"/>
      <c r="AF185" s="282"/>
      <c r="AK185" s="282"/>
      <c r="AL185" s="282"/>
      <c r="AM185" s="282"/>
      <c r="AN185" s="282"/>
      <c r="AO185" s="282"/>
      <c r="AP185" s="282"/>
      <c r="HA185" s="286"/>
      <c r="HB185" s="286"/>
      <c r="HC185" s="286"/>
      <c r="HD185" s="286"/>
      <c r="HE185" s="286"/>
      <c r="HF185" s="286"/>
      <c r="HG185" s="286"/>
      <c r="HH185" s="286"/>
      <c r="HI185" s="286"/>
      <c r="HJ185" s="286"/>
      <c r="HK185" s="286"/>
      <c r="HL185" s="286"/>
      <c r="HM185" s="286"/>
      <c r="HN185" s="286"/>
      <c r="HO185" s="286"/>
      <c r="HP185" s="286"/>
      <c r="HQ185" s="286"/>
      <c r="HR185" s="286"/>
      <c r="HS185" s="286"/>
      <c r="HT185" s="286"/>
      <c r="HU185" s="286"/>
      <c r="HV185" s="286"/>
      <c r="HW185" s="286"/>
      <c r="HX185" s="286"/>
      <c r="HY185" s="286"/>
      <c r="HZ185" s="286"/>
      <c r="IA185" s="286"/>
      <c r="IB185" s="286"/>
      <c r="IC185" s="286"/>
      <c r="ID185" s="286"/>
      <c r="IE185" s="286"/>
      <c r="IF185" s="286"/>
      <c r="IG185" s="286"/>
      <c r="IH185" s="286"/>
      <c r="II185" s="286"/>
      <c r="IJ185" s="286"/>
      <c r="IK185" s="286"/>
      <c r="IL185" s="286"/>
      <c r="IM185" s="286"/>
      <c r="IN185" s="286"/>
      <c r="IO185" s="286"/>
      <c r="IP185" s="286"/>
      <c r="IQ185" s="286"/>
      <c r="IR185" s="286"/>
      <c r="IS185" s="286"/>
      <c r="IT185" s="286"/>
      <c r="IU185" s="286"/>
      <c r="IV185" s="286"/>
    </row>
    <row r="186" spans="1:256" s="279" customFormat="1">
      <c r="A186" s="286"/>
      <c r="B186" s="340"/>
      <c r="C186" s="340"/>
      <c r="D186" s="286"/>
      <c r="I186" s="282"/>
      <c r="J186" s="282"/>
      <c r="K186" s="282"/>
      <c r="L186" s="282"/>
      <c r="M186" s="282"/>
      <c r="N186" s="282"/>
      <c r="O186" s="282"/>
      <c r="P186" s="282"/>
      <c r="Q186" s="282"/>
      <c r="R186" s="282"/>
      <c r="S186" s="282"/>
      <c r="T186" s="282"/>
      <c r="U186" s="282"/>
      <c r="V186" s="282"/>
      <c r="W186" s="282"/>
      <c r="X186" s="282"/>
      <c r="Y186" s="282"/>
      <c r="Z186" s="282"/>
      <c r="AA186" s="282"/>
      <c r="AB186" s="282"/>
      <c r="AC186" s="282"/>
      <c r="AD186" s="282"/>
      <c r="AE186" s="282"/>
      <c r="AF186" s="282"/>
      <c r="AK186" s="282"/>
      <c r="AL186" s="282"/>
      <c r="AM186" s="282"/>
      <c r="AN186" s="282"/>
      <c r="AO186" s="282"/>
      <c r="AP186" s="282"/>
      <c r="HA186" s="286"/>
      <c r="HB186" s="286"/>
      <c r="HC186" s="286"/>
      <c r="HD186" s="286"/>
      <c r="HE186" s="286"/>
      <c r="HF186" s="286"/>
      <c r="HG186" s="286"/>
      <c r="HH186" s="286"/>
      <c r="HI186" s="286"/>
      <c r="HJ186" s="286"/>
      <c r="HK186" s="286"/>
      <c r="HL186" s="286"/>
      <c r="HM186" s="286"/>
      <c r="HN186" s="286"/>
      <c r="HO186" s="286"/>
      <c r="HP186" s="286"/>
      <c r="HQ186" s="286"/>
      <c r="HR186" s="286"/>
      <c r="HS186" s="286"/>
      <c r="HT186" s="286"/>
      <c r="HU186" s="286"/>
      <c r="HV186" s="286"/>
      <c r="HW186" s="286"/>
      <c r="HX186" s="286"/>
      <c r="HY186" s="286"/>
      <c r="HZ186" s="286"/>
      <c r="IA186" s="286"/>
      <c r="IB186" s="286"/>
      <c r="IC186" s="286"/>
      <c r="ID186" s="286"/>
      <c r="IE186" s="286"/>
      <c r="IF186" s="286"/>
      <c r="IG186" s="286"/>
      <c r="IH186" s="286"/>
      <c r="II186" s="286"/>
      <c r="IJ186" s="286"/>
      <c r="IK186" s="286"/>
      <c r="IL186" s="286"/>
      <c r="IM186" s="286"/>
      <c r="IN186" s="286"/>
      <c r="IO186" s="286"/>
      <c r="IP186" s="286"/>
      <c r="IQ186" s="286"/>
      <c r="IR186" s="286"/>
      <c r="IS186" s="286"/>
      <c r="IT186" s="286"/>
      <c r="IU186" s="286"/>
      <c r="IV186" s="286"/>
    </row>
    <row r="187" spans="1:256" s="279" customFormat="1">
      <c r="A187" s="286"/>
      <c r="B187" s="340"/>
      <c r="C187" s="340"/>
      <c r="D187" s="286"/>
      <c r="I187" s="282"/>
      <c r="J187" s="282"/>
      <c r="K187" s="282"/>
      <c r="L187" s="282"/>
      <c r="M187" s="282"/>
      <c r="N187" s="282"/>
      <c r="O187" s="282"/>
      <c r="P187" s="282"/>
      <c r="Q187" s="282"/>
      <c r="R187" s="282"/>
      <c r="S187" s="282"/>
      <c r="T187" s="282"/>
      <c r="U187" s="282"/>
      <c r="V187" s="282"/>
      <c r="W187" s="282"/>
      <c r="X187" s="282"/>
      <c r="Y187" s="282"/>
      <c r="Z187" s="282"/>
      <c r="AA187" s="282"/>
      <c r="AB187" s="282"/>
      <c r="AC187" s="282"/>
      <c r="AD187" s="282"/>
      <c r="AE187" s="282"/>
      <c r="AF187" s="282"/>
      <c r="AK187" s="282"/>
      <c r="AL187" s="282"/>
      <c r="AM187" s="282"/>
      <c r="AN187" s="282"/>
      <c r="AO187" s="282"/>
      <c r="AP187" s="282"/>
      <c r="HA187" s="286"/>
      <c r="HB187" s="286"/>
      <c r="HC187" s="286"/>
      <c r="HD187" s="286"/>
      <c r="HE187" s="286"/>
      <c r="HF187" s="286"/>
      <c r="HG187" s="286"/>
      <c r="HH187" s="286"/>
      <c r="HI187" s="286"/>
      <c r="HJ187" s="286"/>
      <c r="HK187" s="286"/>
      <c r="HL187" s="286"/>
      <c r="HM187" s="286"/>
      <c r="HN187" s="286"/>
      <c r="HO187" s="286"/>
      <c r="HP187" s="286"/>
      <c r="HQ187" s="286"/>
      <c r="HR187" s="286"/>
      <c r="HS187" s="286"/>
      <c r="HT187" s="286"/>
      <c r="HU187" s="286"/>
      <c r="HV187" s="286"/>
      <c r="HW187" s="286"/>
      <c r="HX187" s="286"/>
      <c r="HY187" s="286"/>
      <c r="HZ187" s="286"/>
      <c r="IA187" s="286"/>
      <c r="IB187" s="286"/>
      <c r="IC187" s="286"/>
      <c r="ID187" s="286"/>
      <c r="IE187" s="286"/>
      <c r="IF187" s="286"/>
      <c r="IG187" s="286"/>
      <c r="IH187" s="286"/>
      <c r="II187" s="286"/>
      <c r="IJ187" s="286"/>
      <c r="IK187" s="286"/>
      <c r="IL187" s="286"/>
      <c r="IM187" s="286"/>
      <c r="IN187" s="286"/>
      <c r="IO187" s="286"/>
      <c r="IP187" s="286"/>
      <c r="IQ187" s="286"/>
      <c r="IR187" s="286"/>
      <c r="IS187" s="286"/>
      <c r="IT187" s="286"/>
      <c r="IU187" s="286"/>
      <c r="IV187" s="286"/>
    </row>
    <row r="188" spans="1:256" s="279" customFormat="1">
      <c r="A188" s="286"/>
      <c r="B188" s="340"/>
      <c r="C188" s="340"/>
      <c r="D188" s="286"/>
      <c r="I188" s="282"/>
      <c r="J188" s="282"/>
      <c r="K188" s="282"/>
      <c r="L188" s="282"/>
      <c r="M188" s="282"/>
      <c r="N188" s="282"/>
      <c r="O188" s="282"/>
      <c r="P188" s="282"/>
      <c r="Q188" s="282"/>
      <c r="R188" s="282"/>
      <c r="S188" s="282"/>
      <c r="T188" s="282"/>
      <c r="U188" s="282"/>
      <c r="V188" s="282"/>
      <c r="W188" s="282"/>
      <c r="X188" s="282"/>
      <c r="Y188" s="282"/>
      <c r="Z188" s="282"/>
      <c r="AA188" s="282"/>
      <c r="AB188" s="282"/>
      <c r="AC188" s="282"/>
      <c r="AD188" s="282"/>
      <c r="AE188" s="282"/>
      <c r="AF188" s="282"/>
      <c r="AK188" s="282"/>
      <c r="AL188" s="282"/>
      <c r="AM188" s="282"/>
      <c r="AN188" s="282"/>
      <c r="AO188" s="282"/>
      <c r="AP188" s="282"/>
      <c r="HA188" s="286"/>
      <c r="HB188" s="286"/>
      <c r="HC188" s="286"/>
      <c r="HD188" s="286"/>
      <c r="HE188" s="286"/>
      <c r="HF188" s="286"/>
      <c r="HG188" s="286"/>
      <c r="HH188" s="286"/>
      <c r="HI188" s="286"/>
      <c r="HJ188" s="286"/>
      <c r="HK188" s="286"/>
      <c r="HL188" s="286"/>
      <c r="HM188" s="286"/>
      <c r="HN188" s="286"/>
      <c r="HO188" s="286"/>
      <c r="HP188" s="286"/>
      <c r="HQ188" s="286"/>
      <c r="HR188" s="286"/>
      <c r="HS188" s="286"/>
      <c r="HT188" s="286"/>
      <c r="HU188" s="286"/>
      <c r="HV188" s="286"/>
      <c r="HW188" s="286"/>
      <c r="HX188" s="286"/>
      <c r="HY188" s="286"/>
      <c r="HZ188" s="286"/>
      <c r="IA188" s="286"/>
      <c r="IB188" s="286"/>
      <c r="IC188" s="286"/>
      <c r="ID188" s="286"/>
      <c r="IE188" s="286"/>
      <c r="IF188" s="286"/>
      <c r="IG188" s="286"/>
      <c r="IH188" s="286"/>
      <c r="II188" s="286"/>
      <c r="IJ188" s="286"/>
      <c r="IK188" s="286"/>
      <c r="IL188" s="286"/>
      <c r="IM188" s="286"/>
      <c r="IN188" s="286"/>
      <c r="IO188" s="286"/>
      <c r="IP188" s="286"/>
      <c r="IQ188" s="286"/>
      <c r="IR188" s="286"/>
      <c r="IS188" s="286"/>
      <c r="IT188" s="286"/>
      <c r="IU188" s="286"/>
      <c r="IV188" s="286"/>
    </row>
    <row r="189" spans="1:256" s="279" customFormat="1">
      <c r="A189" s="286"/>
      <c r="B189" s="340"/>
      <c r="C189" s="340"/>
      <c r="D189" s="286"/>
      <c r="I189" s="282"/>
      <c r="J189" s="282"/>
      <c r="K189" s="282"/>
      <c r="L189" s="282"/>
      <c r="M189" s="282"/>
      <c r="N189" s="282"/>
      <c r="O189" s="282"/>
      <c r="P189" s="282"/>
      <c r="Q189" s="282"/>
      <c r="R189" s="282"/>
      <c r="S189" s="282"/>
      <c r="T189" s="282"/>
      <c r="U189" s="282"/>
      <c r="V189" s="282"/>
      <c r="W189" s="282"/>
      <c r="X189" s="282"/>
      <c r="Y189" s="282"/>
      <c r="Z189" s="282"/>
      <c r="AA189" s="282"/>
      <c r="AB189" s="282"/>
      <c r="AC189" s="282"/>
      <c r="AD189" s="282"/>
      <c r="AE189" s="282"/>
      <c r="AF189" s="282"/>
      <c r="AK189" s="282"/>
      <c r="AL189" s="282"/>
      <c r="AM189" s="282"/>
      <c r="AN189" s="282"/>
      <c r="AO189" s="282"/>
      <c r="AP189" s="282"/>
      <c r="HA189" s="286"/>
      <c r="HB189" s="286"/>
      <c r="HC189" s="286"/>
      <c r="HD189" s="286"/>
      <c r="HE189" s="286"/>
      <c r="HF189" s="286"/>
      <c r="HG189" s="286"/>
      <c r="HH189" s="286"/>
      <c r="HI189" s="286"/>
      <c r="HJ189" s="286"/>
      <c r="HK189" s="286"/>
      <c r="HL189" s="286"/>
      <c r="HM189" s="286"/>
      <c r="HN189" s="286"/>
      <c r="HO189" s="286"/>
      <c r="HP189" s="286"/>
      <c r="HQ189" s="286"/>
      <c r="HR189" s="286"/>
      <c r="HS189" s="286"/>
      <c r="HT189" s="286"/>
      <c r="HU189" s="286"/>
      <c r="HV189" s="286"/>
      <c r="HW189" s="286"/>
      <c r="HX189" s="286"/>
      <c r="HY189" s="286"/>
      <c r="HZ189" s="286"/>
      <c r="IA189" s="286"/>
      <c r="IB189" s="286"/>
      <c r="IC189" s="286"/>
      <c r="ID189" s="286"/>
      <c r="IE189" s="286"/>
      <c r="IF189" s="286"/>
      <c r="IG189" s="286"/>
      <c r="IH189" s="286"/>
      <c r="II189" s="286"/>
      <c r="IJ189" s="286"/>
      <c r="IK189" s="286"/>
      <c r="IL189" s="286"/>
      <c r="IM189" s="286"/>
      <c r="IN189" s="286"/>
      <c r="IO189" s="286"/>
      <c r="IP189" s="286"/>
      <c r="IQ189" s="286"/>
      <c r="IR189" s="286"/>
      <c r="IS189" s="286"/>
      <c r="IT189" s="286"/>
      <c r="IU189" s="286"/>
      <c r="IV189" s="286"/>
    </row>
    <row r="190" spans="1:256" s="279" customFormat="1">
      <c r="A190" s="286"/>
      <c r="B190" s="340"/>
      <c r="C190" s="340"/>
      <c r="D190" s="286"/>
      <c r="I190" s="282"/>
      <c r="J190" s="282"/>
      <c r="K190" s="282"/>
      <c r="L190" s="282"/>
      <c r="M190" s="282"/>
      <c r="N190" s="282"/>
      <c r="O190" s="282"/>
      <c r="P190" s="282"/>
      <c r="Q190" s="282"/>
      <c r="R190" s="282"/>
      <c r="S190" s="282"/>
      <c r="T190" s="282"/>
      <c r="U190" s="282"/>
      <c r="V190" s="282"/>
      <c r="W190" s="282"/>
      <c r="X190" s="282"/>
      <c r="Y190" s="282"/>
      <c r="Z190" s="282"/>
      <c r="AA190" s="282"/>
      <c r="AB190" s="282"/>
      <c r="AC190" s="282"/>
      <c r="AD190" s="282"/>
      <c r="AE190" s="282"/>
      <c r="AF190" s="282"/>
      <c r="AK190" s="282"/>
      <c r="AL190" s="282"/>
      <c r="AM190" s="282"/>
      <c r="AN190" s="282"/>
      <c r="AO190" s="282"/>
      <c r="AP190" s="282"/>
      <c r="HA190" s="286"/>
      <c r="HB190" s="286"/>
      <c r="HC190" s="286"/>
      <c r="HD190" s="286"/>
      <c r="HE190" s="286"/>
      <c r="HF190" s="286"/>
      <c r="HG190" s="286"/>
      <c r="HH190" s="286"/>
      <c r="HI190" s="286"/>
      <c r="HJ190" s="286"/>
      <c r="HK190" s="286"/>
      <c r="HL190" s="286"/>
      <c r="HM190" s="286"/>
      <c r="HN190" s="286"/>
      <c r="HO190" s="286"/>
      <c r="HP190" s="286"/>
      <c r="HQ190" s="286"/>
      <c r="HR190" s="286"/>
      <c r="HS190" s="286"/>
      <c r="HT190" s="286"/>
      <c r="HU190" s="286"/>
      <c r="HV190" s="286"/>
      <c r="HW190" s="286"/>
      <c r="HX190" s="286"/>
      <c r="HY190" s="286"/>
      <c r="HZ190" s="286"/>
      <c r="IA190" s="286"/>
      <c r="IB190" s="286"/>
      <c r="IC190" s="286"/>
      <c r="ID190" s="286"/>
      <c r="IE190" s="286"/>
      <c r="IF190" s="286"/>
      <c r="IG190" s="286"/>
      <c r="IH190" s="286"/>
      <c r="II190" s="286"/>
      <c r="IJ190" s="286"/>
      <c r="IK190" s="286"/>
      <c r="IL190" s="286"/>
      <c r="IM190" s="286"/>
      <c r="IN190" s="286"/>
      <c r="IO190" s="286"/>
      <c r="IP190" s="286"/>
      <c r="IQ190" s="286"/>
      <c r="IR190" s="286"/>
      <c r="IS190" s="286"/>
      <c r="IT190" s="286"/>
      <c r="IU190" s="286"/>
      <c r="IV190" s="286"/>
    </row>
    <row r="191" spans="1:256" s="279" customFormat="1">
      <c r="A191" s="286"/>
      <c r="B191" s="340"/>
      <c r="C191" s="340"/>
      <c r="D191" s="286"/>
      <c r="I191" s="282"/>
      <c r="J191" s="282"/>
      <c r="K191" s="282"/>
      <c r="L191" s="282"/>
      <c r="M191" s="282"/>
      <c r="N191" s="282"/>
      <c r="O191" s="282"/>
      <c r="P191" s="282"/>
      <c r="Q191" s="282"/>
      <c r="R191" s="282"/>
      <c r="S191" s="282"/>
      <c r="T191" s="282"/>
      <c r="U191" s="282"/>
      <c r="V191" s="282"/>
      <c r="W191" s="282"/>
      <c r="X191" s="282"/>
      <c r="Y191" s="282"/>
      <c r="Z191" s="282"/>
      <c r="AA191" s="282"/>
      <c r="AB191" s="282"/>
      <c r="AC191" s="282"/>
      <c r="AD191" s="282"/>
      <c r="AE191" s="282"/>
      <c r="AF191" s="282"/>
      <c r="AK191" s="282"/>
      <c r="AL191" s="282"/>
      <c r="AM191" s="282"/>
      <c r="AN191" s="282"/>
      <c r="AO191" s="282"/>
      <c r="AP191" s="282"/>
      <c r="HA191" s="286"/>
      <c r="HB191" s="286"/>
      <c r="HC191" s="286"/>
      <c r="HD191" s="286"/>
      <c r="HE191" s="286"/>
      <c r="HF191" s="286"/>
      <c r="HG191" s="286"/>
      <c r="HH191" s="286"/>
      <c r="HI191" s="286"/>
      <c r="HJ191" s="286"/>
      <c r="HK191" s="286"/>
      <c r="HL191" s="286"/>
      <c r="HM191" s="286"/>
      <c r="HN191" s="286"/>
      <c r="HO191" s="286"/>
      <c r="HP191" s="286"/>
      <c r="HQ191" s="286"/>
      <c r="HR191" s="286"/>
      <c r="HS191" s="286"/>
      <c r="HT191" s="286"/>
      <c r="HU191" s="286"/>
      <c r="HV191" s="286"/>
      <c r="HW191" s="286"/>
      <c r="HX191" s="286"/>
      <c r="HY191" s="286"/>
      <c r="HZ191" s="286"/>
      <c r="IA191" s="286"/>
      <c r="IB191" s="286"/>
      <c r="IC191" s="286"/>
      <c r="ID191" s="286"/>
      <c r="IE191" s="286"/>
      <c r="IF191" s="286"/>
      <c r="IG191" s="286"/>
      <c r="IH191" s="286"/>
      <c r="II191" s="286"/>
      <c r="IJ191" s="286"/>
      <c r="IK191" s="286"/>
      <c r="IL191" s="286"/>
      <c r="IM191" s="286"/>
      <c r="IN191" s="286"/>
      <c r="IO191" s="286"/>
      <c r="IP191" s="286"/>
      <c r="IQ191" s="286"/>
      <c r="IR191" s="286"/>
      <c r="IS191" s="286"/>
      <c r="IT191" s="286"/>
      <c r="IU191" s="286"/>
      <c r="IV191" s="286"/>
    </row>
    <row r="192" spans="1:256" s="279" customFormat="1">
      <c r="A192" s="286"/>
      <c r="B192" s="340"/>
      <c r="C192" s="340"/>
      <c r="D192" s="286"/>
      <c r="I192" s="282"/>
      <c r="J192" s="282"/>
      <c r="K192" s="282"/>
      <c r="L192" s="282"/>
      <c r="M192" s="282"/>
      <c r="N192" s="282"/>
      <c r="O192" s="282"/>
      <c r="P192" s="282"/>
      <c r="Q192" s="282"/>
      <c r="R192" s="282"/>
      <c r="S192" s="282"/>
      <c r="T192" s="282"/>
      <c r="U192" s="282"/>
      <c r="V192" s="282"/>
      <c r="W192" s="282"/>
      <c r="X192" s="282"/>
      <c r="Y192" s="282"/>
      <c r="Z192" s="282"/>
      <c r="AA192" s="282"/>
      <c r="AB192" s="282"/>
      <c r="AC192" s="282"/>
      <c r="AD192" s="282"/>
      <c r="AE192" s="282"/>
      <c r="AF192" s="282"/>
      <c r="AK192" s="282"/>
      <c r="AL192" s="282"/>
      <c r="AM192" s="282"/>
      <c r="AN192" s="282"/>
      <c r="AO192" s="282"/>
      <c r="AP192" s="282"/>
      <c r="HA192" s="286"/>
      <c r="HB192" s="286"/>
      <c r="HC192" s="286"/>
      <c r="HD192" s="286"/>
      <c r="HE192" s="286"/>
      <c r="HF192" s="286"/>
      <c r="HG192" s="286"/>
      <c r="HH192" s="286"/>
      <c r="HI192" s="286"/>
      <c r="HJ192" s="286"/>
      <c r="HK192" s="286"/>
      <c r="HL192" s="286"/>
      <c r="HM192" s="286"/>
      <c r="HN192" s="286"/>
      <c r="HO192" s="286"/>
      <c r="HP192" s="286"/>
      <c r="HQ192" s="286"/>
      <c r="HR192" s="286"/>
      <c r="HS192" s="286"/>
      <c r="HT192" s="286"/>
      <c r="HU192" s="286"/>
      <c r="HV192" s="286"/>
      <c r="HW192" s="286"/>
      <c r="HX192" s="286"/>
      <c r="HY192" s="286"/>
      <c r="HZ192" s="286"/>
      <c r="IA192" s="286"/>
      <c r="IB192" s="286"/>
      <c r="IC192" s="286"/>
      <c r="ID192" s="286"/>
      <c r="IE192" s="286"/>
      <c r="IF192" s="286"/>
      <c r="IG192" s="286"/>
      <c r="IH192" s="286"/>
      <c r="II192" s="286"/>
      <c r="IJ192" s="286"/>
      <c r="IK192" s="286"/>
      <c r="IL192" s="286"/>
      <c r="IM192" s="286"/>
      <c r="IN192" s="286"/>
      <c r="IO192" s="286"/>
      <c r="IP192" s="286"/>
      <c r="IQ192" s="286"/>
      <c r="IR192" s="286"/>
      <c r="IS192" s="286"/>
      <c r="IT192" s="286"/>
      <c r="IU192" s="286"/>
      <c r="IV192" s="286"/>
    </row>
    <row r="193" spans="1:256" s="279" customFormat="1">
      <c r="A193" s="286"/>
      <c r="B193" s="340"/>
      <c r="C193" s="340"/>
      <c r="D193" s="286"/>
      <c r="I193" s="282"/>
      <c r="J193" s="282"/>
      <c r="K193" s="282"/>
      <c r="L193" s="282"/>
      <c r="M193" s="282"/>
      <c r="N193" s="282"/>
      <c r="O193" s="282"/>
      <c r="P193" s="282"/>
      <c r="Q193" s="282"/>
      <c r="R193" s="282"/>
      <c r="S193" s="282"/>
      <c r="T193" s="282"/>
      <c r="U193" s="282"/>
      <c r="V193" s="282"/>
      <c r="W193" s="282"/>
      <c r="X193" s="282"/>
      <c r="Y193" s="282"/>
      <c r="Z193" s="282"/>
      <c r="AA193" s="282"/>
      <c r="AB193" s="282"/>
      <c r="AC193" s="282"/>
      <c r="AD193" s="282"/>
      <c r="AE193" s="282"/>
      <c r="AF193" s="282"/>
      <c r="AK193" s="282"/>
      <c r="AL193" s="282"/>
      <c r="AM193" s="282"/>
      <c r="AN193" s="282"/>
      <c r="AO193" s="282"/>
      <c r="AP193" s="282"/>
      <c r="HA193" s="286"/>
      <c r="HB193" s="286"/>
      <c r="HC193" s="286"/>
      <c r="HD193" s="286"/>
      <c r="HE193" s="286"/>
      <c r="HF193" s="286"/>
      <c r="HG193" s="286"/>
      <c r="HH193" s="286"/>
      <c r="HI193" s="286"/>
      <c r="HJ193" s="286"/>
      <c r="HK193" s="286"/>
      <c r="HL193" s="286"/>
      <c r="HM193" s="286"/>
      <c r="HN193" s="286"/>
      <c r="HO193" s="286"/>
      <c r="HP193" s="286"/>
      <c r="HQ193" s="286"/>
      <c r="HR193" s="286"/>
      <c r="HS193" s="286"/>
      <c r="HT193" s="286"/>
      <c r="HU193" s="286"/>
      <c r="HV193" s="286"/>
      <c r="HW193" s="286"/>
      <c r="HX193" s="286"/>
      <c r="HY193" s="286"/>
      <c r="HZ193" s="286"/>
      <c r="IA193" s="286"/>
      <c r="IB193" s="286"/>
      <c r="IC193" s="286"/>
      <c r="ID193" s="286"/>
      <c r="IE193" s="286"/>
      <c r="IF193" s="286"/>
      <c r="IG193" s="286"/>
      <c r="IH193" s="286"/>
      <c r="II193" s="286"/>
      <c r="IJ193" s="286"/>
      <c r="IK193" s="286"/>
      <c r="IL193" s="286"/>
      <c r="IM193" s="286"/>
      <c r="IN193" s="286"/>
      <c r="IO193" s="286"/>
      <c r="IP193" s="286"/>
      <c r="IQ193" s="286"/>
      <c r="IR193" s="286"/>
      <c r="IS193" s="286"/>
      <c r="IT193" s="286"/>
      <c r="IU193" s="286"/>
      <c r="IV193" s="286"/>
    </row>
    <row r="194" spans="1:256" s="279" customFormat="1">
      <c r="A194" s="286"/>
      <c r="B194" s="340"/>
      <c r="C194" s="340"/>
      <c r="D194" s="286"/>
      <c r="I194" s="282"/>
      <c r="J194" s="282"/>
      <c r="K194" s="282"/>
      <c r="L194" s="282"/>
      <c r="M194" s="282"/>
      <c r="N194" s="282"/>
      <c r="O194" s="282"/>
      <c r="P194" s="282"/>
      <c r="Q194" s="282"/>
      <c r="R194" s="282"/>
      <c r="S194" s="282"/>
      <c r="T194" s="282"/>
      <c r="U194" s="282"/>
      <c r="V194" s="282"/>
      <c r="W194" s="282"/>
      <c r="X194" s="282"/>
      <c r="Y194" s="282"/>
      <c r="Z194" s="282"/>
      <c r="AA194" s="282"/>
      <c r="AB194" s="282"/>
      <c r="AC194" s="282"/>
      <c r="AD194" s="282"/>
      <c r="AE194" s="282"/>
      <c r="AF194" s="282"/>
      <c r="AK194" s="282"/>
      <c r="AL194" s="282"/>
      <c r="AM194" s="282"/>
      <c r="AN194" s="282"/>
      <c r="AO194" s="282"/>
      <c r="AP194" s="282"/>
      <c r="HA194" s="286"/>
      <c r="HB194" s="286"/>
      <c r="HC194" s="286"/>
      <c r="HD194" s="286"/>
      <c r="HE194" s="286"/>
      <c r="HF194" s="286"/>
      <c r="HG194" s="286"/>
      <c r="HH194" s="286"/>
      <c r="HI194" s="286"/>
      <c r="HJ194" s="286"/>
      <c r="HK194" s="286"/>
      <c r="HL194" s="286"/>
      <c r="HM194" s="286"/>
      <c r="HN194" s="286"/>
      <c r="HO194" s="286"/>
      <c r="HP194" s="286"/>
      <c r="HQ194" s="286"/>
      <c r="HR194" s="286"/>
      <c r="HS194" s="286"/>
      <c r="HT194" s="286"/>
      <c r="HU194" s="286"/>
      <c r="HV194" s="286"/>
      <c r="HW194" s="286"/>
      <c r="HX194" s="286"/>
      <c r="HY194" s="286"/>
      <c r="HZ194" s="286"/>
      <c r="IA194" s="286"/>
      <c r="IB194" s="286"/>
      <c r="IC194" s="286"/>
      <c r="ID194" s="286"/>
      <c r="IE194" s="286"/>
      <c r="IF194" s="286"/>
      <c r="IG194" s="286"/>
      <c r="IH194" s="286"/>
      <c r="II194" s="286"/>
      <c r="IJ194" s="286"/>
      <c r="IK194" s="286"/>
      <c r="IL194" s="286"/>
      <c r="IM194" s="286"/>
      <c r="IN194" s="286"/>
      <c r="IO194" s="286"/>
      <c r="IP194" s="286"/>
      <c r="IQ194" s="286"/>
      <c r="IR194" s="286"/>
      <c r="IS194" s="286"/>
      <c r="IT194" s="286"/>
      <c r="IU194" s="286"/>
      <c r="IV194" s="286"/>
    </row>
    <row r="195" spans="1:256" s="279" customFormat="1">
      <c r="A195" s="286"/>
      <c r="B195" s="340"/>
      <c r="C195" s="340"/>
      <c r="D195" s="286"/>
      <c r="I195" s="282"/>
      <c r="J195" s="282"/>
      <c r="K195" s="282"/>
      <c r="L195" s="282"/>
      <c r="M195" s="282"/>
      <c r="N195" s="282"/>
      <c r="O195" s="282"/>
      <c r="P195" s="282"/>
      <c r="Q195" s="282"/>
      <c r="R195" s="282"/>
      <c r="S195" s="282"/>
      <c r="T195" s="282"/>
      <c r="U195" s="282"/>
      <c r="V195" s="282"/>
      <c r="W195" s="282"/>
      <c r="X195" s="282"/>
      <c r="Y195" s="282"/>
      <c r="Z195" s="282"/>
      <c r="AA195" s="282"/>
      <c r="AB195" s="282"/>
      <c r="AC195" s="282"/>
      <c r="AD195" s="282"/>
      <c r="AE195" s="282"/>
      <c r="AF195" s="282"/>
      <c r="AK195" s="282"/>
      <c r="AL195" s="282"/>
      <c r="AM195" s="282"/>
      <c r="AN195" s="282"/>
      <c r="AO195" s="282"/>
      <c r="AP195" s="282"/>
      <c r="HA195" s="286"/>
      <c r="HB195" s="286"/>
      <c r="HC195" s="286"/>
      <c r="HD195" s="286"/>
      <c r="HE195" s="286"/>
      <c r="HF195" s="286"/>
      <c r="HG195" s="286"/>
      <c r="HH195" s="286"/>
      <c r="HI195" s="286"/>
      <c r="HJ195" s="286"/>
      <c r="HK195" s="286"/>
      <c r="HL195" s="286"/>
      <c r="HM195" s="286"/>
      <c r="HN195" s="286"/>
      <c r="HO195" s="286"/>
      <c r="HP195" s="286"/>
      <c r="HQ195" s="286"/>
      <c r="HR195" s="286"/>
      <c r="HS195" s="286"/>
      <c r="HT195" s="286"/>
      <c r="HU195" s="286"/>
      <c r="HV195" s="286"/>
      <c r="HW195" s="286"/>
      <c r="HX195" s="286"/>
      <c r="HY195" s="286"/>
      <c r="HZ195" s="286"/>
      <c r="IA195" s="286"/>
      <c r="IB195" s="286"/>
      <c r="IC195" s="286"/>
      <c r="ID195" s="286"/>
      <c r="IE195" s="286"/>
      <c r="IF195" s="286"/>
      <c r="IG195" s="286"/>
      <c r="IH195" s="286"/>
      <c r="II195" s="286"/>
      <c r="IJ195" s="286"/>
      <c r="IK195" s="286"/>
      <c r="IL195" s="286"/>
      <c r="IM195" s="286"/>
      <c r="IN195" s="286"/>
      <c r="IO195" s="286"/>
      <c r="IP195" s="286"/>
      <c r="IQ195" s="286"/>
      <c r="IR195" s="286"/>
      <c r="IS195" s="286"/>
      <c r="IT195" s="286"/>
      <c r="IU195" s="286"/>
      <c r="IV195" s="286"/>
    </row>
    <row r="196" spans="1:256" s="279" customFormat="1">
      <c r="A196" s="286"/>
      <c r="B196" s="340"/>
      <c r="C196" s="340"/>
      <c r="D196" s="286"/>
      <c r="I196" s="282"/>
      <c r="J196" s="282"/>
      <c r="K196" s="282"/>
      <c r="L196" s="282"/>
      <c r="M196" s="282"/>
      <c r="N196" s="282"/>
      <c r="O196" s="282"/>
      <c r="P196" s="282"/>
      <c r="Q196" s="282"/>
      <c r="R196" s="282"/>
      <c r="S196" s="282"/>
      <c r="T196" s="282"/>
      <c r="U196" s="282"/>
      <c r="V196" s="282"/>
      <c r="W196" s="282"/>
      <c r="X196" s="282"/>
      <c r="Y196" s="282"/>
      <c r="Z196" s="282"/>
      <c r="AA196" s="282"/>
      <c r="AB196" s="282"/>
      <c r="AC196" s="282"/>
      <c r="AD196" s="282"/>
      <c r="AE196" s="282"/>
      <c r="AF196" s="282"/>
      <c r="AK196" s="282"/>
      <c r="AL196" s="282"/>
      <c r="AM196" s="282"/>
      <c r="AN196" s="282"/>
      <c r="AO196" s="282"/>
      <c r="AP196" s="282"/>
      <c r="HA196" s="286"/>
      <c r="HB196" s="286"/>
      <c r="HC196" s="286"/>
      <c r="HD196" s="286"/>
      <c r="HE196" s="286"/>
      <c r="HF196" s="286"/>
      <c r="HG196" s="286"/>
      <c r="HH196" s="286"/>
      <c r="HI196" s="286"/>
      <c r="HJ196" s="286"/>
      <c r="HK196" s="286"/>
      <c r="HL196" s="286"/>
      <c r="HM196" s="286"/>
      <c r="HN196" s="286"/>
      <c r="HO196" s="286"/>
      <c r="HP196" s="286"/>
      <c r="HQ196" s="286"/>
      <c r="HR196" s="286"/>
      <c r="HS196" s="286"/>
      <c r="HT196" s="286"/>
      <c r="HU196" s="286"/>
      <c r="HV196" s="286"/>
      <c r="HW196" s="286"/>
      <c r="HX196" s="286"/>
      <c r="HY196" s="286"/>
      <c r="HZ196" s="286"/>
      <c r="IA196" s="286"/>
      <c r="IB196" s="286"/>
      <c r="IC196" s="286"/>
      <c r="ID196" s="286"/>
      <c r="IE196" s="286"/>
      <c r="IF196" s="286"/>
      <c r="IG196" s="286"/>
      <c r="IH196" s="286"/>
      <c r="II196" s="286"/>
      <c r="IJ196" s="286"/>
      <c r="IK196" s="286"/>
      <c r="IL196" s="286"/>
      <c r="IM196" s="286"/>
      <c r="IN196" s="286"/>
      <c r="IO196" s="286"/>
      <c r="IP196" s="286"/>
      <c r="IQ196" s="286"/>
      <c r="IR196" s="286"/>
      <c r="IS196" s="286"/>
      <c r="IT196" s="286"/>
      <c r="IU196" s="286"/>
      <c r="IV196" s="286"/>
    </row>
    <row r="197" spans="1:256" s="279" customFormat="1">
      <c r="A197" s="286"/>
      <c r="B197" s="340"/>
      <c r="C197" s="340"/>
      <c r="D197" s="286"/>
      <c r="I197" s="282"/>
      <c r="J197" s="282"/>
      <c r="K197" s="282"/>
      <c r="L197" s="282"/>
      <c r="M197" s="282"/>
      <c r="N197" s="282"/>
      <c r="O197" s="282"/>
      <c r="P197" s="282"/>
      <c r="Q197" s="282"/>
      <c r="R197" s="282"/>
      <c r="S197" s="282"/>
      <c r="T197" s="282"/>
      <c r="U197" s="282"/>
      <c r="V197" s="282"/>
      <c r="W197" s="282"/>
      <c r="X197" s="282"/>
      <c r="Y197" s="282"/>
      <c r="Z197" s="282"/>
      <c r="AA197" s="282"/>
      <c r="AB197" s="282"/>
      <c r="AC197" s="282"/>
      <c r="AD197" s="282"/>
      <c r="AE197" s="282"/>
      <c r="AF197" s="282"/>
      <c r="AK197" s="282"/>
      <c r="AL197" s="282"/>
      <c r="AM197" s="282"/>
      <c r="AN197" s="282"/>
      <c r="AO197" s="282"/>
      <c r="AP197" s="282"/>
      <c r="HA197" s="286"/>
      <c r="HB197" s="286"/>
      <c r="HC197" s="286"/>
      <c r="HD197" s="286"/>
      <c r="HE197" s="286"/>
      <c r="HF197" s="286"/>
      <c r="HG197" s="286"/>
      <c r="HH197" s="286"/>
      <c r="HI197" s="286"/>
      <c r="HJ197" s="286"/>
      <c r="HK197" s="286"/>
      <c r="HL197" s="286"/>
      <c r="HM197" s="286"/>
      <c r="HN197" s="286"/>
      <c r="HO197" s="286"/>
      <c r="HP197" s="286"/>
      <c r="HQ197" s="286"/>
      <c r="HR197" s="286"/>
      <c r="HS197" s="286"/>
      <c r="HT197" s="286"/>
      <c r="HU197" s="286"/>
      <c r="HV197" s="286"/>
      <c r="HW197" s="286"/>
      <c r="HX197" s="286"/>
      <c r="HY197" s="286"/>
      <c r="HZ197" s="286"/>
      <c r="IA197" s="286"/>
      <c r="IB197" s="286"/>
      <c r="IC197" s="286"/>
      <c r="ID197" s="286"/>
      <c r="IE197" s="286"/>
      <c r="IF197" s="286"/>
      <c r="IG197" s="286"/>
      <c r="IH197" s="286"/>
      <c r="II197" s="286"/>
      <c r="IJ197" s="286"/>
      <c r="IK197" s="286"/>
      <c r="IL197" s="286"/>
      <c r="IM197" s="286"/>
      <c r="IN197" s="286"/>
      <c r="IO197" s="286"/>
      <c r="IP197" s="286"/>
      <c r="IQ197" s="286"/>
      <c r="IR197" s="286"/>
      <c r="IS197" s="286"/>
      <c r="IT197" s="286"/>
      <c r="IU197" s="286"/>
      <c r="IV197" s="286"/>
    </row>
    <row r="198" spans="1:256" s="279" customFormat="1">
      <c r="A198" s="286"/>
      <c r="B198" s="340"/>
      <c r="C198" s="340"/>
      <c r="D198" s="286"/>
      <c r="I198" s="282"/>
      <c r="J198" s="282"/>
      <c r="K198" s="282"/>
      <c r="L198" s="282"/>
      <c r="M198" s="282"/>
      <c r="N198" s="282"/>
      <c r="O198" s="282"/>
      <c r="P198" s="282"/>
      <c r="Q198" s="282"/>
      <c r="R198" s="282"/>
      <c r="S198" s="282"/>
      <c r="T198" s="282"/>
      <c r="U198" s="282"/>
      <c r="V198" s="282"/>
      <c r="W198" s="282"/>
      <c r="X198" s="282"/>
      <c r="Y198" s="282"/>
      <c r="Z198" s="282"/>
      <c r="AA198" s="282"/>
      <c r="AB198" s="282"/>
      <c r="AC198" s="282"/>
      <c r="AD198" s="282"/>
      <c r="AE198" s="282"/>
      <c r="AF198" s="282"/>
      <c r="AK198" s="282"/>
      <c r="AL198" s="282"/>
      <c r="AM198" s="282"/>
      <c r="AN198" s="282"/>
      <c r="AO198" s="282"/>
      <c r="AP198" s="282"/>
      <c r="HA198" s="286"/>
      <c r="HB198" s="286"/>
      <c r="HC198" s="286"/>
      <c r="HD198" s="286"/>
      <c r="HE198" s="286"/>
      <c r="HF198" s="286"/>
      <c r="HG198" s="286"/>
      <c r="HH198" s="286"/>
      <c r="HI198" s="286"/>
      <c r="HJ198" s="286"/>
      <c r="HK198" s="286"/>
      <c r="HL198" s="286"/>
      <c r="HM198" s="286"/>
      <c r="HN198" s="286"/>
      <c r="HO198" s="286"/>
      <c r="HP198" s="286"/>
      <c r="HQ198" s="286"/>
      <c r="HR198" s="286"/>
      <c r="HS198" s="286"/>
      <c r="HT198" s="286"/>
      <c r="HU198" s="286"/>
      <c r="HV198" s="286"/>
      <c r="HW198" s="286"/>
      <c r="HX198" s="286"/>
      <c r="HY198" s="286"/>
      <c r="HZ198" s="286"/>
      <c r="IA198" s="286"/>
      <c r="IB198" s="286"/>
      <c r="IC198" s="286"/>
      <c r="ID198" s="286"/>
      <c r="IE198" s="286"/>
      <c r="IF198" s="286"/>
      <c r="IG198" s="286"/>
      <c r="IH198" s="286"/>
      <c r="II198" s="286"/>
      <c r="IJ198" s="286"/>
      <c r="IK198" s="286"/>
      <c r="IL198" s="286"/>
      <c r="IM198" s="286"/>
      <c r="IN198" s="286"/>
      <c r="IO198" s="286"/>
      <c r="IP198" s="286"/>
      <c r="IQ198" s="286"/>
      <c r="IR198" s="286"/>
      <c r="IS198" s="286"/>
      <c r="IT198" s="286"/>
      <c r="IU198" s="286"/>
      <c r="IV198" s="286"/>
    </row>
    <row r="199" spans="1:256" s="279" customFormat="1">
      <c r="A199" s="286"/>
      <c r="B199" s="340"/>
      <c r="C199" s="340"/>
      <c r="D199" s="286"/>
      <c r="I199" s="282"/>
      <c r="J199" s="282"/>
      <c r="K199" s="282"/>
      <c r="L199" s="282"/>
      <c r="M199" s="282"/>
      <c r="N199" s="282"/>
      <c r="O199" s="282"/>
      <c r="P199" s="282"/>
      <c r="Q199" s="282"/>
      <c r="R199" s="282"/>
      <c r="S199" s="282"/>
      <c r="T199" s="282"/>
      <c r="U199" s="282"/>
      <c r="V199" s="282"/>
      <c r="W199" s="282"/>
      <c r="X199" s="282"/>
      <c r="Y199" s="282"/>
      <c r="Z199" s="282"/>
      <c r="AA199" s="282"/>
      <c r="AB199" s="282"/>
      <c r="AC199" s="282"/>
      <c r="AD199" s="282"/>
      <c r="AE199" s="282"/>
      <c r="AF199" s="282"/>
      <c r="AK199" s="282"/>
      <c r="AL199" s="282"/>
      <c r="AM199" s="282"/>
      <c r="AN199" s="282"/>
      <c r="AO199" s="282"/>
      <c r="AP199" s="282"/>
      <c r="HA199" s="286"/>
      <c r="HB199" s="286"/>
      <c r="HC199" s="286"/>
      <c r="HD199" s="286"/>
      <c r="HE199" s="286"/>
      <c r="HF199" s="286"/>
      <c r="HG199" s="286"/>
      <c r="HH199" s="286"/>
      <c r="HI199" s="286"/>
      <c r="HJ199" s="286"/>
      <c r="HK199" s="286"/>
      <c r="HL199" s="286"/>
      <c r="HM199" s="286"/>
      <c r="HN199" s="286"/>
      <c r="HO199" s="286"/>
      <c r="HP199" s="286"/>
      <c r="HQ199" s="286"/>
      <c r="HR199" s="286"/>
      <c r="HS199" s="286"/>
      <c r="HT199" s="286"/>
      <c r="HU199" s="286"/>
      <c r="HV199" s="286"/>
      <c r="HW199" s="286"/>
      <c r="HX199" s="286"/>
      <c r="HY199" s="286"/>
      <c r="HZ199" s="286"/>
      <c r="IA199" s="286"/>
      <c r="IB199" s="286"/>
      <c r="IC199" s="286"/>
      <c r="ID199" s="286"/>
      <c r="IE199" s="286"/>
      <c r="IF199" s="286"/>
      <c r="IG199" s="286"/>
      <c r="IH199" s="286"/>
      <c r="II199" s="286"/>
      <c r="IJ199" s="286"/>
      <c r="IK199" s="286"/>
      <c r="IL199" s="286"/>
      <c r="IM199" s="286"/>
      <c r="IN199" s="286"/>
      <c r="IO199" s="286"/>
      <c r="IP199" s="286"/>
      <c r="IQ199" s="286"/>
      <c r="IR199" s="286"/>
      <c r="IS199" s="286"/>
      <c r="IT199" s="286"/>
      <c r="IU199" s="286"/>
      <c r="IV199" s="286"/>
    </row>
    <row r="200" spans="1:256" s="279" customFormat="1">
      <c r="A200" s="286"/>
      <c r="B200" s="340"/>
      <c r="C200" s="340"/>
      <c r="D200" s="286"/>
      <c r="I200" s="282"/>
      <c r="J200" s="282"/>
      <c r="K200" s="282"/>
      <c r="L200" s="282"/>
      <c r="M200" s="282"/>
      <c r="N200" s="282"/>
      <c r="O200" s="282"/>
      <c r="P200" s="282"/>
      <c r="Q200" s="282"/>
      <c r="R200" s="282"/>
      <c r="S200" s="282"/>
      <c r="T200" s="282"/>
      <c r="U200" s="282"/>
      <c r="V200" s="282"/>
      <c r="W200" s="282"/>
      <c r="X200" s="282"/>
      <c r="Y200" s="282"/>
      <c r="Z200" s="282"/>
      <c r="AA200" s="282"/>
      <c r="AB200" s="282"/>
      <c r="AC200" s="282"/>
      <c r="AD200" s="282"/>
      <c r="AE200" s="282"/>
      <c r="AF200" s="282"/>
      <c r="AK200" s="282"/>
      <c r="AL200" s="282"/>
      <c r="AM200" s="282"/>
      <c r="AN200" s="282"/>
      <c r="AO200" s="282"/>
      <c r="AP200" s="282"/>
      <c r="HA200" s="286"/>
      <c r="HB200" s="286"/>
      <c r="HC200" s="286"/>
      <c r="HD200" s="286"/>
      <c r="HE200" s="286"/>
      <c r="HF200" s="286"/>
      <c r="HG200" s="286"/>
      <c r="HH200" s="286"/>
      <c r="HI200" s="286"/>
      <c r="HJ200" s="286"/>
      <c r="HK200" s="286"/>
      <c r="HL200" s="286"/>
      <c r="HM200" s="286"/>
      <c r="HN200" s="286"/>
      <c r="HO200" s="286"/>
      <c r="HP200" s="286"/>
      <c r="HQ200" s="286"/>
      <c r="HR200" s="286"/>
      <c r="HS200" s="286"/>
      <c r="HT200" s="286"/>
      <c r="HU200" s="286"/>
      <c r="HV200" s="286"/>
      <c r="HW200" s="286"/>
      <c r="HX200" s="286"/>
      <c r="HY200" s="286"/>
      <c r="HZ200" s="286"/>
      <c r="IA200" s="286"/>
      <c r="IB200" s="286"/>
      <c r="IC200" s="286"/>
      <c r="ID200" s="286"/>
      <c r="IE200" s="286"/>
      <c r="IF200" s="286"/>
      <c r="IG200" s="286"/>
      <c r="IH200" s="286"/>
      <c r="II200" s="286"/>
      <c r="IJ200" s="286"/>
      <c r="IK200" s="286"/>
      <c r="IL200" s="286"/>
      <c r="IM200" s="286"/>
      <c r="IN200" s="286"/>
      <c r="IO200" s="286"/>
      <c r="IP200" s="286"/>
      <c r="IQ200" s="286"/>
      <c r="IR200" s="286"/>
      <c r="IS200" s="286"/>
      <c r="IT200" s="286"/>
      <c r="IU200" s="286"/>
      <c r="IV200" s="286"/>
    </row>
    <row r="201" spans="1:256" s="279" customFormat="1">
      <c r="A201" s="286"/>
      <c r="B201" s="340"/>
      <c r="C201" s="340"/>
      <c r="D201" s="286"/>
      <c r="HA201" s="286"/>
      <c r="HB201" s="286"/>
      <c r="HC201" s="286"/>
      <c r="HD201" s="286"/>
      <c r="HE201" s="286"/>
      <c r="HF201" s="286"/>
      <c r="HG201" s="286"/>
      <c r="HH201" s="286"/>
      <c r="HI201" s="286"/>
      <c r="HJ201" s="286"/>
      <c r="HK201" s="286"/>
      <c r="HL201" s="286"/>
      <c r="HM201" s="286"/>
      <c r="HN201" s="286"/>
      <c r="HO201" s="286"/>
      <c r="HP201" s="286"/>
      <c r="HQ201" s="286"/>
      <c r="HR201" s="286"/>
      <c r="HS201" s="286"/>
      <c r="HT201" s="286"/>
      <c r="HU201" s="286"/>
      <c r="HV201" s="286"/>
      <c r="HW201" s="286"/>
      <c r="HX201" s="286"/>
      <c r="HY201" s="286"/>
      <c r="HZ201" s="286"/>
      <c r="IA201" s="286"/>
      <c r="IB201" s="286"/>
      <c r="IC201" s="286"/>
      <c r="ID201" s="286"/>
      <c r="IE201" s="286"/>
      <c r="IF201" s="286"/>
      <c r="IG201" s="286"/>
      <c r="IH201" s="286"/>
      <c r="II201" s="286"/>
      <c r="IJ201" s="286"/>
      <c r="IK201" s="286"/>
      <c r="IL201" s="286"/>
      <c r="IM201" s="286"/>
      <c r="IN201" s="286"/>
      <c r="IO201" s="286"/>
      <c r="IP201" s="286"/>
      <c r="IQ201" s="286"/>
      <c r="IR201" s="286"/>
      <c r="IS201" s="286"/>
      <c r="IT201" s="286"/>
      <c r="IU201" s="286"/>
      <c r="IV201" s="286"/>
    </row>
    <row r="202" spans="1:256" s="279" customFormat="1">
      <c r="A202" s="286"/>
      <c r="B202" s="340"/>
      <c r="C202" s="340"/>
      <c r="D202" s="286"/>
      <c r="HA202" s="286"/>
      <c r="HB202" s="286"/>
      <c r="HC202" s="286"/>
      <c r="HD202" s="286"/>
      <c r="HE202" s="286"/>
      <c r="HF202" s="286"/>
      <c r="HG202" s="286"/>
      <c r="HH202" s="286"/>
      <c r="HI202" s="286"/>
      <c r="HJ202" s="286"/>
      <c r="HK202" s="286"/>
      <c r="HL202" s="286"/>
      <c r="HM202" s="286"/>
      <c r="HN202" s="286"/>
      <c r="HO202" s="286"/>
      <c r="HP202" s="286"/>
      <c r="HQ202" s="286"/>
      <c r="HR202" s="286"/>
      <c r="HS202" s="286"/>
      <c r="HT202" s="286"/>
      <c r="HU202" s="286"/>
      <c r="HV202" s="286"/>
      <c r="HW202" s="286"/>
      <c r="HX202" s="286"/>
      <c r="HY202" s="286"/>
      <c r="HZ202" s="286"/>
      <c r="IA202" s="286"/>
      <c r="IB202" s="286"/>
      <c r="IC202" s="286"/>
      <c r="ID202" s="286"/>
      <c r="IE202" s="286"/>
      <c r="IF202" s="286"/>
      <c r="IG202" s="286"/>
      <c r="IH202" s="286"/>
      <c r="II202" s="286"/>
      <c r="IJ202" s="286"/>
      <c r="IK202" s="286"/>
      <c r="IL202" s="286"/>
      <c r="IM202" s="286"/>
      <c r="IN202" s="286"/>
      <c r="IO202" s="286"/>
      <c r="IP202" s="286"/>
      <c r="IQ202" s="286"/>
      <c r="IR202" s="286"/>
      <c r="IS202" s="286"/>
      <c r="IT202" s="286"/>
      <c r="IU202" s="286"/>
      <c r="IV202" s="286"/>
    </row>
    <row r="203" spans="1:256" s="279" customFormat="1">
      <c r="A203" s="286"/>
      <c r="B203" s="340"/>
      <c r="C203" s="340"/>
      <c r="D203" s="286"/>
      <c r="HA203" s="286"/>
      <c r="HB203" s="286"/>
      <c r="HC203" s="286"/>
      <c r="HD203" s="286"/>
      <c r="HE203" s="286"/>
      <c r="HF203" s="286"/>
      <c r="HG203" s="286"/>
      <c r="HH203" s="286"/>
      <c r="HI203" s="286"/>
      <c r="HJ203" s="286"/>
      <c r="HK203" s="286"/>
      <c r="HL203" s="286"/>
      <c r="HM203" s="286"/>
      <c r="HN203" s="286"/>
      <c r="HO203" s="286"/>
      <c r="HP203" s="286"/>
      <c r="HQ203" s="286"/>
      <c r="HR203" s="286"/>
      <c r="HS203" s="286"/>
      <c r="HT203" s="286"/>
      <c r="HU203" s="286"/>
      <c r="HV203" s="286"/>
      <c r="HW203" s="286"/>
      <c r="HX203" s="286"/>
      <c r="HY203" s="286"/>
      <c r="HZ203" s="286"/>
      <c r="IA203" s="286"/>
      <c r="IB203" s="286"/>
      <c r="IC203" s="286"/>
      <c r="ID203" s="286"/>
      <c r="IE203" s="286"/>
      <c r="IF203" s="286"/>
      <c r="IG203" s="286"/>
      <c r="IH203" s="286"/>
      <c r="II203" s="286"/>
      <c r="IJ203" s="286"/>
      <c r="IK203" s="286"/>
      <c r="IL203" s="286"/>
      <c r="IM203" s="286"/>
      <c r="IN203" s="286"/>
      <c r="IO203" s="286"/>
      <c r="IP203" s="286"/>
      <c r="IQ203" s="286"/>
      <c r="IR203" s="286"/>
      <c r="IS203" s="286"/>
      <c r="IT203" s="286"/>
      <c r="IU203" s="286"/>
      <c r="IV203" s="286"/>
    </row>
    <row r="204" spans="1:256" s="279" customFormat="1">
      <c r="A204" s="286"/>
      <c r="B204" s="340"/>
      <c r="C204" s="340"/>
      <c r="D204" s="286"/>
      <c r="HA204" s="286"/>
      <c r="HB204" s="286"/>
      <c r="HC204" s="286"/>
      <c r="HD204" s="286"/>
      <c r="HE204" s="286"/>
      <c r="HF204" s="286"/>
      <c r="HG204" s="286"/>
      <c r="HH204" s="286"/>
      <c r="HI204" s="286"/>
      <c r="HJ204" s="286"/>
      <c r="HK204" s="286"/>
      <c r="HL204" s="286"/>
      <c r="HM204" s="286"/>
      <c r="HN204" s="286"/>
      <c r="HO204" s="286"/>
      <c r="HP204" s="286"/>
      <c r="HQ204" s="286"/>
      <c r="HR204" s="286"/>
      <c r="HS204" s="286"/>
      <c r="HT204" s="286"/>
      <c r="HU204" s="286"/>
      <c r="HV204" s="286"/>
      <c r="HW204" s="286"/>
      <c r="HX204" s="286"/>
      <c r="HY204" s="286"/>
      <c r="HZ204" s="286"/>
      <c r="IA204" s="286"/>
      <c r="IB204" s="286"/>
      <c r="IC204" s="286"/>
      <c r="ID204" s="286"/>
      <c r="IE204" s="286"/>
      <c r="IF204" s="286"/>
      <c r="IG204" s="286"/>
      <c r="IH204" s="286"/>
      <c r="II204" s="286"/>
      <c r="IJ204" s="286"/>
      <c r="IK204" s="286"/>
      <c r="IL204" s="286"/>
      <c r="IM204" s="286"/>
      <c r="IN204" s="286"/>
      <c r="IO204" s="286"/>
      <c r="IP204" s="286"/>
      <c r="IQ204" s="286"/>
      <c r="IR204" s="286"/>
      <c r="IS204" s="286"/>
      <c r="IT204" s="286"/>
      <c r="IU204" s="286"/>
      <c r="IV204" s="286"/>
    </row>
    <row r="205" spans="1:256" s="279" customFormat="1">
      <c r="A205" s="286"/>
      <c r="B205" s="340"/>
      <c r="C205" s="340"/>
      <c r="D205" s="286"/>
      <c r="HA205" s="286"/>
      <c r="HB205" s="286"/>
      <c r="HC205" s="286"/>
      <c r="HD205" s="286"/>
      <c r="HE205" s="286"/>
      <c r="HF205" s="286"/>
      <c r="HG205" s="286"/>
      <c r="HH205" s="286"/>
      <c r="HI205" s="286"/>
      <c r="HJ205" s="286"/>
      <c r="HK205" s="286"/>
      <c r="HL205" s="286"/>
      <c r="HM205" s="286"/>
      <c r="HN205" s="286"/>
      <c r="HO205" s="286"/>
      <c r="HP205" s="286"/>
      <c r="HQ205" s="286"/>
      <c r="HR205" s="286"/>
      <c r="HS205" s="286"/>
      <c r="HT205" s="286"/>
      <c r="HU205" s="286"/>
      <c r="HV205" s="286"/>
      <c r="HW205" s="286"/>
      <c r="HX205" s="286"/>
      <c r="HY205" s="286"/>
      <c r="HZ205" s="286"/>
      <c r="IA205" s="286"/>
      <c r="IB205" s="286"/>
      <c r="IC205" s="286"/>
      <c r="ID205" s="286"/>
      <c r="IE205" s="286"/>
      <c r="IF205" s="286"/>
      <c r="IG205" s="286"/>
      <c r="IH205" s="286"/>
      <c r="II205" s="286"/>
      <c r="IJ205" s="286"/>
      <c r="IK205" s="286"/>
      <c r="IL205" s="286"/>
      <c r="IM205" s="286"/>
      <c r="IN205" s="286"/>
      <c r="IO205" s="286"/>
      <c r="IP205" s="286"/>
      <c r="IQ205" s="286"/>
      <c r="IR205" s="286"/>
      <c r="IS205" s="286"/>
      <c r="IT205" s="286"/>
      <c r="IU205" s="286"/>
      <c r="IV205" s="286"/>
    </row>
    <row r="206" spans="1:256" s="279" customFormat="1">
      <c r="A206" s="286"/>
      <c r="B206" s="340"/>
      <c r="C206" s="340"/>
      <c r="D206" s="286"/>
      <c r="HA206" s="286"/>
      <c r="HB206" s="286"/>
      <c r="HC206" s="286"/>
      <c r="HD206" s="286"/>
      <c r="HE206" s="286"/>
      <c r="HF206" s="286"/>
      <c r="HG206" s="286"/>
      <c r="HH206" s="286"/>
      <c r="HI206" s="286"/>
      <c r="HJ206" s="286"/>
      <c r="HK206" s="286"/>
      <c r="HL206" s="286"/>
      <c r="HM206" s="286"/>
      <c r="HN206" s="286"/>
      <c r="HO206" s="286"/>
      <c r="HP206" s="286"/>
      <c r="HQ206" s="286"/>
      <c r="HR206" s="286"/>
      <c r="HS206" s="286"/>
      <c r="HT206" s="286"/>
      <c r="HU206" s="286"/>
      <c r="HV206" s="286"/>
      <c r="HW206" s="286"/>
      <c r="HX206" s="286"/>
      <c r="HY206" s="286"/>
      <c r="HZ206" s="286"/>
      <c r="IA206" s="286"/>
      <c r="IB206" s="286"/>
      <c r="IC206" s="286"/>
      <c r="ID206" s="286"/>
      <c r="IE206" s="286"/>
      <c r="IF206" s="286"/>
      <c r="IG206" s="286"/>
      <c r="IH206" s="286"/>
      <c r="II206" s="286"/>
      <c r="IJ206" s="286"/>
      <c r="IK206" s="286"/>
      <c r="IL206" s="286"/>
      <c r="IM206" s="286"/>
      <c r="IN206" s="286"/>
      <c r="IO206" s="286"/>
      <c r="IP206" s="286"/>
      <c r="IQ206" s="286"/>
      <c r="IR206" s="286"/>
      <c r="IS206" s="286"/>
      <c r="IT206" s="286"/>
      <c r="IU206" s="286"/>
      <c r="IV206" s="286"/>
    </row>
    <row r="207" spans="1:256" s="279" customFormat="1">
      <c r="A207" s="286"/>
      <c r="B207" s="340"/>
      <c r="C207" s="340"/>
      <c r="D207" s="286"/>
      <c r="HA207" s="286"/>
      <c r="HB207" s="286"/>
      <c r="HC207" s="286"/>
      <c r="HD207" s="286"/>
      <c r="HE207" s="286"/>
      <c r="HF207" s="286"/>
      <c r="HG207" s="286"/>
      <c r="HH207" s="286"/>
      <c r="HI207" s="286"/>
      <c r="HJ207" s="286"/>
      <c r="HK207" s="286"/>
      <c r="HL207" s="286"/>
      <c r="HM207" s="286"/>
      <c r="HN207" s="286"/>
      <c r="HO207" s="286"/>
      <c r="HP207" s="286"/>
      <c r="HQ207" s="286"/>
      <c r="HR207" s="286"/>
      <c r="HS207" s="286"/>
      <c r="HT207" s="286"/>
      <c r="HU207" s="286"/>
      <c r="HV207" s="286"/>
      <c r="HW207" s="286"/>
      <c r="HX207" s="286"/>
      <c r="HY207" s="286"/>
      <c r="HZ207" s="286"/>
      <c r="IA207" s="286"/>
      <c r="IB207" s="286"/>
      <c r="IC207" s="286"/>
      <c r="ID207" s="286"/>
      <c r="IE207" s="286"/>
      <c r="IF207" s="286"/>
      <c r="IG207" s="286"/>
      <c r="IH207" s="286"/>
      <c r="II207" s="286"/>
      <c r="IJ207" s="286"/>
      <c r="IK207" s="286"/>
      <c r="IL207" s="286"/>
      <c r="IM207" s="286"/>
      <c r="IN207" s="286"/>
      <c r="IO207" s="286"/>
      <c r="IP207" s="286"/>
      <c r="IQ207" s="286"/>
      <c r="IR207" s="286"/>
      <c r="IS207" s="286"/>
      <c r="IT207" s="286"/>
      <c r="IU207" s="286"/>
      <c r="IV207" s="286"/>
    </row>
    <row r="208" spans="1:256" s="279" customFormat="1">
      <c r="A208" s="286"/>
      <c r="B208" s="340"/>
      <c r="C208" s="340"/>
      <c r="D208" s="286"/>
      <c r="HA208" s="286"/>
      <c r="HB208" s="286"/>
      <c r="HC208" s="286"/>
      <c r="HD208" s="286"/>
      <c r="HE208" s="286"/>
      <c r="HF208" s="286"/>
      <c r="HG208" s="286"/>
      <c r="HH208" s="286"/>
      <c r="HI208" s="286"/>
      <c r="HJ208" s="286"/>
      <c r="HK208" s="286"/>
      <c r="HL208" s="286"/>
      <c r="HM208" s="286"/>
      <c r="HN208" s="286"/>
      <c r="HO208" s="286"/>
      <c r="HP208" s="286"/>
      <c r="HQ208" s="286"/>
      <c r="HR208" s="286"/>
      <c r="HS208" s="286"/>
      <c r="HT208" s="286"/>
      <c r="HU208" s="286"/>
      <c r="HV208" s="286"/>
      <c r="HW208" s="286"/>
      <c r="HX208" s="286"/>
      <c r="HY208" s="286"/>
      <c r="HZ208" s="286"/>
      <c r="IA208" s="286"/>
      <c r="IB208" s="286"/>
      <c r="IC208" s="286"/>
      <c r="ID208" s="286"/>
      <c r="IE208" s="286"/>
      <c r="IF208" s="286"/>
      <c r="IG208" s="286"/>
      <c r="IH208" s="286"/>
      <c r="II208" s="286"/>
      <c r="IJ208" s="286"/>
      <c r="IK208" s="286"/>
      <c r="IL208" s="286"/>
      <c r="IM208" s="286"/>
      <c r="IN208" s="286"/>
      <c r="IO208" s="286"/>
      <c r="IP208" s="286"/>
      <c r="IQ208" s="286"/>
      <c r="IR208" s="286"/>
      <c r="IS208" s="286"/>
      <c r="IT208" s="286"/>
      <c r="IU208" s="286"/>
      <c r="IV208" s="286"/>
    </row>
    <row r="209" spans="1:256" s="279" customFormat="1">
      <c r="A209" s="286"/>
      <c r="B209" s="340"/>
      <c r="C209" s="340"/>
      <c r="D209" s="286"/>
      <c r="HA209" s="286"/>
      <c r="HB209" s="286"/>
      <c r="HC209" s="286"/>
      <c r="HD209" s="286"/>
      <c r="HE209" s="286"/>
      <c r="HF209" s="286"/>
      <c r="HG209" s="286"/>
      <c r="HH209" s="286"/>
      <c r="HI209" s="286"/>
      <c r="HJ209" s="286"/>
      <c r="HK209" s="286"/>
      <c r="HL209" s="286"/>
      <c r="HM209" s="286"/>
      <c r="HN209" s="286"/>
      <c r="HO209" s="286"/>
      <c r="HP209" s="286"/>
      <c r="HQ209" s="286"/>
      <c r="HR209" s="286"/>
      <c r="HS209" s="286"/>
      <c r="HT209" s="286"/>
      <c r="HU209" s="286"/>
      <c r="HV209" s="286"/>
      <c r="HW209" s="286"/>
      <c r="HX209" s="286"/>
      <c r="HY209" s="286"/>
      <c r="HZ209" s="286"/>
      <c r="IA209" s="286"/>
      <c r="IB209" s="286"/>
      <c r="IC209" s="286"/>
      <c r="ID209" s="286"/>
      <c r="IE209" s="286"/>
      <c r="IF209" s="286"/>
      <c r="IG209" s="286"/>
      <c r="IH209" s="286"/>
      <c r="II209" s="286"/>
      <c r="IJ209" s="286"/>
      <c r="IK209" s="286"/>
      <c r="IL209" s="286"/>
      <c r="IM209" s="286"/>
      <c r="IN209" s="286"/>
      <c r="IO209" s="286"/>
      <c r="IP209" s="286"/>
      <c r="IQ209" s="286"/>
      <c r="IR209" s="286"/>
      <c r="IS209" s="286"/>
      <c r="IT209" s="286"/>
      <c r="IU209" s="286"/>
      <c r="IV209" s="286"/>
    </row>
    <row r="210" spans="1:256" s="279" customFormat="1">
      <c r="A210" s="286"/>
      <c r="B210" s="340"/>
      <c r="C210" s="340"/>
      <c r="D210" s="286"/>
      <c r="HA210" s="286"/>
      <c r="HB210" s="286"/>
      <c r="HC210" s="286"/>
      <c r="HD210" s="286"/>
      <c r="HE210" s="286"/>
      <c r="HF210" s="286"/>
      <c r="HG210" s="286"/>
      <c r="HH210" s="286"/>
      <c r="HI210" s="286"/>
      <c r="HJ210" s="286"/>
      <c r="HK210" s="286"/>
      <c r="HL210" s="286"/>
      <c r="HM210" s="286"/>
      <c r="HN210" s="286"/>
      <c r="HO210" s="286"/>
      <c r="HP210" s="286"/>
      <c r="HQ210" s="286"/>
      <c r="HR210" s="286"/>
      <c r="HS210" s="286"/>
      <c r="HT210" s="286"/>
      <c r="HU210" s="286"/>
      <c r="HV210" s="286"/>
      <c r="HW210" s="286"/>
      <c r="HX210" s="286"/>
      <c r="HY210" s="286"/>
      <c r="HZ210" s="286"/>
      <c r="IA210" s="286"/>
      <c r="IB210" s="286"/>
      <c r="IC210" s="286"/>
      <c r="ID210" s="286"/>
      <c r="IE210" s="286"/>
      <c r="IF210" s="286"/>
      <c r="IG210" s="286"/>
      <c r="IH210" s="286"/>
      <c r="II210" s="286"/>
      <c r="IJ210" s="286"/>
      <c r="IK210" s="286"/>
      <c r="IL210" s="286"/>
      <c r="IM210" s="286"/>
      <c r="IN210" s="286"/>
      <c r="IO210" s="286"/>
      <c r="IP210" s="286"/>
      <c r="IQ210" s="286"/>
      <c r="IR210" s="286"/>
      <c r="IS210" s="286"/>
      <c r="IT210" s="286"/>
      <c r="IU210" s="286"/>
      <c r="IV210" s="286"/>
    </row>
    <row r="211" spans="1:256" s="279" customFormat="1">
      <c r="A211" s="286"/>
      <c r="B211" s="340"/>
      <c r="C211" s="340"/>
      <c r="D211" s="286"/>
      <c r="HA211" s="286"/>
      <c r="HB211" s="286"/>
      <c r="HC211" s="286"/>
      <c r="HD211" s="286"/>
      <c r="HE211" s="286"/>
      <c r="HF211" s="286"/>
      <c r="HG211" s="286"/>
      <c r="HH211" s="286"/>
      <c r="HI211" s="286"/>
      <c r="HJ211" s="286"/>
      <c r="HK211" s="286"/>
      <c r="HL211" s="286"/>
      <c r="HM211" s="286"/>
      <c r="HN211" s="286"/>
      <c r="HO211" s="286"/>
      <c r="HP211" s="286"/>
      <c r="HQ211" s="286"/>
      <c r="HR211" s="286"/>
      <c r="HS211" s="286"/>
      <c r="HT211" s="286"/>
      <c r="HU211" s="286"/>
      <c r="HV211" s="286"/>
      <c r="HW211" s="286"/>
      <c r="HX211" s="286"/>
      <c r="HY211" s="286"/>
      <c r="HZ211" s="286"/>
      <c r="IA211" s="286"/>
      <c r="IB211" s="286"/>
      <c r="IC211" s="286"/>
      <c r="ID211" s="286"/>
      <c r="IE211" s="286"/>
      <c r="IF211" s="286"/>
      <c r="IG211" s="286"/>
      <c r="IH211" s="286"/>
      <c r="II211" s="286"/>
      <c r="IJ211" s="286"/>
      <c r="IK211" s="286"/>
      <c r="IL211" s="286"/>
      <c r="IM211" s="286"/>
      <c r="IN211" s="286"/>
      <c r="IO211" s="286"/>
      <c r="IP211" s="286"/>
      <c r="IQ211" s="286"/>
      <c r="IR211" s="286"/>
      <c r="IS211" s="286"/>
      <c r="IT211" s="286"/>
      <c r="IU211" s="286"/>
      <c r="IV211" s="286"/>
    </row>
    <row r="212" spans="1:256" s="279" customFormat="1">
      <c r="A212" s="286"/>
      <c r="B212" s="340"/>
      <c r="C212" s="340"/>
      <c r="D212" s="286"/>
      <c r="HA212" s="286"/>
      <c r="HB212" s="286"/>
      <c r="HC212" s="286"/>
      <c r="HD212" s="286"/>
      <c r="HE212" s="286"/>
      <c r="HF212" s="286"/>
      <c r="HG212" s="286"/>
      <c r="HH212" s="286"/>
      <c r="HI212" s="286"/>
      <c r="HJ212" s="286"/>
      <c r="HK212" s="286"/>
      <c r="HL212" s="286"/>
      <c r="HM212" s="286"/>
      <c r="HN212" s="286"/>
      <c r="HO212" s="286"/>
      <c r="HP212" s="286"/>
      <c r="HQ212" s="286"/>
      <c r="HR212" s="286"/>
      <c r="HS212" s="286"/>
      <c r="HT212" s="286"/>
      <c r="HU212" s="286"/>
      <c r="HV212" s="286"/>
      <c r="HW212" s="286"/>
      <c r="HX212" s="286"/>
      <c r="HY212" s="286"/>
      <c r="HZ212" s="286"/>
      <c r="IA212" s="286"/>
      <c r="IB212" s="286"/>
      <c r="IC212" s="286"/>
      <c r="ID212" s="286"/>
      <c r="IE212" s="286"/>
      <c r="IF212" s="286"/>
      <c r="IG212" s="286"/>
      <c r="IH212" s="286"/>
      <c r="II212" s="286"/>
      <c r="IJ212" s="286"/>
      <c r="IK212" s="286"/>
      <c r="IL212" s="286"/>
      <c r="IM212" s="286"/>
      <c r="IN212" s="286"/>
      <c r="IO212" s="286"/>
      <c r="IP212" s="286"/>
      <c r="IQ212" s="286"/>
      <c r="IR212" s="286"/>
      <c r="IS212" s="286"/>
      <c r="IT212" s="286"/>
      <c r="IU212" s="286"/>
      <c r="IV212" s="286"/>
    </row>
    <row r="213" spans="1:256" s="279" customFormat="1">
      <c r="A213" s="286"/>
      <c r="B213" s="340"/>
      <c r="C213" s="340"/>
      <c r="D213" s="286"/>
      <c r="HA213" s="286"/>
      <c r="HB213" s="286"/>
      <c r="HC213" s="286"/>
      <c r="HD213" s="286"/>
      <c r="HE213" s="286"/>
      <c r="HF213" s="286"/>
      <c r="HG213" s="286"/>
      <c r="HH213" s="286"/>
      <c r="HI213" s="286"/>
      <c r="HJ213" s="286"/>
      <c r="HK213" s="286"/>
      <c r="HL213" s="286"/>
      <c r="HM213" s="286"/>
      <c r="HN213" s="286"/>
      <c r="HO213" s="286"/>
      <c r="HP213" s="286"/>
      <c r="HQ213" s="286"/>
      <c r="HR213" s="286"/>
      <c r="HS213" s="286"/>
      <c r="HT213" s="286"/>
      <c r="HU213" s="286"/>
      <c r="HV213" s="286"/>
      <c r="HW213" s="286"/>
      <c r="HX213" s="286"/>
      <c r="HY213" s="286"/>
      <c r="HZ213" s="286"/>
      <c r="IA213" s="286"/>
      <c r="IB213" s="286"/>
      <c r="IC213" s="286"/>
      <c r="ID213" s="286"/>
      <c r="IE213" s="286"/>
      <c r="IF213" s="286"/>
      <c r="IG213" s="286"/>
      <c r="IH213" s="286"/>
      <c r="II213" s="286"/>
      <c r="IJ213" s="286"/>
      <c r="IK213" s="286"/>
      <c r="IL213" s="286"/>
      <c r="IM213" s="286"/>
      <c r="IN213" s="286"/>
      <c r="IO213" s="286"/>
      <c r="IP213" s="286"/>
      <c r="IQ213" s="286"/>
      <c r="IR213" s="286"/>
      <c r="IS213" s="286"/>
      <c r="IT213" s="286"/>
      <c r="IU213" s="286"/>
      <c r="IV213" s="286"/>
    </row>
    <row r="214" spans="1:256" s="279" customFormat="1">
      <c r="A214" s="286"/>
      <c r="B214" s="340"/>
      <c r="C214" s="340"/>
      <c r="D214" s="286"/>
      <c r="HA214" s="286"/>
      <c r="HB214" s="286"/>
      <c r="HC214" s="286"/>
      <c r="HD214" s="286"/>
      <c r="HE214" s="286"/>
      <c r="HF214" s="286"/>
      <c r="HG214" s="286"/>
      <c r="HH214" s="286"/>
      <c r="HI214" s="286"/>
      <c r="HJ214" s="286"/>
      <c r="HK214" s="286"/>
      <c r="HL214" s="286"/>
      <c r="HM214" s="286"/>
      <c r="HN214" s="286"/>
      <c r="HO214" s="286"/>
      <c r="HP214" s="286"/>
      <c r="HQ214" s="286"/>
      <c r="HR214" s="286"/>
      <c r="HS214" s="286"/>
      <c r="HT214" s="286"/>
      <c r="HU214" s="286"/>
      <c r="HV214" s="286"/>
      <c r="HW214" s="286"/>
      <c r="HX214" s="286"/>
      <c r="HY214" s="286"/>
      <c r="HZ214" s="286"/>
      <c r="IA214" s="286"/>
      <c r="IB214" s="286"/>
      <c r="IC214" s="286"/>
      <c r="ID214" s="286"/>
      <c r="IE214" s="286"/>
      <c r="IF214" s="286"/>
      <c r="IG214" s="286"/>
      <c r="IH214" s="286"/>
      <c r="II214" s="286"/>
      <c r="IJ214" s="286"/>
      <c r="IK214" s="286"/>
      <c r="IL214" s="286"/>
      <c r="IM214" s="286"/>
      <c r="IN214" s="286"/>
      <c r="IO214" s="286"/>
      <c r="IP214" s="286"/>
      <c r="IQ214" s="286"/>
      <c r="IR214" s="286"/>
      <c r="IS214" s="286"/>
      <c r="IT214" s="286"/>
      <c r="IU214" s="286"/>
      <c r="IV214" s="286"/>
    </row>
    <row r="215" spans="1:256" s="279" customFormat="1">
      <c r="A215" s="286"/>
      <c r="B215" s="340"/>
      <c r="C215" s="340"/>
      <c r="D215" s="286"/>
      <c r="HA215" s="286"/>
      <c r="HB215" s="286"/>
      <c r="HC215" s="286"/>
      <c r="HD215" s="286"/>
      <c r="HE215" s="286"/>
      <c r="HF215" s="286"/>
      <c r="HG215" s="286"/>
      <c r="HH215" s="286"/>
      <c r="HI215" s="286"/>
      <c r="HJ215" s="286"/>
      <c r="HK215" s="286"/>
      <c r="HL215" s="286"/>
      <c r="HM215" s="286"/>
      <c r="HN215" s="286"/>
      <c r="HO215" s="286"/>
      <c r="HP215" s="286"/>
      <c r="HQ215" s="286"/>
      <c r="HR215" s="286"/>
      <c r="HS215" s="286"/>
      <c r="HT215" s="286"/>
      <c r="HU215" s="286"/>
      <c r="HV215" s="286"/>
      <c r="HW215" s="286"/>
      <c r="HX215" s="286"/>
      <c r="HY215" s="286"/>
      <c r="HZ215" s="286"/>
      <c r="IA215" s="286"/>
      <c r="IB215" s="286"/>
      <c r="IC215" s="286"/>
      <c r="ID215" s="286"/>
      <c r="IE215" s="286"/>
      <c r="IF215" s="286"/>
      <c r="IG215" s="286"/>
      <c r="IH215" s="286"/>
      <c r="II215" s="286"/>
      <c r="IJ215" s="286"/>
      <c r="IK215" s="286"/>
      <c r="IL215" s="286"/>
      <c r="IM215" s="286"/>
      <c r="IN215" s="286"/>
      <c r="IO215" s="286"/>
      <c r="IP215" s="286"/>
      <c r="IQ215" s="286"/>
      <c r="IR215" s="286"/>
      <c r="IS215" s="286"/>
      <c r="IT215" s="286"/>
      <c r="IU215" s="286"/>
      <c r="IV215" s="286"/>
    </row>
    <row r="216" spans="1:256" s="279" customFormat="1">
      <c r="A216" s="286"/>
      <c r="B216" s="340"/>
      <c r="C216" s="340"/>
      <c r="D216" s="286"/>
      <c r="HA216" s="286"/>
      <c r="HB216" s="286"/>
      <c r="HC216" s="286"/>
      <c r="HD216" s="286"/>
      <c r="HE216" s="286"/>
      <c r="HF216" s="286"/>
      <c r="HG216" s="286"/>
      <c r="HH216" s="286"/>
      <c r="HI216" s="286"/>
      <c r="HJ216" s="286"/>
      <c r="HK216" s="286"/>
      <c r="HL216" s="286"/>
      <c r="HM216" s="286"/>
      <c r="HN216" s="286"/>
      <c r="HO216" s="286"/>
      <c r="HP216" s="286"/>
      <c r="HQ216" s="286"/>
      <c r="HR216" s="286"/>
      <c r="HS216" s="286"/>
      <c r="HT216" s="286"/>
      <c r="HU216" s="286"/>
      <c r="HV216" s="286"/>
      <c r="HW216" s="286"/>
      <c r="HX216" s="286"/>
      <c r="HY216" s="286"/>
      <c r="HZ216" s="286"/>
      <c r="IA216" s="286"/>
      <c r="IB216" s="286"/>
      <c r="IC216" s="286"/>
      <c r="ID216" s="286"/>
      <c r="IE216" s="286"/>
      <c r="IF216" s="286"/>
      <c r="IG216" s="286"/>
      <c r="IH216" s="286"/>
      <c r="II216" s="286"/>
      <c r="IJ216" s="286"/>
      <c r="IK216" s="286"/>
      <c r="IL216" s="286"/>
      <c r="IM216" s="286"/>
      <c r="IN216" s="286"/>
      <c r="IO216" s="286"/>
      <c r="IP216" s="286"/>
      <c r="IQ216" s="286"/>
      <c r="IR216" s="286"/>
      <c r="IS216" s="286"/>
      <c r="IT216" s="286"/>
      <c r="IU216" s="286"/>
      <c r="IV216" s="286"/>
    </row>
    <row r="217" spans="1:256" s="279" customFormat="1">
      <c r="A217" s="286"/>
      <c r="B217" s="340"/>
      <c r="C217" s="340"/>
      <c r="D217" s="286"/>
      <c r="HA217" s="286"/>
      <c r="HB217" s="286"/>
      <c r="HC217" s="286"/>
      <c r="HD217" s="286"/>
      <c r="HE217" s="286"/>
      <c r="HF217" s="286"/>
      <c r="HG217" s="286"/>
      <c r="HH217" s="286"/>
      <c r="HI217" s="286"/>
      <c r="HJ217" s="286"/>
      <c r="HK217" s="286"/>
      <c r="HL217" s="286"/>
      <c r="HM217" s="286"/>
      <c r="HN217" s="286"/>
      <c r="HO217" s="286"/>
      <c r="HP217" s="286"/>
      <c r="HQ217" s="286"/>
      <c r="HR217" s="286"/>
      <c r="HS217" s="286"/>
      <c r="HT217" s="286"/>
      <c r="HU217" s="286"/>
      <c r="HV217" s="286"/>
      <c r="HW217" s="286"/>
      <c r="HX217" s="286"/>
      <c r="HY217" s="286"/>
      <c r="HZ217" s="286"/>
      <c r="IA217" s="286"/>
      <c r="IB217" s="286"/>
      <c r="IC217" s="286"/>
      <c r="ID217" s="286"/>
      <c r="IE217" s="286"/>
      <c r="IF217" s="286"/>
      <c r="IG217" s="286"/>
      <c r="IH217" s="286"/>
      <c r="II217" s="286"/>
      <c r="IJ217" s="286"/>
      <c r="IK217" s="286"/>
      <c r="IL217" s="286"/>
      <c r="IM217" s="286"/>
      <c r="IN217" s="286"/>
      <c r="IO217" s="286"/>
      <c r="IP217" s="286"/>
      <c r="IQ217" s="286"/>
      <c r="IR217" s="286"/>
      <c r="IS217" s="286"/>
      <c r="IT217" s="286"/>
      <c r="IU217" s="286"/>
      <c r="IV217" s="286"/>
    </row>
    <row r="218" spans="1:256" s="279" customFormat="1">
      <c r="A218" s="286"/>
      <c r="B218" s="340"/>
      <c r="C218" s="340"/>
      <c r="D218" s="286"/>
      <c r="HA218" s="286"/>
      <c r="HB218" s="286"/>
      <c r="HC218" s="286"/>
      <c r="HD218" s="286"/>
      <c r="HE218" s="286"/>
      <c r="HF218" s="286"/>
      <c r="HG218" s="286"/>
      <c r="HH218" s="286"/>
      <c r="HI218" s="286"/>
      <c r="HJ218" s="286"/>
      <c r="HK218" s="286"/>
      <c r="HL218" s="286"/>
      <c r="HM218" s="286"/>
      <c r="HN218" s="286"/>
      <c r="HO218" s="286"/>
      <c r="HP218" s="286"/>
      <c r="HQ218" s="286"/>
      <c r="HR218" s="286"/>
      <c r="HS218" s="286"/>
      <c r="HT218" s="286"/>
      <c r="HU218" s="286"/>
      <c r="HV218" s="286"/>
      <c r="HW218" s="286"/>
      <c r="HX218" s="286"/>
      <c r="HY218" s="286"/>
      <c r="HZ218" s="286"/>
      <c r="IA218" s="286"/>
      <c r="IB218" s="286"/>
      <c r="IC218" s="286"/>
      <c r="ID218" s="286"/>
      <c r="IE218" s="286"/>
      <c r="IF218" s="286"/>
      <c r="IG218" s="286"/>
      <c r="IH218" s="286"/>
      <c r="II218" s="286"/>
      <c r="IJ218" s="286"/>
      <c r="IK218" s="286"/>
      <c r="IL218" s="286"/>
      <c r="IM218" s="286"/>
      <c r="IN218" s="286"/>
      <c r="IO218" s="286"/>
      <c r="IP218" s="286"/>
      <c r="IQ218" s="286"/>
      <c r="IR218" s="286"/>
      <c r="IS218" s="286"/>
      <c r="IT218" s="286"/>
      <c r="IU218" s="286"/>
      <c r="IV218" s="286"/>
    </row>
    <row r="219" spans="1:256" s="279" customFormat="1">
      <c r="A219" s="286"/>
      <c r="B219" s="340"/>
      <c r="C219" s="340"/>
      <c r="D219" s="286"/>
      <c r="HA219" s="286"/>
      <c r="HB219" s="286"/>
      <c r="HC219" s="286"/>
      <c r="HD219" s="286"/>
      <c r="HE219" s="286"/>
      <c r="HF219" s="286"/>
      <c r="HG219" s="286"/>
      <c r="HH219" s="286"/>
      <c r="HI219" s="286"/>
      <c r="HJ219" s="286"/>
      <c r="HK219" s="286"/>
      <c r="HL219" s="286"/>
      <c r="HM219" s="286"/>
      <c r="HN219" s="286"/>
      <c r="HO219" s="286"/>
      <c r="HP219" s="286"/>
      <c r="HQ219" s="286"/>
      <c r="HR219" s="286"/>
      <c r="HS219" s="286"/>
      <c r="HT219" s="286"/>
      <c r="HU219" s="286"/>
      <c r="HV219" s="286"/>
      <c r="HW219" s="286"/>
      <c r="HX219" s="286"/>
      <c r="HY219" s="286"/>
      <c r="HZ219" s="286"/>
      <c r="IA219" s="286"/>
      <c r="IB219" s="286"/>
      <c r="IC219" s="286"/>
      <c r="ID219" s="286"/>
      <c r="IE219" s="286"/>
      <c r="IF219" s="286"/>
      <c r="IG219" s="286"/>
      <c r="IH219" s="286"/>
      <c r="II219" s="286"/>
      <c r="IJ219" s="286"/>
      <c r="IK219" s="286"/>
      <c r="IL219" s="286"/>
      <c r="IM219" s="286"/>
      <c r="IN219" s="286"/>
      <c r="IO219" s="286"/>
      <c r="IP219" s="286"/>
      <c r="IQ219" s="286"/>
      <c r="IR219" s="286"/>
      <c r="IS219" s="286"/>
      <c r="IT219" s="286"/>
      <c r="IU219" s="286"/>
      <c r="IV219" s="286"/>
    </row>
    <row r="220" spans="1:256" s="279" customFormat="1">
      <c r="A220" s="286"/>
      <c r="B220" s="340"/>
      <c r="C220" s="340"/>
      <c r="D220" s="286"/>
      <c r="HA220" s="286"/>
      <c r="HB220" s="286"/>
      <c r="HC220" s="286"/>
      <c r="HD220" s="286"/>
      <c r="HE220" s="286"/>
      <c r="HF220" s="286"/>
      <c r="HG220" s="286"/>
      <c r="HH220" s="286"/>
      <c r="HI220" s="286"/>
      <c r="HJ220" s="286"/>
      <c r="HK220" s="286"/>
      <c r="HL220" s="286"/>
      <c r="HM220" s="286"/>
      <c r="HN220" s="286"/>
      <c r="HO220" s="286"/>
      <c r="HP220" s="286"/>
      <c r="HQ220" s="286"/>
      <c r="HR220" s="286"/>
      <c r="HS220" s="286"/>
      <c r="HT220" s="286"/>
      <c r="HU220" s="286"/>
      <c r="HV220" s="286"/>
      <c r="HW220" s="286"/>
      <c r="HX220" s="286"/>
      <c r="HY220" s="286"/>
      <c r="HZ220" s="286"/>
      <c r="IA220" s="286"/>
      <c r="IB220" s="286"/>
      <c r="IC220" s="286"/>
      <c r="ID220" s="286"/>
      <c r="IE220" s="286"/>
      <c r="IF220" s="286"/>
      <c r="IG220" s="286"/>
      <c r="IH220" s="286"/>
      <c r="II220" s="286"/>
      <c r="IJ220" s="286"/>
      <c r="IK220" s="286"/>
      <c r="IL220" s="286"/>
      <c r="IM220" s="286"/>
      <c r="IN220" s="286"/>
      <c r="IO220" s="286"/>
      <c r="IP220" s="286"/>
      <c r="IQ220" s="286"/>
      <c r="IR220" s="286"/>
      <c r="IS220" s="286"/>
      <c r="IT220" s="286"/>
      <c r="IU220" s="286"/>
      <c r="IV220" s="286"/>
    </row>
    <row r="221" spans="1:256" s="279" customFormat="1">
      <c r="A221" s="286"/>
      <c r="B221" s="340"/>
      <c r="C221" s="340"/>
      <c r="D221" s="286"/>
      <c r="HA221" s="286"/>
      <c r="HB221" s="286"/>
      <c r="HC221" s="286"/>
      <c r="HD221" s="286"/>
      <c r="HE221" s="286"/>
      <c r="HF221" s="286"/>
      <c r="HG221" s="286"/>
      <c r="HH221" s="286"/>
      <c r="HI221" s="286"/>
      <c r="HJ221" s="286"/>
      <c r="HK221" s="286"/>
      <c r="HL221" s="286"/>
      <c r="HM221" s="286"/>
      <c r="HN221" s="286"/>
      <c r="HO221" s="286"/>
      <c r="HP221" s="286"/>
      <c r="HQ221" s="286"/>
      <c r="HR221" s="286"/>
      <c r="HS221" s="286"/>
      <c r="HT221" s="286"/>
      <c r="HU221" s="286"/>
      <c r="HV221" s="286"/>
      <c r="HW221" s="286"/>
      <c r="HX221" s="286"/>
      <c r="HY221" s="286"/>
      <c r="HZ221" s="286"/>
      <c r="IA221" s="286"/>
      <c r="IB221" s="286"/>
      <c r="IC221" s="286"/>
      <c r="ID221" s="286"/>
      <c r="IE221" s="286"/>
      <c r="IF221" s="286"/>
      <c r="IG221" s="286"/>
      <c r="IH221" s="286"/>
      <c r="II221" s="286"/>
      <c r="IJ221" s="286"/>
      <c r="IK221" s="286"/>
      <c r="IL221" s="286"/>
      <c r="IM221" s="286"/>
      <c r="IN221" s="286"/>
      <c r="IO221" s="286"/>
      <c r="IP221" s="286"/>
      <c r="IQ221" s="286"/>
      <c r="IR221" s="286"/>
      <c r="IS221" s="286"/>
      <c r="IT221" s="286"/>
      <c r="IU221" s="286"/>
      <c r="IV221" s="286"/>
    </row>
    <row r="222" spans="1:256" s="279" customFormat="1">
      <c r="A222" s="286"/>
      <c r="B222" s="340"/>
      <c r="C222" s="340"/>
      <c r="D222" s="286"/>
      <c r="HA222" s="286"/>
      <c r="HB222" s="286"/>
      <c r="HC222" s="286"/>
      <c r="HD222" s="286"/>
      <c r="HE222" s="286"/>
      <c r="HF222" s="286"/>
      <c r="HG222" s="286"/>
      <c r="HH222" s="286"/>
      <c r="HI222" s="286"/>
      <c r="HJ222" s="286"/>
      <c r="HK222" s="286"/>
      <c r="HL222" s="286"/>
      <c r="HM222" s="286"/>
      <c r="HN222" s="286"/>
      <c r="HO222" s="286"/>
      <c r="HP222" s="286"/>
      <c r="HQ222" s="286"/>
      <c r="HR222" s="286"/>
      <c r="HS222" s="286"/>
      <c r="HT222" s="286"/>
      <c r="HU222" s="286"/>
      <c r="HV222" s="286"/>
      <c r="HW222" s="286"/>
      <c r="HX222" s="286"/>
      <c r="HY222" s="286"/>
      <c r="HZ222" s="286"/>
      <c r="IA222" s="286"/>
      <c r="IB222" s="286"/>
      <c r="IC222" s="286"/>
      <c r="ID222" s="286"/>
      <c r="IE222" s="286"/>
      <c r="IF222" s="286"/>
      <c r="IG222" s="286"/>
      <c r="IH222" s="286"/>
      <c r="II222" s="286"/>
      <c r="IJ222" s="286"/>
      <c r="IK222" s="286"/>
      <c r="IL222" s="286"/>
      <c r="IM222" s="286"/>
      <c r="IN222" s="286"/>
      <c r="IO222" s="286"/>
      <c r="IP222" s="286"/>
      <c r="IQ222" s="286"/>
      <c r="IR222" s="286"/>
      <c r="IS222" s="286"/>
      <c r="IT222" s="286"/>
      <c r="IU222" s="286"/>
      <c r="IV222" s="286"/>
    </row>
    <row r="223" spans="1:256" s="279" customFormat="1">
      <c r="A223" s="286"/>
      <c r="B223" s="340"/>
      <c r="C223" s="340"/>
      <c r="D223" s="286"/>
      <c r="HA223" s="286"/>
      <c r="HB223" s="286"/>
      <c r="HC223" s="286"/>
      <c r="HD223" s="286"/>
      <c r="HE223" s="286"/>
      <c r="HF223" s="286"/>
      <c r="HG223" s="286"/>
      <c r="HH223" s="286"/>
      <c r="HI223" s="286"/>
      <c r="HJ223" s="286"/>
      <c r="HK223" s="286"/>
      <c r="HL223" s="286"/>
      <c r="HM223" s="286"/>
      <c r="HN223" s="286"/>
      <c r="HO223" s="286"/>
      <c r="HP223" s="286"/>
      <c r="HQ223" s="286"/>
      <c r="HR223" s="286"/>
      <c r="HS223" s="286"/>
      <c r="HT223" s="286"/>
      <c r="HU223" s="286"/>
      <c r="HV223" s="286"/>
      <c r="HW223" s="286"/>
      <c r="HX223" s="286"/>
      <c r="HY223" s="286"/>
      <c r="HZ223" s="286"/>
      <c r="IA223" s="286"/>
      <c r="IB223" s="286"/>
      <c r="IC223" s="286"/>
      <c r="ID223" s="286"/>
      <c r="IE223" s="286"/>
      <c r="IF223" s="286"/>
      <c r="IG223" s="286"/>
      <c r="IH223" s="286"/>
      <c r="II223" s="286"/>
      <c r="IJ223" s="286"/>
      <c r="IK223" s="286"/>
      <c r="IL223" s="286"/>
      <c r="IM223" s="286"/>
      <c r="IN223" s="286"/>
      <c r="IO223" s="286"/>
      <c r="IP223" s="286"/>
      <c r="IQ223" s="286"/>
      <c r="IR223" s="286"/>
      <c r="IS223" s="286"/>
      <c r="IT223" s="286"/>
      <c r="IU223" s="286"/>
      <c r="IV223" s="286"/>
    </row>
    <row r="224" spans="1:256" s="279" customFormat="1">
      <c r="A224" s="286"/>
      <c r="B224" s="340"/>
      <c r="C224" s="340"/>
      <c r="D224" s="286"/>
      <c r="HA224" s="286"/>
      <c r="HB224" s="286"/>
      <c r="HC224" s="286"/>
      <c r="HD224" s="286"/>
      <c r="HE224" s="286"/>
      <c r="HF224" s="286"/>
      <c r="HG224" s="286"/>
      <c r="HH224" s="286"/>
      <c r="HI224" s="286"/>
      <c r="HJ224" s="286"/>
      <c r="HK224" s="286"/>
      <c r="HL224" s="286"/>
      <c r="HM224" s="286"/>
      <c r="HN224" s="286"/>
      <c r="HO224" s="286"/>
      <c r="HP224" s="286"/>
      <c r="HQ224" s="286"/>
      <c r="HR224" s="286"/>
      <c r="HS224" s="286"/>
      <c r="HT224" s="286"/>
      <c r="HU224" s="286"/>
      <c r="HV224" s="286"/>
      <c r="HW224" s="286"/>
      <c r="HX224" s="286"/>
      <c r="HY224" s="286"/>
      <c r="HZ224" s="286"/>
      <c r="IA224" s="286"/>
      <c r="IB224" s="286"/>
      <c r="IC224" s="286"/>
      <c r="ID224" s="286"/>
      <c r="IE224" s="286"/>
      <c r="IF224" s="286"/>
      <c r="IG224" s="286"/>
      <c r="IH224" s="286"/>
      <c r="II224" s="286"/>
      <c r="IJ224" s="286"/>
      <c r="IK224" s="286"/>
      <c r="IL224" s="286"/>
      <c r="IM224" s="286"/>
      <c r="IN224" s="286"/>
      <c r="IO224" s="286"/>
      <c r="IP224" s="286"/>
      <c r="IQ224" s="286"/>
      <c r="IR224" s="286"/>
      <c r="IS224" s="286"/>
      <c r="IT224" s="286"/>
      <c r="IU224" s="286"/>
      <c r="IV224" s="286"/>
    </row>
    <row r="225" spans="1:256" s="279" customFormat="1">
      <c r="A225" s="286"/>
      <c r="B225" s="340"/>
      <c r="C225" s="340"/>
      <c r="D225" s="286"/>
      <c r="HA225" s="286"/>
      <c r="HB225" s="286"/>
      <c r="HC225" s="286"/>
      <c r="HD225" s="286"/>
      <c r="HE225" s="286"/>
      <c r="HF225" s="286"/>
      <c r="HG225" s="286"/>
      <c r="HH225" s="286"/>
      <c r="HI225" s="286"/>
      <c r="HJ225" s="286"/>
      <c r="HK225" s="286"/>
      <c r="HL225" s="286"/>
      <c r="HM225" s="286"/>
      <c r="HN225" s="286"/>
      <c r="HO225" s="286"/>
      <c r="HP225" s="286"/>
      <c r="HQ225" s="286"/>
      <c r="HR225" s="286"/>
      <c r="HS225" s="286"/>
      <c r="HT225" s="286"/>
      <c r="HU225" s="286"/>
      <c r="HV225" s="286"/>
      <c r="HW225" s="286"/>
      <c r="HX225" s="286"/>
      <c r="HY225" s="286"/>
      <c r="HZ225" s="286"/>
      <c r="IA225" s="286"/>
      <c r="IB225" s="286"/>
      <c r="IC225" s="286"/>
      <c r="ID225" s="286"/>
      <c r="IE225" s="286"/>
      <c r="IF225" s="286"/>
      <c r="IG225" s="286"/>
      <c r="IH225" s="286"/>
      <c r="II225" s="286"/>
      <c r="IJ225" s="286"/>
      <c r="IK225" s="286"/>
      <c r="IL225" s="286"/>
      <c r="IM225" s="286"/>
      <c r="IN225" s="286"/>
      <c r="IO225" s="286"/>
      <c r="IP225" s="286"/>
      <c r="IQ225" s="286"/>
      <c r="IR225" s="286"/>
      <c r="IS225" s="286"/>
      <c r="IT225" s="286"/>
      <c r="IU225" s="286"/>
      <c r="IV225" s="286"/>
    </row>
    <row r="226" spans="1:256" s="279" customFormat="1">
      <c r="A226" s="286"/>
      <c r="B226" s="340"/>
      <c r="C226" s="340"/>
      <c r="D226" s="286"/>
      <c r="HA226" s="286"/>
      <c r="HB226" s="286"/>
      <c r="HC226" s="286"/>
      <c r="HD226" s="286"/>
      <c r="HE226" s="286"/>
      <c r="HF226" s="286"/>
      <c r="HG226" s="286"/>
      <c r="HH226" s="286"/>
      <c r="HI226" s="286"/>
      <c r="HJ226" s="286"/>
      <c r="HK226" s="286"/>
      <c r="HL226" s="286"/>
      <c r="HM226" s="286"/>
      <c r="HN226" s="286"/>
      <c r="HO226" s="286"/>
      <c r="HP226" s="286"/>
      <c r="HQ226" s="286"/>
      <c r="HR226" s="286"/>
      <c r="HS226" s="286"/>
      <c r="HT226" s="286"/>
      <c r="HU226" s="286"/>
      <c r="HV226" s="286"/>
      <c r="HW226" s="286"/>
      <c r="HX226" s="286"/>
      <c r="HY226" s="286"/>
      <c r="HZ226" s="286"/>
      <c r="IA226" s="286"/>
      <c r="IB226" s="286"/>
      <c r="IC226" s="286"/>
      <c r="ID226" s="286"/>
      <c r="IE226" s="286"/>
      <c r="IF226" s="286"/>
      <c r="IG226" s="286"/>
      <c r="IH226" s="286"/>
      <c r="II226" s="286"/>
      <c r="IJ226" s="286"/>
      <c r="IK226" s="286"/>
      <c r="IL226" s="286"/>
      <c r="IM226" s="286"/>
      <c r="IN226" s="286"/>
      <c r="IO226" s="286"/>
      <c r="IP226" s="286"/>
      <c r="IQ226" s="286"/>
      <c r="IR226" s="286"/>
      <c r="IS226" s="286"/>
      <c r="IT226" s="286"/>
      <c r="IU226" s="286"/>
      <c r="IV226" s="286"/>
    </row>
    <row r="227" spans="1:256" s="279" customFormat="1">
      <c r="A227" s="286"/>
      <c r="B227" s="340"/>
      <c r="C227" s="340"/>
      <c r="D227" s="286"/>
      <c r="HA227" s="286"/>
      <c r="HB227" s="286"/>
      <c r="HC227" s="286"/>
      <c r="HD227" s="286"/>
      <c r="HE227" s="286"/>
      <c r="HF227" s="286"/>
      <c r="HG227" s="286"/>
      <c r="HH227" s="286"/>
      <c r="HI227" s="286"/>
      <c r="HJ227" s="286"/>
      <c r="HK227" s="286"/>
      <c r="HL227" s="286"/>
      <c r="HM227" s="286"/>
      <c r="HN227" s="286"/>
      <c r="HO227" s="286"/>
      <c r="HP227" s="286"/>
      <c r="HQ227" s="286"/>
      <c r="HR227" s="286"/>
      <c r="HS227" s="286"/>
      <c r="HT227" s="286"/>
      <c r="HU227" s="286"/>
      <c r="HV227" s="286"/>
      <c r="HW227" s="286"/>
      <c r="HX227" s="286"/>
      <c r="HY227" s="286"/>
      <c r="HZ227" s="286"/>
      <c r="IA227" s="286"/>
      <c r="IB227" s="286"/>
      <c r="IC227" s="286"/>
      <c r="ID227" s="286"/>
      <c r="IE227" s="286"/>
      <c r="IF227" s="286"/>
      <c r="IG227" s="286"/>
      <c r="IH227" s="286"/>
      <c r="II227" s="286"/>
      <c r="IJ227" s="286"/>
      <c r="IK227" s="286"/>
      <c r="IL227" s="286"/>
      <c r="IM227" s="286"/>
      <c r="IN227" s="286"/>
      <c r="IO227" s="286"/>
      <c r="IP227" s="286"/>
      <c r="IQ227" s="286"/>
      <c r="IR227" s="286"/>
      <c r="IS227" s="286"/>
      <c r="IT227" s="286"/>
      <c r="IU227" s="286"/>
      <c r="IV227" s="286"/>
    </row>
    <row r="228" spans="1:256" s="279" customFormat="1">
      <c r="A228" s="286"/>
      <c r="B228" s="340"/>
      <c r="C228" s="340"/>
      <c r="D228" s="286"/>
      <c r="HA228" s="286"/>
      <c r="HB228" s="286"/>
      <c r="HC228" s="286"/>
      <c r="HD228" s="286"/>
      <c r="HE228" s="286"/>
      <c r="HF228" s="286"/>
      <c r="HG228" s="286"/>
      <c r="HH228" s="286"/>
      <c r="HI228" s="286"/>
      <c r="HJ228" s="286"/>
      <c r="HK228" s="286"/>
      <c r="HL228" s="286"/>
      <c r="HM228" s="286"/>
      <c r="HN228" s="286"/>
      <c r="HO228" s="286"/>
      <c r="HP228" s="286"/>
      <c r="HQ228" s="286"/>
      <c r="HR228" s="286"/>
      <c r="HS228" s="286"/>
      <c r="HT228" s="286"/>
      <c r="HU228" s="286"/>
      <c r="HV228" s="286"/>
      <c r="HW228" s="286"/>
      <c r="HX228" s="286"/>
      <c r="HY228" s="286"/>
      <c r="HZ228" s="286"/>
      <c r="IA228" s="286"/>
      <c r="IB228" s="286"/>
      <c r="IC228" s="286"/>
      <c r="ID228" s="286"/>
      <c r="IE228" s="286"/>
      <c r="IF228" s="286"/>
      <c r="IG228" s="286"/>
      <c r="IH228" s="286"/>
      <c r="II228" s="286"/>
      <c r="IJ228" s="286"/>
      <c r="IK228" s="286"/>
      <c r="IL228" s="286"/>
      <c r="IM228" s="286"/>
      <c r="IN228" s="286"/>
      <c r="IO228" s="286"/>
      <c r="IP228" s="286"/>
      <c r="IQ228" s="286"/>
      <c r="IR228" s="286"/>
      <c r="IS228" s="286"/>
      <c r="IT228" s="286"/>
      <c r="IU228" s="286"/>
      <c r="IV228" s="286"/>
    </row>
    <row r="229" spans="1:256" s="279" customFormat="1">
      <c r="A229" s="286"/>
      <c r="B229" s="340"/>
      <c r="C229" s="340"/>
      <c r="D229" s="286"/>
      <c r="HA229" s="286"/>
      <c r="HB229" s="286"/>
      <c r="HC229" s="286"/>
      <c r="HD229" s="286"/>
      <c r="HE229" s="286"/>
      <c r="HF229" s="286"/>
      <c r="HG229" s="286"/>
      <c r="HH229" s="286"/>
      <c r="HI229" s="286"/>
      <c r="HJ229" s="286"/>
      <c r="HK229" s="286"/>
      <c r="HL229" s="286"/>
      <c r="HM229" s="286"/>
      <c r="HN229" s="286"/>
      <c r="HO229" s="286"/>
      <c r="HP229" s="286"/>
      <c r="HQ229" s="286"/>
      <c r="HR229" s="286"/>
      <c r="HS229" s="286"/>
      <c r="HT229" s="286"/>
      <c r="HU229" s="286"/>
      <c r="HV229" s="286"/>
      <c r="HW229" s="286"/>
      <c r="HX229" s="286"/>
      <c r="HY229" s="286"/>
      <c r="HZ229" s="286"/>
      <c r="IA229" s="286"/>
      <c r="IB229" s="286"/>
      <c r="IC229" s="286"/>
      <c r="ID229" s="286"/>
      <c r="IE229" s="286"/>
      <c r="IF229" s="286"/>
      <c r="IG229" s="286"/>
      <c r="IH229" s="286"/>
      <c r="II229" s="286"/>
      <c r="IJ229" s="286"/>
      <c r="IK229" s="286"/>
      <c r="IL229" s="286"/>
      <c r="IM229" s="286"/>
      <c r="IN229" s="286"/>
      <c r="IO229" s="286"/>
      <c r="IP229" s="286"/>
      <c r="IQ229" s="286"/>
      <c r="IR229" s="286"/>
      <c r="IS229" s="286"/>
      <c r="IT229" s="286"/>
      <c r="IU229" s="286"/>
      <c r="IV229" s="286"/>
    </row>
    <row r="230" spans="1:256" s="279" customFormat="1">
      <c r="A230" s="286"/>
      <c r="B230" s="340"/>
      <c r="C230" s="340"/>
      <c r="D230" s="286"/>
      <c r="HA230" s="286"/>
      <c r="HB230" s="286"/>
      <c r="HC230" s="286"/>
      <c r="HD230" s="286"/>
      <c r="HE230" s="286"/>
      <c r="HF230" s="286"/>
      <c r="HG230" s="286"/>
      <c r="HH230" s="286"/>
      <c r="HI230" s="286"/>
      <c r="HJ230" s="286"/>
      <c r="HK230" s="286"/>
      <c r="HL230" s="286"/>
      <c r="HM230" s="286"/>
      <c r="HN230" s="286"/>
      <c r="HO230" s="286"/>
      <c r="HP230" s="286"/>
      <c r="HQ230" s="286"/>
      <c r="HR230" s="286"/>
      <c r="HS230" s="286"/>
      <c r="HT230" s="286"/>
      <c r="HU230" s="286"/>
      <c r="HV230" s="286"/>
      <c r="HW230" s="286"/>
      <c r="HX230" s="286"/>
      <c r="HY230" s="286"/>
      <c r="HZ230" s="286"/>
      <c r="IA230" s="286"/>
      <c r="IB230" s="286"/>
      <c r="IC230" s="286"/>
      <c r="ID230" s="286"/>
      <c r="IE230" s="286"/>
      <c r="IF230" s="286"/>
      <c r="IG230" s="286"/>
      <c r="IH230" s="286"/>
      <c r="II230" s="286"/>
      <c r="IJ230" s="286"/>
      <c r="IK230" s="286"/>
      <c r="IL230" s="286"/>
      <c r="IM230" s="286"/>
      <c r="IN230" s="286"/>
      <c r="IO230" s="286"/>
      <c r="IP230" s="286"/>
      <c r="IQ230" s="286"/>
      <c r="IR230" s="286"/>
      <c r="IS230" s="286"/>
      <c r="IT230" s="286"/>
      <c r="IU230" s="286"/>
      <c r="IV230" s="286"/>
    </row>
    <row r="231" spans="1:256" s="279" customFormat="1">
      <c r="A231" s="286"/>
      <c r="B231" s="340"/>
      <c r="C231" s="340"/>
      <c r="D231" s="286"/>
      <c r="HA231" s="286"/>
      <c r="HB231" s="286"/>
      <c r="HC231" s="286"/>
      <c r="HD231" s="286"/>
      <c r="HE231" s="286"/>
      <c r="HF231" s="286"/>
      <c r="HG231" s="286"/>
      <c r="HH231" s="286"/>
      <c r="HI231" s="286"/>
      <c r="HJ231" s="286"/>
      <c r="HK231" s="286"/>
      <c r="HL231" s="286"/>
      <c r="HM231" s="286"/>
      <c r="HN231" s="286"/>
      <c r="HO231" s="286"/>
      <c r="HP231" s="286"/>
      <c r="HQ231" s="286"/>
      <c r="HR231" s="286"/>
      <c r="HS231" s="286"/>
      <c r="HT231" s="286"/>
      <c r="HU231" s="286"/>
      <c r="HV231" s="286"/>
      <c r="HW231" s="286"/>
      <c r="HX231" s="286"/>
      <c r="HY231" s="286"/>
      <c r="HZ231" s="286"/>
      <c r="IA231" s="286"/>
      <c r="IB231" s="286"/>
      <c r="IC231" s="286"/>
      <c r="ID231" s="286"/>
      <c r="IE231" s="286"/>
      <c r="IF231" s="286"/>
      <c r="IG231" s="286"/>
      <c r="IH231" s="286"/>
      <c r="II231" s="286"/>
      <c r="IJ231" s="286"/>
      <c r="IK231" s="286"/>
      <c r="IL231" s="286"/>
      <c r="IM231" s="286"/>
      <c r="IN231" s="286"/>
      <c r="IO231" s="286"/>
      <c r="IP231" s="286"/>
      <c r="IQ231" s="286"/>
      <c r="IR231" s="286"/>
      <c r="IS231" s="286"/>
      <c r="IT231" s="286"/>
      <c r="IU231" s="286"/>
      <c r="IV231" s="286"/>
    </row>
    <row r="232" spans="1:256" s="279" customFormat="1">
      <c r="A232" s="286"/>
      <c r="B232" s="340"/>
      <c r="C232" s="340"/>
      <c r="D232" s="286"/>
      <c r="HA232" s="286"/>
      <c r="HB232" s="286"/>
      <c r="HC232" s="286"/>
      <c r="HD232" s="286"/>
      <c r="HE232" s="286"/>
      <c r="HF232" s="286"/>
      <c r="HG232" s="286"/>
      <c r="HH232" s="286"/>
      <c r="HI232" s="286"/>
      <c r="HJ232" s="286"/>
      <c r="HK232" s="286"/>
      <c r="HL232" s="286"/>
      <c r="HM232" s="286"/>
      <c r="HN232" s="286"/>
      <c r="HO232" s="286"/>
      <c r="HP232" s="286"/>
      <c r="HQ232" s="286"/>
      <c r="HR232" s="286"/>
      <c r="HS232" s="286"/>
      <c r="HT232" s="286"/>
      <c r="HU232" s="286"/>
      <c r="HV232" s="286"/>
      <c r="HW232" s="286"/>
      <c r="HX232" s="286"/>
      <c r="HY232" s="286"/>
      <c r="HZ232" s="286"/>
      <c r="IA232" s="286"/>
      <c r="IB232" s="286"/>
      <c r="IC232" s="286"/>
      <c r="ID232" s="286"/>
      <c r="IE232" s="286"/>
      <c r="IF232" s="286"/>
      <c r="IG232" s="286"/>
      <c r="IH232" s="286"/>
      <c r="II232" s="286"/>
      <c r="IJ232" s="286"/>
      <c r="IK232" s="286"/>
      <c r="IL232" s="286"/>
      <c r="IM232" s="286"/>
      <c r="IN232" s="286"/>
      <c r="IO232" s="286"/>
      <c r="IP232" s="286"/>
      <c r="IQ232" s="286"/>
      <c r="IR232" s="286"/>
      <c r="IS232" s="286"/>
      <c r="IT232" s="286"/>
      <c r="IU232" s="286"/>
      <c r="IV232" s="286"/>
    </row>
    <row r="233" spans="1:256" s="279" customFormat="1">
      <c r="A233" s="286"/>
      <c r="B233" s="340"/>
      <c r="C233" s="340"/>
      <c r="D233" s="286"/>
      <c r="HA233" s="286"/>
      <c r="HB233" s="286"/>
      <c r="HC233" s="286"/>
      <c r="HD233" s="286"/>
      <c r="HE233" s="286"/>
      <c r="HF233" s="286"/>
      <c r="HG233" s="286"/>
      <c r="HH233" s="286"/>
      <c r="HI233" s="286"/>
      <c r="HJ233" s="286"/>
      <c r="HK233" s="286"/>
      <c r="HL233" s="286"/>
      <c r="HM233" s="286"/>
      <c r="HN233" s="286"/>
      <c r="HO233" s="286"/>
      <c r="HP233" s="286"/>
      <c r="HQ233" s="286"/>
      <c r="HR233" s="286"/>
      <c r="HS233" s="286"/>
      <c r="HT233" s="286"/>
      <c r="HU233" s="286"/>
      <c r="HV233" s="286"/>
      <c r="HW233" s="286"/>
      <c r="HX233" s="286"/>
      <c r="HY233" s="286"/>
      <c r="HZ233" s="286"/>
      <c r="IA233" s="286"/>
      <c r="IB233" s="286"/>
      <c r="IC233" s="286"/>
      <c r="ID233" s="286"/>
      <c r="IE233" s="286"/>
      <c r="IF233" s="286"/>
      <c r="IG233" s="286"/>
      <c r="IH233" s="286"/>
      <c r="II233" s="286"/>
      <c r="IJ233" s="286"/>
      <c r="IK233" s="286"/>
      <c r="IL233" s="286"/>
      <c r="IM233" s="286"/>
      <c r="IN233" s="286"/>
      <c r="IO233" s="286"/>
      <c r="IP233" s="286"/>
      <c r="IQ233" s="286"/>
      <c r="IR233" s="286"/>
      <c r="IS233" s="286"/>
      <c r="IT233" s="286"/>
      <c r="IU233" s="286"/>
      <c r="IV233" s="286"/>
    </row>
    <row r="234" spans="1:256" s="279" customFormat="1">
      <c r="A234" s="286"/>
      <c r="B234" s="340"/>
      <c r="C234" s="340"/>
      <c r="D234" s="286"/>
      <c r="HA234" s="286"/>
      <c r="HB234" s="286"/>
      <c r="HC234" s="286"/>
      <c r="HD234" s="286"/>
      <c r="HE234" s="286"/>
      <c r="HF234" s="286"/>
      <c r="HG234" s="286"/>
      <c r="HH234" s="286"/>
      <c r="HI234" s="286"/>
      <c r="HJ234" s="286"/>
      <c r="HK234" s="286"/>
      <c r="HL234" s="286"/>
      <c r="HM234" s="286"/>
      <c r="HN234" s="286"/>
      <c r="HO234" s="286"/>
      <c r="HP234" s="286"/>
      <c r="HQ234" s="286"/>
      <c r="HR234" s="286"/>
      <c r="HS234" s="286"/>
      <c r="HT234" s="286"/>
      <c r="HU234" s="286"/>
      <c r="HV234" s="286"/>
      <c r="HW234" s="286"/>
      <c r="HX234" s="286"/>
      <c r="HY234" s="286"/>
      <c r="HZ234" s="286"/>
      <c r="IA234" s="286"/>
      <c r="IB234" s="286"/>
      <c r="IC234" s="286"/>
      <c r="ID234" s="286"/>
      <c r="IE234" s="286"/>
      <c r="IF234" s="286"/>
      <c r="IG234" s="286"/>
      <c r="IH234" s="286"/>
      <c r="II234" s="286"/>
      <c r="IJ234" s="286"/>
      <c r="IK234" s="286"/>
      <c r="IL234" s="286"/>
      <c r="IM234" s="286"/>
      <c r="IN234" s="286"/>
      <c r="IO234" s="286"/>
      <c r="IP234" s="286"/>
      <c r="IQ234" s="286"/>
      <c r="IR234" s="286"/>
      <c r="IS234" s="286"/>
      <c r="IT234" s="286"/>
      <c r="IU234" s="286"/>
      <c r="IV234" s="286"/>
    </row>
    <row r="235" spans="1:256" s="279" customFormat="1">
      <c r="A235" s="286"/>
      <c r="B235" s="340"/>
      <c r="C235" s="340"/>
      <c r="D235" s="286"/>
      <c r="HA235" s="286"/>
      <c r="HB235" s="286"/>
      <c r="HC235" s="286"/>
      <c r="HD235" s="286"/>
      <c r="HE235" s="286"/>
      <c r="HF235" s="286"/>
      <c r="HG235" s="286"/>
      <c r="HH235" s="286"/>
      <c r="HI235" s="286"/>
      <c r="HJ235" s="286"/>
      <c r="HK235" s="286"/>
      <c r="HL235" s="286"/>
      <c r="HM235" s="286"/>
      <c r="HN235" s="286"/>
      <c r="HO235" s="286"/>
      <c r="HP235" s="286"/>
      <c r="HQ235" s="286"/>
      <c r="HR235" s="286"/>
      <c r="HS235" s="286"/>
      <c r="HT235" s="286"/>
      <c r="HU235" s="286"/>
      <c r="HV235" s="286"/>
      <c r="HW235" s="286"/>
      <c r="HX235" s="286"/>
      <c r="HY235" s="286"/>
      <c r="HZ235" s="286"/>
      <c r="IA235" s="286"/>
      <c r="IB235" s="286"/>
      <c r="IC235" s="286"/>
      <c r="ID235" s="286"/>
      <c r="IE235" s="286"/>
      <c r="IF235" s="286"/>
      <c r="IG235" s="286"/>
      <c r="IH235" s="286"/>
      <c r="II235" s="286"/>
      <c r="IJ235" s="286"/>
      <c r="IK235" s="286"/>
      <c r="IL235" s="286"/>
      <c r="IM235" s="286"/>
      <c r="IN235" s="286"/>
      <c r="IO235" s="286"/>
      <c r="IP235" s="286"/>
      <c r="IQ235" s="286"/>
      <c r="IR235" s="286"/>
      <c r="IS235" s="286"/>
      <c r="IT235" s="286"/>
      <c r="IU235" s="286"/>
      <c r="IV235" s="286"/>
    </row>
    <row r="236" spans="1:256" s="279" customFormat="1">
      <c r="A236" s="286"/>
      <c r="B236" s="340"/>
      <c r="C236" s="340"/>
      <c r="D236" s="286"/>
      <c r="HA236" s="286"/>
      <c r="HB236" s="286"/>
      <c r="HC236" s="286"/>
      <c r="HD236" s="286"/>
      <c r="HE236" s="286"/>
      <c r="HF236" s="286"/>
      <c r="HG236" s="286"/>
      <c r="HH236" s="286"/>
      <c r="HI236" s="286"/>
      <c r="HJ236" s="286"/>
      <c r="HK236" s="286"/>
      <c r="HL236" s="286"/>
      <c r="HM236" s="286"/>
      <c r="HN236" s="286"/>
      <c r="HO236" s="286"/>
      <c r="HP236" s="286"/>
      <c r="HQ236" s="286"/>
      <c r="HR236" s="286"/>
      <c r="HS236" s="286"/>
      <c r="HT236" s="286"/>
      <c r="HU236" s="286"/>
      <c r="HV236" s="286"/>
      <c r="HW236" s="286"/>
      <c r="HX236" s="286"/>
      <c r="HY236" s="286"/>
      <c r="HZ236" s="286"/>
      <c r="IA236" s="286"/>
      <c r="IB236" s="286"/>
      <c r="IC236" s="286"/>
      <c r="ID236" s="286"/>
      <c r="IE236" s="286"/>
      <c r="IF236" s="286"/>
      <c r="IG236" s="286"/>
      <c r="IH236" s="286"/>
      <c r="II236" s="286"/>
      <c r="IJ236" s="286"/>
      <c r="IK236" s="286"/>
      <c r="IL236" s="286"/>
      <c r="IM236" s="286"/>
      <c r="IN236" s="286"/>
      <c r="IO236" s="286"/>
      <c r="IP236" s="286"/>
      <c r="IQ236" s="286"/>
      <c r="IR236" s="286"/>
      <c r="IS236" s="286"/>
      <c r="IT236" s="286"/>
      <c r="IU236" s="286"/>
      <c r="IV236" s="286"/>
    </row>
    <row r="237" spans="1:256" s="279" customFormat="1">
      <c r="A237" s="286"/>
      <c r="B237" s="340"/>
      <c r="C237" s="340"/>
      <c r="D237" s="286"/>
      <c r="HA237" s="286"/>
      <c r="HB237" s="286"/>
      <c r="HC237" s="286"/>
      <c r="HD237" s="286"/>
      <c r="HE237" s="286"/>
      <c r="HF237" s="286"/>
      <c r="HG237" s="286"/>
      <c r="HH237" s="286"/>
      <c r="HI237" s="286"/>
      <c r="HJ237" s="286"/>
      <c r="HK237" s="286"/>
      <c r="HL237" s="286"/>
      <c r="HM237" s="286"/>
      <c r="HN237" s="286"/>
      <c r="HO237" s="286"/>
      <c r="HP237" s="286"/>
      <c r="HQ237" s="286"/>
      <c r="HR237" s="286"/>
      <c r="HS237" s="286"/>
      <c r="HT237" s="286"/>
      <c r="HU237" s="286"/>
      <c r="HV237" s="286"/>
      <c r="HW237" s="286"/>
      <c r="HX237" s="286"/>
      <c r="HY237" s="286"/>
      <c r="HZ237" s="286"/>
      <c r="IA237" s="286"/>
      <c r="IB237" s="286"/>
      <c r="IC237" s="286"/>
      <c r="ID237" s="286"/>
      <c r="IE237" s="286"/>
      <c r="IF237" s="286"/>
      <c r="IG237" s="286"/>
      <c r="IH237" s="286"/>
      <c r="II237" s="286"/>
      <c r="IJ237" s="286"/>
      <c r="IK237" s="286"/>
      <c r="IL237" s="286"/>
      <c r="IM237" s="286"/>
      <c r="IN237" s="286"/>
      <c r="IO237" s="286"/>
      <c r="IP237" s="286"/>
      <c r="IQ237" s="286"/>
      <c r="IR237" s="286"/>
      <c r="IS237" s="286"/>
      <c r="IT237" s="286"/>
      <c r="IU237" s="286"/>
      <c r="IV237" s="286"/>
    </row>
    <row r="238" spans="1:256" s="279" customFormat="1">
      <c r="A238" s="286"/>
      <c r="B238" s="340"/>
      <c r="C238" s="340"/>
      <c r="D238" s="286"/>
      <c r="HA238" s="286"/>
      <c r="HB238" s="286"/>
      <c r="HC238" s="286"/>
      <c r="HD238" s="286"/>
      <c r="HE238" s="286"/>
      <c r="HF238" s="286"/>
      <c r="HG238" s="286"/>
      <c r="HH238" s="286"/>
      <c r="HI238" s="286"/>
      <c r="HJ238" s="286"/>
      <c r="HK238" s="286"/>
      <c r="HL238" s="286"/>
      <c r="HM238" s="286"/>
      <c r="HN238" s="286"/>
      <c r="HO238" s="286"/>
      <c r="HP238" s="286"/>
      <c r="HQ238" s="286"/>
      <c r="HR238" s="286"/>
      <c r="HS238" s="286"/>
      <c r="HT238" s="286"/>
      <c r="HU238" s="286"/>
      <c r="HV238" s="286"/>
      <c r="HW238" s="286"/>
      <c r="HX238" s="286"/>
      <c r="HY238" s="286"/>
      <c r="HZ238" s="286"/>
      <c r="IA238" s="286"/>
      <c r="IB238" s="286"/>
      <c r="IC238" s="286"/>
      <c r="ID238" s="286"/>
      <c r="IE238" s="286"/>
      <c r="IF238" s="286"/>
      <c r="IG238" s="286"/>
      <c r="IH238" s="286"/>
      <c r="II238" s="286"/>
      <c r="IJ238" s="286"/>
      <c r="IK238" s="286"/>
      <c r="IL238" s="286"/>
      <c r="IM238" s="286"/>
      <c r="IN238" s="286"/>
      <c r="IO238" s="286"/>
      <c r="IP238" s="286"/>
      <c r="IQ238" s="286"/>
      <c r="IR238" s="286"/>
      <c r="IS238" s="286"/>
      <c r="IT238" s="286"/>
      <c r="IU238" s="286"/>
      <c r="IV238" s="286"/>
    </row>
    <row r="239" spans="1:256" s="279" customFormat="1">
      <c r="A239" s="286"/>
      <c r="B239" s="340"/>
      <c r="C239" s="340"/>
      <c r="D239" s="286"/>
      <c r="HA239" s="286"/>
      <c r="HB239" s="286"/>
      <c r="HC239" s="286"/>
      <c r="HD239" s="286"/>
      <c r="HE239" s="286"/>
      <c r="HF239" s="286"/>
      <c r="HG239" s="286"/>
      <c r="HH239" s="286"/>
      <c r="HI239" s="286"/>
      <c r="HJ239" s="286"/>
      <c r="HK239" s="286"/>
      <c r="HL239" s="286"/>
      <c r="HM239" s="286"/>
      <c r="HN239" s="286"/>
      <c r="HO239" s="286"/>
      <c r="HP239" s="286"/>
      <c r="HQ239" s="286"/>
      <c r="HR239" s="286"/>
      <c r="HS239" s="286"/>
      <c r="HT239" s="286"/>
      <c r="HU239" s="286"/>
      <c r="HV239" s="286"/>
      <c r="HW239" s="286"/>
      <c r="HX239" s="286"/>
      <c r="HY239" s="286"/>
      <c r="HZ239" s="286"/>
      <c r="IA239" s="286"/>
      <c r="IB239" s="286"/>
      <c r="IC239" s="286"/>
      <c r="ID239" s="286"/>
      <c r="IE239" s="286"/>
      <c r="IF239" s="286"/>
      <c r="IG239" s="286"/>
      <c r="IH239" s="286"/>
      <c r="II239" s="286"/>
      <c r="IJ239" s="286"/>
      <c r="IK239" s="286"/>
      <c r="IL239" s="286"/>
      <c r="IM239" s="286"/>
      <c r="IN239" s="286"/>
      <c r="IO239" s="286"/>
      <c r="IP239" s="286"/>
      <c r="IQ239" s="286"/>
      <c r="IR239" s="286"/>
      <c r="IS239" s="286"/>
      <c r="IT239" s="286"/>
      <c r="IU239" s="286"/>
      <c r="IV239" s="286"/>
    </row>
    <row r="240" spans="1:256" s="279" customFormat="1">
      <c r="A240" s="286"/>
      <c r="B240" s="340"/>
      <c r="C240" s="340"/>
      <c r="D240" s="286"/>
      <c r="HA240" s="286"/>
      <c r="HB240" s="286"/>
      <c r="HC240" s="286"/>
      <c r="HD240" s="286"/>
      <c r="HE240" s="286"/>
      <c r="HF240" s="286"/>
      <c r="HG240" s="286"/>
      <c r="HH240" s="286"/>
      <c r="HI240" s="286"/>
      <c r="HJ240" s="286"/>
      <c r="HK240" s="286"/>
      <c r="HL240" s="286"/>
      <c r="HM240" s="286"/>
      <c r="HN240" s="286"/>
      <c r="HO240" s="286"/>
      <c r="HP240" s="286"/>
      <c r="HQ240" s="286"/>
      <c r="HR240" s="286"/>
      <c r="HS240" s="286"/>
      <c r="HT240" s="286"/>
      <c r="HU240" s="286"/>
      <c r="HV240" s="286"/>
      <c r="HW240" s="286"/>
      <c r="HX240" s="286"/>
      <c r="HY240" s="286"/>
      <c r="HZ240" s="286"/>
      <c r="IA240" s="286"/>
      <c r="IB240" s="286"/>
      <c r="IC240" s="286"/>
      <c r="ID240" s="286"/>
      <c r="IE240" s="286"/>
      <c r="IF240" s="286"/>
      <c r="IG240" s="286"/>
      <c r="IH240" s="286"/>
      <c r="II240" s="286"/>
      <c r="IJ240" s="286"/>
      <c r="IK240" s="286"/>
      <c r="IL240" s="286"/>
      <c r="IM240" s="286"/>
      <c r="IN240" s="286"/>
      <c r="IO240" s="286"/>
      <c r="IP240" s="286"/>
      <c r="IQ240" s="286"/>
      <c r="IR240" s="286"/>
      <c r="IS240" s="286"/>
      <c r="IT240" s="286"/>
      <c r="IU240" s="286"/>
      <c r="IV240" s="286"/>
    </row>
    <row r="241" spans="1:256" s="279" customFormat="1">
      <c r="A241" s="286"/>
      <c r="B241" s="340"/>
      <c r="C241" s="340"/>
      <c r="D241" s="286"/>
      <c r="HA241" s="286"/>
      <c r="HB241" s="286"/>
      <c r="HC241" s="286"/>
      <c r="HD241" s="286"/>
      <c r="HE241" s="286"/>
      <c r="HF241" s="286"/>
      <c r="HG241" s="286"/>
      <c r="HH241" s="286"/>
      <c r="HI241" s="286"/>
      <c r="HJ241" s="286"/>
      <c r="HK241" s="286"/>
      <c r="HL241" s="286"/>
      <c r="HM241" s="286"/>
      <c r="HN241" s="286"/>
      <c r="HO241" s="286"/>
      <c r="HP241" s="286"/>
      <c r="HQ241" s="286"/>
      <c r="HR241" s="286"/>
      <c r="HS241" s="286"/>
      <c r="HT241" s="286"/>
      <c r="HU241" s="286"/>
      <c r="HV241" s="286"/>
      <c r="HW241" s="286"/>
      <c r="HX241" s="286"/>
      <c r="HY241" s="286"/>
      <c r="HZ241" s="286"/>
      <c r="IA241" s="286"/>
      <c r="IB241" s="286"/>
      <c r="IC241" s="286"/>
      <c r="ID241" s="286"/>
      <c r="IE241" s="286"/>
      <c r="IF241" s="286"/>
      <c r="IG241" s="286"/>
      <c r="IH241" s="286"/>
      <c r="II241" s="286"/>
      <c r="IJ241" s="286"/>
      <c r="IK241" s="286"/>
      <c r="IL241" s="286"/>
      <c r="IM241" s="286"/>
      <c r="IN241" s="286"/>
      <c r="IO241" s="286"/>
      <c r="IP241" s="286"/>
      <c r="IQ241" s="286"/>
      <c r="IR241" s="286"/>
      <c r="IS241" s="286"/>
      <c r="IT241" s="286"/>
      <c r="IU241" s="286"/>
      <c r="IV241" s="286"/>
    </row>
    <row r="242" spans="1:256" s="279" customFormat="1">
      <c r="A242" s="286"/>
      <c r="B242" s="340"/>
      <c r="C242" s="340"/>
      <c r="D242" s="286"/>
      <c r="HA242" s="286"/>
      <c r="HB242" s="286"/>
      <c r="HC242" s="286"/>
      <c r="HD242" s="286"/>
      <c r="HE242" s="286"/>
      <c r="HF242" s="286"/>
      <c r="HG242" s="286"/>
      <c r="HH242" s="286"/>
      <c r="HI242" s="286"/>
      <c r="HJ242" s="286"/>
      <c r="HK242" s="286"/>
      <c r="HL242" s="286"/>
      <c r="HM242" s="286"/>
      <c r="HN242" s="286"/>
      <c r="HO242" s="286"/>
      <c r="HP242" s="286"/>
      <c r="HQ242" s="286"/>
      <c r="HR242" s="286"/>
      <c r="HS242" s="286"/>
      <c r="HT242" s="286"/>
      <c r="HU242" s="286"/>
      <c r="HV242" s="286"/>
      <c r="HW242" s="286"/>
      <c r="HX242" s="286"/>
      <c r="HY242" s="286"/>
      <c r="HZ242" s="286"/>
      <c r="IA242" s="286"/>
      <c r="IB242" s="286"/>
      <c r="IC242" s="286"/>
      <c r="ID242" s="286"/>
      <c r="IE242" s="286"/>
      <c r="IF242" s="286"/>
      <c r="IG242" s="286"/>
      <c r="IH242" s="286"/>
      <c r="II242" s="286"/>
      <c r="IJ242" s="286"/>
      <c r="IK242" s="286"/>
      <c r="IL242" s="286"/>
      <c r="IM242" s="286"/>
      <c r="IN242" s="286"/>
      <c r="IO242" s="286"/>
      <c r="IP242" s="286"/>
      <c r="IQ242" s="286"/>
      <c r="IR242" s="286"/>
      <c r="IS242" s="286"/>
      <c r="IT242" s="286"/>
      <c r="IU242" s="286"/>
      <c r="IV242" s="286"/>
    </row>
    <row r="243" spans="1:256" s="279" customFormat="1">
      <c r="A243" s="286"/>
      <c r="B243" s="340"/>
      <c r="C243" s="340"/>
      <c r="D243" s="286"/>
      <c r="HA243" s="286"/>
      <c r="HB243" s="286"/>
      <c r="HC243" s="286"/>
      <c r="HD243" s="286"/>
      <c r="HE243" s="286"/>
      <c r="HF243" s="286"/>
      <c r="HG243" s="286"/>
      <c r="HH243" s="286"/>
      <c r="HI243" s="286"/>
      <c r="HJ243" s="286"/>
      <c r="HK243" s="286"/>
      <c r="HL243" s="286"/>
      <c r="HM243" s="286"/>
      <c r="HN243" s="286"/>
      <c r="HO243" s="286"/>
      <c r="HP243" s="286"/>
      <c r="HQ243" s="286"/>
      <c r="HR243" s="286"/>
      <c r="HS243" s="286"/>
      <c r="HT243" s="286"/>
      <c r="HU243" s="286"/>
      <c r="HV243" s="286"/>
      <c r="HW243" s="286"/>
      <c r="HX243" s="286"/>
      <c r="HY243" s="286"/>
      <c r="HZ243" s="286"/>
      <c r="IA243" s="286"/>
      <c r="IB243" s="286"/>
      <c r="IC243" s="286"/>
      <c r="ID243" s="286"/>
      <c r="IE243" s="286"/>
      <c r="IF243" s="286"/>
      <c r="IG243" s="286"/>
      <c r="IH243" s="286"/>
      <c r="II243" s="286"/>
      <c r="IJ243" s="286"/>
      <c r="IK243" s="286"/>
      <c r="IL243" s="286"/>
      <c r="IM243" s="286"/>
      <c r="IN243" s="286"/>
      <c r="IO243" s="286"/>
      <c r="IP243" s="286"/>
      <c r="IQ243" s="286"/>
      <c r="IR243" s="286"/>
      <c r="IS243" s="286"/>
      <c r="IT243" s="286"/>
      <c r="IU243" s="286"/>
      <c r="IV243" s="286"/>
    </row>
    <row r="244" spans="1:256" s="279" customFormat="1">
      <c r="A244" s="286"/>
      <c r="B244" s="340"/>
      <c r="C244" s="340"/>
      <c r="D244" s="286"/>
      <c r="HA244" s="286"/>
      <c r="HB244" s="286"/>
      <c r="HC244" s="286"/>
      <c r="HD244" s="286"/>
      <c r="HE244" s="286"/>
      <c r="HF244" s="286"/>
      <c r="HG244" s="286"/>
      <c r="HH244" s="286"/>
      <c r="HI244" s="286"/>
      <c r="HJ244" s="286"/>
      <c r="HK244" s="286"/>
      <c r="HL244" s="286"/>
      <c r="HM244" s="286"/>
      <c r="HN244" s="286"/>
      <c r="HO244" s="286"/>
      <c r="HP244" s="286"/>
      <c r="HQ244" s="286"/>
      <c r="HR244" s="286"/>
      <c r="HS244" s="286"/>
      <c r="HT244" s="286"/>
      <c r="HU244" s="286"/>
      <c r="HV244" s="286"/>
      <c r="HW244" s="286"/>
      <c r="HX244" s="286"/>
      <c r="HY244" s="286"/>
      <c r="HZ244" s="286"/>
      <c r="IA244" s="286"/>
      <c r="IB244" s="286"/>
      <c r="IC244" s="286"/>
      <c r="ID244" s="286"/>
      <c r="IE244" s="286"/>
      <c r="IF244" s="286"/>
      <c r="IG244" s="286"/>
      <c r="IH244" s="286"/>
      <c r="II244" s="286"/>
      <c r="IJ244" s="286"/>
      <c r="IK244" s="286"/>
      <c r="IL244" s="286"/>
      <c r="IM244" s="286"/>
      <c r="IN244" s="286"/>
      <c r="IO244" s="286"/>
      <c r="IP244" s="286"/>
      <c r="IQ244" s="286"/>
      <c r="IR244" s="286"/>
      <c r="IS244" s="286"/>
      <c r="IT244" s="286"/>
      <c r="IU244" s="286"/>
      <c r="IV244" s="286"/>
    </row>
    <row r="245" spans="1:256" s="279" customFormat="1">
      <c r="A245" s="286"/>
      <c r="B245" s="340"/>
      <c r="C245" s="340"/>
      <c r="D245" s="286"/>
      <c r="HA245" s="286"/>
      <c r="HB245" s="286"/>
      <c r="HC245" s="286"/>
      <c r="HD245" s="286"/>
      <c r="HE245" s="286"/>
      <c r="HF245" s="286"/>
      <c r="HG245" s="286"/>
      <c r="HH245" s="286"/>
      <c r="HI245" s="286"/>
      <c r="HJ245" s="286"/>
      <c r="HK245" s="286"/>
      <c r="HL245" s="286"/>
      <c r="HM245" s="286"/>
      <c r="HN245" s="286"/>
      <c r="HO245" s="286"/>
      <c r="HP245" s="286"/>
      <c r="HQ245" s="286"/>
      <c r="HR245" s="286"/>
      <c r="HS245" s="286"/>
      <c r="HT245" s="286"/>
      <c r="HU245" s="286"/>
      <c r="HV245" s="286"/>
      <c r="HW245" s="286"/>
      <c r="HX245" s="286"/>
      <c r="HY245" s="286"/>
      <c r="HZ245" s="286"/>
      <c r="IA245" s="286"/>
      <c r="IB245" s="286"/>
      <c r="IC245" s="286"/>
      <c r="ID245" s="286"/>
      <c r="IE245" s="286"/>
      <c r="IF245" s="286"/>
      <c r="IG245" s="286"/>
      <c r="IH245" s="286"/>
      <c r="II245" s="286"/>
      <c r="IJ245" s="286"/>
      <c r="IK245" s="286"/>
      <c r="IL245" s="286"/>
      <c r="IM245" s="286"/>
      <c r="IN245" s="286"/>
      <c r="IO245" s="286"/>
      <c r="IP245" s="286"/>
      <c r="IQ245" s="286"/>
      <c r="IR245" s="286"/>
      <c r="IS245" s="286"/>
      <c r="IT245" s="286"/>
      <c r="IU245" s="286"/>
      <c r="IV245" s="286"/>
    </row>
    <row r="246" spans="1:256" s="279" customFormat="1">
      <c r="A246" s="286"/>
      <c r="B246" s="340"/>
      <c r="C246" s="340"/>
      <c r="D246" s="286"/>
      <c r="HA246" s="286"/>
      <c r="HB246" s="286"/>
      <c r="HC246" s="286"/>
      <c r="HD246" s="286"/>
      <c r="HE246" s="286"/>
      <c r="HF246" s="286"/>
      <c r="HG246" s="286"/>
      <c r="HH246" s="286"/>
      <c r="HI246" s="286"/>
      <c r="HJ246" s="286"/>
      <c r="HK246" s="286"/>
      <c r="HL246" s="286"/>
      <c r="HM246" s="286"/>
      <c r="HN246" s="286"/>
      <c r="HO246" s="286"/>
      <c r="HP246" s="286"/>
      <c r="HQ246" s="286"/>
      <c r="HR246" s="286"/>
      <c r="HS246" s="286"/>
      <c r="HT246" s="286"/>
      <c r="HU246" s="286"/>
      <c r="HV246" s="286"/>
      <c r="HW246" s="286"/>
      <c r="HX246" s="286"/>
      <c r="HY246" s="286"/>
      <c r="HZ246" s="286"/>
      <c r="IA246" s="286"/>
      <c r="IB246" s="286"/>
      <c r="IC246" s="286"/>
      <c r="ID246" s="286"/>
      <c r="IE246" s="286"/>
      <c r="IF246" s="286"/>
      <c r="IG246" s="286"/>
      <c r="IH246" s="286"/>
      <c r="II246" s="286"/>
      <c r="IJ246" s="286"/>
      <c r="IK246" s="286"/>
      <c r="IL246" s="286"/>
      <c r="IM246" s="286"/>
      <c r="IN246" s="286"/>
      <c r="IO246" s="286"/>
      <c r="IP246" s="286"/>
      <c r="IQ246" s="286"/>
      <c r="IR246" s="286"/>
      <c r="IS246" s="286"/>
      <c r="IT246" s="286"/>
      <c r="IU246" s="286"/>
      <c r="IV246" s="286"/>
    </row>
    <row r="247" spans="1:256" s="279" customFormat="1">
      <c r="A247" s="286"/>
      <c r="B247" s="340"/>
      <c r="C247" s="340"/>
      <c r="D247" s="286"/>
      <c r="HA247" s="286"/>
      <c r="HB247" s="286"/>
      <c r="HC247" s="286"/>
      <c r="HD247" s="286"/>
      <c r="HE247" s="286"/>
      <c r="HF247" s="286"/>
      <c r="HG247" s="286"/>
      <c r="HH247" s="286"/>
      <c r="HI247" s="286"/>
      <c r="HJ247" s="286"/>
      <c r="HK247" s="286"/>
      <c r="HL247" s="286"/>
      <c r="HM247" s="286"/>
      <c r="HN247" s="286"/>
      <c r="HO247" s="286"/>
      <c r="HP247" s="286"/>
      <c r="HQ247" s="286"/>
      <c r="HR247" s="286"/>
      <c r="HS247" s="286"/>
      <c r="HT247" s="286"/>
      <c r="HU247" s="286"/>
      <c r="HV247" s="286"/>
      <c r="HW247" s="286"/>
      <c r="HX247" s="286"/>
      <c r="HY247" s="286"/>
      <c r="HZ247" s="286"/>
      <c r="IA247" s="286"/>
      <c r="IB247" s="286"/>
      <c r="IC247" s="286"/>
      <c r="ID247" s="286"/>
      <c r="IE247" s="286"/>
      <c r="IF247" s="286"/>
      <c r="IG247" s="286"/>
      <c r="IH247" s="286"/>
      <c r="II247" s="286"/>
      <c r="IJ247" s="286"/>
      <c r="IK247" s="286"/>
      <c r="IL247" s="286"/>
      <c r="IM247" s="286"/>
      <c r="IN247" s="286"/>
      <c r="IO247" s="286"/>
      <c r="IP247" s="286"/>
      <c r="IQ247" s="286"/>
      <c r="IR247" s="286"/>
      <c r="IS247" s="286"/>
      <c r="IT247" s="286"/>
      <c r="IU247" s="286"/>
      <c r="IV247" s="286"/>
    </row>
    <row r="248" spans="1:256" s="279" customFormat="1">
      <c r="A248" s="286"/>
      <c r="B248" s="340"/>
      <c r="C248" s="340"/>
      <c r="D248" s="286"/>
      <c r="HA248" s="286"/>
      <c r="HB248" s="286"/>
      <c r="HC248" s="286"/>
      <c r="HD248" s="286"/>
      <c r="HE248" s="286"/>
      <c r="HF248" s="286"/>
      <c r="HG248" s="286"/>
      <c r="HH248" s="286"/>
      <c r="HI248" s="286"/>
      <c r="HJ248" s="286"/>
      <c r="HK248" s="286"/>
      <c r="HL248" s="286"/>
      <c r="HM248" s="286"/>
      <c r="HN248" s="286"/>
      <c r="HO248" s="286"/>
      <c r="HP248" s="286"/>
      <c r="HQ248" s="286"/>
      <c r="HR248" s="286"/>
      <c r="HS248" s="286"/>
      <c r="HT248" s="286"/>
      <c r="HU248" s="286"/>
      <c r="HV248" s="286"/>
      <c r="HW248" s="286"/>
      <c r="HX248" s="286"/>
      <c r="HY248" s="286"/>
      <c r="HZ248" s="286"/>
      <c r="IA248" s="286"/>
      <c r="IB248" s="286"/>
      <c r="IC248" s="286"/>
      <c r="ID248" s="286"/>
      <c r="IE248" s="286"/>
      <c r="IF248" s="286"/>
      <c r="IG248" s="286"/>
      <c r="IH248" s="286"/>
      <c r="II248" s="286"/>
      <c r="IJ248" s="286"/>
      <c r="IK248" s="286"/>
      <c r="IL248" s="286"/>
      <c r="IM248" s="286"/>
      <c r="IN248" s="286"/>
      <c r="IO248" s="286"/>
      <c r="IP248" s="286"/>
      <c r="IQ248" s="286"/>
      <c r="IR248" s="286"/>
      <c r="IS248" s="286"/>
      <c r="IT248" s="286"/>
      <c r="IU248" s="286"/>
      <c r="IV248" s="286"/>
    </row>
    <row r="249" spans="1:256" s="279" customFormat="1">
      <c r="A249" s="286"/>
      <c r="B249" s="340"/>
      <c r="C249" s="340"/>
      <c r="D249" s="286"/>
      <c r="HA249" s="286"/>
      <c r="HB249" s="286"/>
      <c r="HC249" s="286"/>
      <c r="HD249" s="286"/>
      <c r="HE249" s="286"/>
      <c r="HF249" s="286"/>
      <c r="HG249" s="286"/>
      <c r="HH249" s="286"/>
      <c r="HI249" s="286"/>
      <c r="HJ249" s="286"/>
      <c r="HK249" s="286"/>
      <c r="HL249" s="286"/>
      <c r="HM249" s="286"/>
      <c r="HN249" s="286"/>
      <c r="HO249" s="286"/>
      <c r="HP249" s="286"/>
      <c r="HQ249" s="286"/>
      <c r="HR249" s="286"/>
      <c r="HS249" s="286"/>
      <c r="HT249" s="286"/>
      <c r="HU249" s="286"/>
      <c r="HV249" s="286"/>
      <c r="HW249" s="286"/>
      <c r="HX249" s="286"/>
      <c r="HY249" s="286"/>
      <c r="HZ249" s="286"/>
      <c r="IA249" s="286"/>
      <c r="IB249" s="286"/>
      <c r="IC249" s="286"/>
      <c r="ID249" s="286"/>
      <c r="IE249" s="286"/>
      <c r="IF249" s="286"/>
      <c r="IG249" s="286"/>
      <c r="IH249" s="286"/>
      <c r="II249" s="286"/>
      <c r="IJ249" s="286"/>
      <c r="IK249" s="286"/>
      <c r="IL249" s="286"/>
      <c r="IM249" s="286"/>
      <c r="IN249" s="286"/>
      <c r="IO249" s="286"/>
      <c r="IP249" s="286"/>
      <c r="IQ249" s="286"/>
      <c r="IR249" s="286"/>
      <c r="IS249" s="286"/>
      <c r="IT249" s="286"/>
      <c r="IU249" s="286"/>
      <c r="IV249" s="286"/>
    </row>
    <row r="250" spans="1:256" s="279" customFormat="1">
      <c r="A250" s="286"/>
      <c r="B250" s="340"/>
      <c r="C250" s="340"/>
      <c r="D250" s="286"/>
      <c r="HA250" s="286"/>
      <c r="HB250" s="286"/>
      <c r="HC250" s="286"/>
      <c r="HD250" s="286"/>
      <c r="HE250" s="286"/>
      <c r="HF250" s="286"/>
      <c r="HG250" s="286"/>
      <c r="HH250" s="286"/>
      <c r="HI250" s="286"/>
      <c r="HJ250" s="286"/>
      <c r="HK250" s="286"/>
      <c r="HL250" s="286"/>
      <c r="HM250" s="286"/>
      <c r="HN250" s="286"/>
      <c r="HO250" s="286"/>
      <c r="HP250" s="286"/>
      <c r="HQ250" s="286"/>
      <c r="HR250" s="286"/>
      <c r="HS250" s="286"/>
      <c r="HT250" s="286"/>
      <c r="HU250" s="286"/>
      <c r="HV250" s="286"/>
      <c r="HW250" s="286"/>
      <c r="HX250" s="286"/>
      <c r="HY250" s="286"/>
      <c r="HZ250" s="286"/>
      <c r="IA250" s="286"/>
      <c r="IB250" s="286"/>
      <c r="IC250" s="286"/>
      <c r="ID250" s="286"/>
      <c r="IE250" s="286"/>
      <c r="IF250" s="286"/>
      <c r="IG250" s="286"/>
      <c r="IH250" s="286"/>
      <c r="II250" s="286"/>
      <c r="IJ250" s="286"/>
      <c r="IK250" s="286"/>
      <c r="IL250" s="286"/>
      <c r="IM250" s="286"/>
      <c r="IN250" s="286"/>
      <c r="IO250" s="286"/>
      <c r="IP250" s="286"/>
      <c r="IQ250" s="286"/>
      <c r="IR250" s="286"/>
      <c r="IS250" s="286"/>
      <c r="IT250" s="286"/>
      <c r="IU250" s="286"/>
      <c r="IV250" s="286"/>
    </row>
    <row r="251" spans="1:256" s="279" customFormat="1">
      <c r="A251" s="286"/>
      <c r="B251" s="340"/>
      <c r="C251" s="340"/>
      <c r="D251" s="286"/>
      <c r="HA251" s="286"/>
      <c r="HB251" s="286"/>
      <c r="HC251" s="286"/>
      <c r="HD251" s="286"/>
      <c r="HE251" s="286"/>
      <c r="HF251" s="286"/>
      <c r="HG251" s="286"/>
      <c r="HH251" s="286"/>
      <c r="HI251" s="286"/>
      <c r="HJ251" s="286"/>
      <c r="HK251" s="286"/>
      <c r="HL251" s="286"/>
      <c r="HM251" s="286"/>
      <c r="HN251" s="286"/>
      <c r="HO251" s="286"/>
      <c r="HP251" s="286"/>
      <c r="HQ251" s="286"/>
      <c r="HR251" s="286"/>
      <c r="HS251" s="286"/>
      <c r="HT251" s="286"/>
      <c r="HU251" s="286"/>
      <c r="HV251" s="286"/>
      <c r="HW251" s="286"/>
      <c r="HX251" s="286"/>
      <c r="HY251" s="286"/>
      <c r="HZ251" s="286"/>
      <c r="IA251" s="286"/>
      <c r="IB251" s="286"/>
      <c r="IC251" s="286"/>
      <c r="ID251" s="286"/>
      <c r="IE251" s="286"/>
      <c r="IF251" s="286"/>
      <c r="IG251" s="286"/>
      <c r="IH251" s="286"/>
      <c r="II251" s="286"/>
      <c r="IJ251" s="286"/>
      <c r="IK251" s="286"/>
      <c r="IL251" s="286"/>
      <c r="IM251" s="286"/>
      <c r="IN251" s="286"/>
      <c r="IO251" s="286"/>
      <c r="IP251" s="286"/>
      <c r="IQ251" s="286"/>
      <c r="IR251" s="286"/>
      <c r="IS251" s="286"/>
      <c r="IT251" s="286"/>
      <c r="IU251" s="286"/>
      <c r="IV251" s="286"/>
    </row>
    <row r="252" spans="1:256" s="279" customFormat="1">
      <c r="A252" s="286"/>
      <c r="B252" s="340"/>
      <c r="C252" s="340"/>
      <c r="D252" s="286"/>
      <c r="HA252" s="286"/>
      <c r="HB252" s="286"/>
      <c r="HC252" s="286"/>
      <c r="HD252" s="286"/>
      <c r="HE252" s="286"/>
      <c r="HF252" s="286"/>
      <c r="HG252" s="286"/>
      <c r="HH252" s="286"/>
      <c r="HI252" s="286"/>
      <c r="HJ252" s="286"/>
      <c r="HK252" s="286"/>
      <c r="HL252" s="286"/>
      <c r="HM252" s="286"/>
      <c r="HN252" s="286"/>
      <c r="HO252" s="286"/>
      <c r="HP252" s="286"/>
      <c r="HQ252" s="286"/>
      <c r="HR252" s="286"/>
      <c r="HS252" s="286"/>
      <c r="HT252" s="286"/>
      <c r="HU252" s="286"/>
      <c r="HV252" s="286"/>
      <c r="HW252" s="286"/>
      <c r="HX252" s="286"/>
      <c r="HY252" s="286"/>
      <c r="HZ252" s="286"/>
      <c r="IA252" s="286"/>
      <c r="IB252" s="286"/>
      <c r="IC252" s="286"/>
      <c r="ID252" s="286"/>
      <c r="IE252" s="286"/>
      <c r="IF252" s="286"/>
      <c r="IG252" s="286"/>
      <c r="IH252" s="286"/>
      <c r="II252" s="286"/>
      <c r="IJ252" s="286"/>
      <c r="IK252" s="286"/>
      <c r="IL252" s="286"/>
      <c r="IM252" s="286"/>
      <c r="IN252" s="286"/>
      <c r="IO252" s="286"/>
      <c r="IP252" s="286"/>
      <c r="IQ252" s="286"/>
      <c r="IR252" s="286"/>
      <c r="IS252" s="286"/>
      <c r="IT252" s="286"/>
      <c r="IU252" s="286"/>
      <c r="IV252" s="286"/>
    </row>
    <row r="253" spans="1:256" s="279" customFormat="1">
      <c r="A253" s="286"/>
      <c r="B253" s="340"/>
      <c r="C253" s="340"/>
      <c r="D253" s="286"/>
      <c r="HA253" s="286"/>
      <c r="HB253" s="286"/>
      <c r="HC253" s="286"/>
      <c r="HD253" s="286"/>
      <c r="HE253" s="286"/>
      <c r="HF253" s="286"/>
      <c r="HG253" s="286"/>
      <c r="HH253" s="286"/>
      <c r="HI253" s="286"/>
      <c r="HJ253" s="286"/>
      <c r="HK253" s="286"/>
      <c r="HL253" s="286"/>
      <c r="HM253" s="286"/>
      <c r="HN253" s="286"/>
      <c r="HO253" s="286"/>
      <c r="HP253" s="286"/>
      <c r="HQ253" s="286"/>
      <c r="HR253" s="286"/>
      <c r="HS253" s="286"/>
      <c r="HT253" s="286"/>
      <c r="HU253" s="286"/>
      <c r="HV253" s="286"/>
      <c r="HW253" s="286"/>
      <c r="HX253" s="286"/>
      <c r="HY253" s="286"/>
      <c r="HZ253" s="286"/>
      <c r="IA253" s="286"/>
      <c r="IB253" s="286"/>
      <c r="IC253" s="286"/>
      <c r="ID253" s="286"/>
      <c r="IE253" s="286"/>
      <c r="IF253" s="286"/>
      <c r="IG253" s="286"/>
      <c r="IH253" s="286"/>
      <c r="II253" s="286"/>
      <c r="IJ253" s="286"/>
      <c r="IK253" s="286"/>
      <c r="IL253" s="286"/>
      <c r="IM253" s="286"/>
      <c r="IN253" s="286"/>
      <c r="IO253" s="286"/>
      <c r="IP253" s="286"/>
      <c r="IQ253" s="286"/>
      <c r="IR253" s="286"/>
      <c r="IS253" s="286"/>
      <c r="IT253" s="286"/>
      <c r="IU253" s="286"/>
      <c r="IV253" s="286"/>
    </row>
    <row r="254" spans="1:256" s="279" customFormat="1">
      <c r="A254" s="286"/>
      <c r="B254" s="340"/>
      <c r="C254" s="340"/>
      <c r="D254" s="286"/>
      <c r="HA254" s="286"/>
      <c r="HB254" s="286"/>
      <c r="HC254" s="286"/>
      <c r="HD254" s="286"/>
      <c r="HE254" s="286"/>
      <c r="HF254" s="286"/>
      <c r="HG254" s="286"/>
      <c r="HH254" s="286"/>
      <c r="HI254" s="286"/>
      <c r="HJ254" s="286"/>
      <c r="HK254" s="286"/>
      <c r="HL254" s="286"/>
      <c r="HM254" s="286"/>
      <c r="HN254" s="286"/>
      <c r="HO254" s="286"/>
      <c r="HP254" s="286"/>
      <c r="HQ254" s="286"/>
      <c r="HR254" s="286"/>
      <c r="HS254" s="286"/>
      <c r="HT254" s="286"/>
      <c r="HU254" s="286"/>
      <c r="HV254" s="286"/>
      <c r="HW254" s="286"/>
      <c r="HX254" s="286"/>
      <c r="HY254" s="286"/>
      <c r="HZ254" s="286"/>
      <c r="IA254" s="286"/>
      <c r="IB254" s="286"/>
      <c r="IC254" s="286"/>
      <c r="ID254" s="286"/>
      <c r="IE254" s="286"/>
      <c r="IF254" s="286"/>
      <c r="IG254" s="286"/>
      <c r="IH254" s="286"/>
      <c r="II254" s="286"/>
      <c r="IJ254" s="286"/>
      <c r="IK254" s="286"/>
      <c r="IL254" s="286"/>
      <c r="IM254" s="286"/>
      <c r="IN254" s="286"/>
      <c r="IO254" s="286"/>
      <c r="IP254" s="286"/>
      <c r="IQ254" s="286"/>
      <c r="IR254" s="286"/>
      <c r="IS254" s="286"/>
      <c r="IT254" s="286"/>
      <c r="IU254" s="286"/>
      <c r="IV254" s="286"/>
    </row>
    <row r="255" spans="1:256" s="279" customFormat="1">
      <c r="A255" s="286"/>
      <c r="B255" s="340"/>
      <c r="C255" s="340"/>
      <c r="D255" s="286"/>
      <c r="HA255" s="286"/>
      <c r="HB255" s="286"/>
      <c r="HC255" s="286"/>
      <c r="HD255" s="286"/>
      <c r="HE255" s="286"/>
      <c r="HF255" s="286"/>
      <c r="HG255" s="286"/>
      <c r="HH255" s="286"/>
      <c r="HI255" s="286"/>
      <c r="HJ255" s="286"/>
      <c r="HK255" s="286"/>
      <c r="HL255" s="286"/>
      <c r="HM255" s="286"/>
      <c r="HN255" s="286"/>
      <c r="HO255" s="286"/>
      <c r="HP255" s="286"/>
      <c r="HQ255" s="286"/>
      <c r="HR255" s="286"/>
      <c r="HS255" s="286"/>
      <c r="HT255" s="286"/>
      <c r="HU255" s="286"/>
      <c r="HV255" s="286"/>
      <c r="HW255" s="286"/>
      <c r="HX255" s="286"/>
      <c r="HY255" s="286"/>
      <c r="HZ255" s="286"/>
      <c r="IA255" s="286"/>
      <c r="IB255" s="286"/>
      <c r="IC255" s="286"/>
      <c r="ID255" s="286"/>
      <c r="IE255" s="286"/>
      <c r="IF255" s="286"/>
      <c r="IG255" s="286"/>
      <c r="IH255" s="286"/>
      <c r="II255" s="286"/>
      <c r="IJ255" s="286"/>
      <c r="IK255" s="286"/>
      <c r="IL255" s="286"/>
      <c r="IM255" s="286"/>
      <c r="IN255" s="286"/>
      <c r="IO255" s="286"/>
      <c r="IP255" s="286"/>
      <c r="IQ255" s="286"/>
      <c r="IR255" s="286"/>
      <c r="IS255" s="286"/>
      <c r="IT255" s="286"/>
      <c r="IU255" s="286"/>
      <c r="IV255" s="286"/>
    </row>
    <row r="256" spans="1:256" s="279" customFormat="1">
      <c r="A256" s="286"/>
      <c r="B256" s="340"/>
      <c r="C256" s="340"/>
      <c r="D256" s="286"/>
      <c r="HA256" s="286"/>
      <c r="HB256" s="286"/>
      <c r="HC256" s="286"/>
      <c r="HD256" s="286"/>
      <c r="HE256" s="286"/>
      <c r="HF256" s="286"/>
      <c r="HG256" s="286"/>
      <c r="HH256" s="286"/>
      <c r="HI256" s="286"/>
      <c r="HJ256" s="286"/>
      <c r="HK256" s="286"/>
      <c r="HL256" s="286"/>
      <c r="HM256" s="286"/>
      <c r="HN256" s="286"/>
      <c r="HO256" s="286"/>
      <c r="HP256" s="286"/>
      <c r="HQ256" s="286"/>
      <c r="HR256" s="286"/>
      <c r="HS256" s="286"/>
      <c r="HT256" s="286"/>
      <c r="HU256" s="286"/>
      <c r="HV256" s="286"/>
      <c r="HW256" s="286"/>
      <c r="HX256" s="286"/>
      <c r="HY256" s="286"/>
      <c r="HZ256" s="286"/>
      <c r="IA256" s="286"/>
      <c r="IB256" s="286"/>
      <c r="IC256" s="286"/>
      <c r="ID256" s="286"/>
      <c r="IE256" s="286"/>
      <c r="IF256" s="286"/>
      <c r="IG256" s="286"/>
      <c r="IH256" s="286"/>
      <c r="II256" s="286"/>
      <c r="IJ256" s="286"/>
      <c r="IK256" s="286"/>
      <c r="IL256" s="286"/>
      <c r="IM256" s="286"/>
      <c r="IN256" s="286"/>
      <c r="IO256" s="286"/>
      <c r="IP256" s="286"/>
      <c r="IQ256" s="286"/>
      <c r="IR256" s="286"/>
      <c r="IS256" s="286"/>
      <c r="IT256" s="286"/>
      <c r="IU256" s="286"/>
      <c r="IV256" s="286"/>
    </row>
    <row r="257" spans="1:256" s="279" customFormat="1">
      <c r="A257" s="286"/>
      <c r="B257" s="340"/>
      <c r="C257" s="340"/>
      <c r="D257" s="286"/>
      <c r="HA257" s="286"/>
      <c r="HB257" s="286"/>
      <c r="HC257" s="286"/>
      <c r="HD257" s="286"/>
      <c r="HE257" s="286"/>
      <c r="HF257" s="286"/>
      <c r="HG257" s="286"/>
      <c r="HH257" s="286"/>
      <c r="HI257" s="286"/>
      <c r="HJ257" s="286"/>
      <c r="HK257" s="286"/>
      <c r="HL257" s="286"/>
      <c r="HM257" s="286"/>
      <c r="HN257" s="286"/>
      <c r="HO257" s="286"/>
      <c r="HP257" s="286"/>
      <c r="HQ257" s="286"/>
      <c r="HR257" s="286"/>
      <c r="HS257" s="286"/>
      <c r="HT257" s="286"/>
      <c r="HU257" s="286"/>
      <c r="HV257" s="286"/>
      <c r="HW257" s="286"/>
      <c r="HX257" s="286"/>
      <c r="HY257" s="286"/>
      <c r="HZ257" s="286"/>
      <c r="IA257" s="286"/>
      <c r="IB257" s="286"/>
      <c r="IC257" s="286"/>
      <c r="ID257" s="286"/>
      <c r="IE257" s="286"/>
      <c r="IF257" s="286"/>
      <c r="IG257" s="286"/>
      <c r="IH257" s="286"/>
      <c r="II257" s="286"/>
      <c r="IJ257" s="286"/>
      <c r="IK257" s="286"/>
      <c r="IL257" s="286"/>
      <c r="IM257" s="286"/>
      <c r="IN257" s="286"/>
      <c r="IO257" s="286"/>
      <c r="IP257" s="286"/>
      <c r="IQ257" s="286"/>
      <c r="IR257" s="286"/>
      <c r="IS257" s="286"/>
      <c r="IT257" s="286"/>
      <c r="IU257" s="286"/>
      <c r="IV257" s="286"/>
    </row>
    <row r="258" spans="1:256" s="279" customFormat="1">
      <c r="A258" s="286"/>
      <c r="B258" s="340"/>
      <c r="C258" s="340"/>
      <c r="D258" s="286"/>
      <c r="HA258" s="286"/>
      <c r="HB258" s="286"/>
      <c r="HC258" s="286"/>
      <c r="HD258" s="286"/>
      <c r="HE258" s="286"/>
      <c r="HF258" s="286"/>
      <c r="HG258" s="286"/>
      <c r="HH258" s="286"/>
      <c r="HI258" s="286"/>
      <c r="HJ258" s="286"/>
      <c r="HK258" s="286"/>
      <c r="HL258" s="286"/>
      <c r="HM258" s="286"/>
      <c r="HN258" s="286"/>
      <c r="HO258" s="286"/>
      <c r="HP258" s="286"/>
      <c r="HQ258" s="286"/>
      <c r="HR258" s="286"/>
      <c r="HS258" s="286"/>
      <c r="HT258" s="286"/>
      <c r="HU258" s="286"/>
      <c r="HV258" s="286"/>
      <c r="HW258" s="286"/>
      <c r="HX258" s="286"/>
      <c r="HY258" s="286"/>
      <c r="HZ258" s="286"/>
      <c r="IA258" s="286"/>
      <c r="IB258" s="286"/>
      <c r="IC258" s="286"/>
      <c r="ID258" s="286"/>
      <c r="IE258" s="286"/>
      <c r="IF258" s="286"/>
      <c r="IG258" s="286"/>
      <c r="IH258" s="286"/>
      <c r="II258" s="286"/>
      <c r="IJ258" s="286"/>
      <c r="IK258" s="286"/>
      <c r="IL258" s="286"/>
      <c r="IM258" s="286"/>
      <c r="IN258" s="286"/>
      <c r="IO258" s="286"/>
      <c r="IP258" s="286"/>
      <c r="IQ258" s="286"/>
      <c r="IR258" s="286"/>
      <c r="IS258" s="286"/>
      <c r="IT258" s="286"/>
      <c r="IU258" s="286"/>
      <c r="IV258" s="286"/>
    </row>
    <row r="259" spans="1:256" s="279" customFormat="1">
      <c r="A259" s="286"/>
      <c r="B259" s="340"/>
      <c r="C259" s="340"/>
      <c r="D259" s="286"/>
      <c r="HA259" s="286"/>
      <c r="HB259" s="286"/>
      <c r="HC259" s="286"/>
      <c r="HD259" s="286"/>
      <c r="HE259" s="286"/>
      <c r="HF259" s="286"/>
      <c r="HG259" s="286"/>
      <c r="HH259" s="286"/>
      <c r="HI259" s="286"/>
      <c r="HJ259" s="286"/>
      <c r="HK259" s="286"/>
      <c r="HL259" s="286"/>
      <c r="HM259" s="286"/>
      <c r="HN259" s="286"/>
      <c r="HO259" s="286"/>
      <c r="HP259" s="286"/>
      <c r="HQ259" s="286"/>
      <c r="HR259" s="286"/>
      <c r="HS259" s="286"/>
      <c r="HT259" s="286"/>
      <c r="HU259" s="286"/>
      <c r="HV259" s="286"/>
      <c r="HW259" s="286"/>
      <c r="HX259" s="286"/>
      <c r="HY259" s="286"/>
      <c r="HZ259" s="286"/>
      <c r="IA259" s="286"/>
      <c r="IB259" s="286"/>
      <c r="IC259" s="286"/>
      <c r="ID259" s="286"/>
      <c r="IE259" s="286"/>
      <c r="IF259" s="286"/>
      <c r="IG259" s="286"/>
      <c r="IH259" s="286"/>
      <c r="II259" s="286"/>
      <c r="IJ259" s="286"/>
      <c r="IK259" s="286"/>
      <c r="IL259" s="286"/>
      <c r="IM259" s="286"/>
      <c r="IN259" s="286"/>
      <c r="IO259" s="286"/>
      <c r="IP259" s="286"/>
      <c r="IQ259" s="286"/>
      <c r="IR259" s="286"/>
      <c r="IS259" s="286"/>
      <c r="IT259" s="286"/>
      <c r="IU259" s="286"/>
      <c r="IV259" s="286"/>
    </row>
    <row r="260" spans="1:256" s="279" customFormat="1">
      <c r="A260" s="286"/>
      <c r="B260" s="340"/>
      <c r="C260" s="340"/>
      <c r="D260" s="286"/>
      <c r="HA260" s="286"/>
      <c r="HB260" s="286"/>
      <c r="HC260" s="286"/>
      <c r="HD260" s="286"/>
      <c r="HE260" s="286"/>
      <c r="HF260" s="286"/>
      <c r="HG260" s="286"/>
      <c r="HH260" s="286"/>
      <c r="HI260" s="286"/>
      <c r="HJ260" s="286"/>
      <c r="HK260" s="286"/>
      <c r="HL260" s="286"/>
      <c r="HM260" s="286"/>
      <c r="HN260" s="286"/>
      <c r="HO260" s="286"/>
      <c r="HP260" s="286"/>
      <c r="HQ260" s="286"/>
      <c r="HR260" s="286"/>
      <c r="HS260" s="286"/>
      <c r="HT260" s="286"/>
      <c r="HU260" s="286"/>
      <c r="HV260" s="286"/>
      <c r="HW260" s="286"/>
      <c r="HX260" s="286"/>
      <c r="HY260" s="286"/>
      <c r="HZ260" s="286"/>
      <c r="IA260" s="286"/>
      <c r="IB260" s="286"/>
      <c r="IC260" s="286"/>
      <c r="ID260" s="286"/>
      <c r="IE260" s="286"/>
      <c r="IF260" s="286"/>
      <c r="IG260" s="286"/>
      <c r="IH260" s="286"/>
      <c r="II260" s="286"/>
      <c r="IJ260" s="286"/>
      <c r="IK260" s="286"/>
      <c r="IL260" s="286"/>
      <c r="IM260" s="286"/>
      <c r="IN260" s="286"/>
      <c r="IO260" s="286"/>
      <c r="IP260" s="286"/>
      <c r="IQ260" s="286"/>
      <c r="IR260" s="286"/>
      <c r="IS260" s="286"/>
      <c r="IT260" s="286"/>
      <c r="IU260" s="286"/>
      <c r="IV260" s="286"/>
    </row>
    <row r="261" spans="1:256" s="279" customFormat="1">
      <c r="A261" s="286"/>
      <c r="B261" s="340"/>
      <c r="C261" s="340"/>
      <c r="D261" s="286"/>
      <c r="HA261" s="286"/>
      <c r="HB261" s="286"/>
      <c r="HC261" s="286"/>
      <c r="HD261" s="286"/>
      <c r="HE261" s="286"/>
      <c r="HF261" s="286"/>
      <c r="HG261" s="286"/>
      <c r="HH261" s="286"/>
      <c r="HI261" s="286"/>
      <c r="HJ261" s="286"/>
      <c r="HK261" s="286"/>
      <c r="HL261" s="286"/>
      <c r="HM261" s="286"/>
      <c r="HN261" s="286"/>
      <c r="HO261" s="286"/>
      <c r="HP261" s="286"/>
      <c r="HQ261" s="286"/>
      <c r="HR261" s="286"/>
      <c r="HS261" s="286"/>
      <c r="HT261" s="286"/>
      <c r="HU261" s="286"/>
      <c r="HV261" s="286"/>
      <c r="HW261" s="286"/>
      <c r="HX261" s="286"/>
      <c r="HY261" s="286"/>
      <c r="HZ261" s="286"/>
      <c r="IA261" s="286"/>
      <c r="IB261" s="286"/>
      <c r="IC261" s="286"/>
      <c r="ID261" s="286"/>
      <c r="IE261" s="286"/>
      <c r="IF261" s="286"/>
      <c r="IG261" s="286"/>
      <c r="IH261" s="286"/>
      <c r="II261" s="286"/>
      <c r="IJ261" s="286"/>
      <c r="IK261" s="286"/>
      <c r="IL261" s="286"/>
      <c r="IM261" s="286"/>
      <c r="IN261" s="286"/>
      <c r="IO261" s="286"/>
      <c r="IP261" s="286"/>
      <c r="IQ261" s="286"/>
      <c r="IR261" s="286"/>
      <c r="IS261" s="286"/>
      <c r="IT261" s="286"/>
      <c r="IU261" s="286"/>
      <c r="IV261" s="286"/>
    </row>
    <row r="262" spans="1:256" s="279" customFormat="1">
      <c r="A262" s="286"/>
      <c r="B262" s="340"/>
      <c r="C262" s="340"/>
      <c r="D262" s="286"/>
      <c r="HA262" s="286"/>
      <c r="HB262" s="286"/>
      <c r="HC262" s="286"/>
      <c r="HD262" s="286"/>
      <c r="HE262" s="286"/>
      <c r="HF262" s="286"/>
      <c r="HG262" s="286"/>
      <c r="HH262" s="286"/>
      <c r="HI262" s="286"/>
      <c r="HJ262" s="286"/>
      <c r="HK262" s="286"/>
      <c r="HL262" s="286"/>
      <c r="HM262" s="286"/>
      <c r="HN262" s="286"/>
      <c r="HO262" s="286"/>
      <c r="HP262" s="286"/>
      <c r="HQ262" s="286"/>
      <c r="HR262" s="286"/>
      <c r="HS262" s="286"/>
      <c r="HT262" s="286"/>
      <c r="HU262" s="286"/>
      <c r="HV262" s="286"/>
      <c r="HW262" s="286"/>
      <c r="HX262" s="286"/>
      <c r="HY262" s="286"/>
      <c r="HZ262" s="286"/>
      <c r="IA262" s="286"/>
      <c r="IB262" s="286"/>
      <c r="IC262" s="286"/>
      <c r="ID262" s="286"/>
      <c r="IE262" s="286"/>
      <c r="IF262" s="286"/>
      <c r="IG262" s="286"/>
      <c r="IH262" s="286"/>
      <c r="II262" s="286"/>
      <c r="IJ262" s="286"/>
      <c r="IK262" s="286"/>
      <c r="IL262" s="286"/>
      <c r="IM262" s="286"/>
      <c r="IN262" s="286"/>
      <c r="IO262" s="286"/>
      <c r="IP262" s="286"/>
      <c r="IQ262" s="286"/>
      <c r="IR262" s="286"/>
      <c r="IS262" s="286"/>
      <c r="IT262" s="286"/>
      <c r="IU262" s="286"/>
      <c r="IV262" s="286"/>
    </row>
    <row r="263" spans="1:256" s="279" customFormat="1">
      <c r="A263" s="286"/>
      <c r="B263" s="340"/>
      <c r="C263" s="340"/>
      <c r="D263" s="286"/>
      <c r="HA263" s="286"/>
      <c r="HB263" s="286"/>
      <c r="HC263" s="286"/>
      <c r="HD263" s="286"/>
      <c r="HE263" s="286"/>
      <c r="HF263" s="286"/>
      <c r="HG263" s="286"/>
      <c r="HH263" s="286"/>
      <c r="HI263" s="286"/>
      <c r="HJ263" s="286"/>
      <c r="HK263" s="286"/>
      <c r="HL263" s="286"/>
      <c r="HM263" s="286"/>
      <c r="HN263" s="286"/>
      <c r="HO263" s="286"/>
      <c r="HP263" s="286"/>
      <c r="HQ263" s="286"/>
      <c r="HR263" s="286"/>
      <c r="HS263" s="286"/>
      <c r="HT263" s="286"/>
      <c r="HU263" s="286"/>
      <c r="HV263" s="286"/>
      <c r="HW263" s="286"/>
      <c r="HX263" s="286"/>
      <c r="HY263" s="286"/>
      <c r="HZ263" s="286"/>
      <c r="IA263" s="286"/>
      <c r="IB263" s="286"/>
      <c r="IC263" s="286"/>
      <c r="ID263" s="286"/>
      <c r="IE263" s="286"/>
      <c r="IF263" s="286"/>
      <c r="IG263" s="286"/>
      <c r="IH263" s="286"/>
      <c r="II263" s="286"/>
      <c r="IJ263" s="286"/>
      <c r="IK263" s="286"/>
      <c r="IL263" s="286"/>
      <c r="IM263" s="286"/>
      <c r="IN263" s="286"/>
      <c r="IO263" s="286"/>
      <c r="IP263" s="286"/>
      <c r="IQ263" s="286"/>
      <c r="IR263" s="286"/>
      <c r="IS263" s="286"/>
      <c r="IT263" s="286"/>
      <c r="IU263" s="286"/>
      <c r="IV263" s="286"/>
    </row>
    <row r="264" spans="1:256" s="279" customFormat="1">
      <c r="A264" s="286"/>
      <c r="B264" s="340"/>
      <c r="C264" s="340"/>
      <c r="D264" s="286"/>
      <c r="HA264" s="286"/>
      <c r="HB264" s="286"/>
      <c r="HC264" s="286"/>
      <c r="HD264" s="286"/>
      <c r="HE264" s="286"/>
      <c r="HF264" s="286"/>
      <c r="HG264" s="286"/>
      <c r="HH264" s="286"/>
      <c r="HI264" s="286"/>
      <c r="HJ264" s="286"/>
      <c r="HK264" s="286"/>
      <c r="HL264" s="286"/>
      <c r="HM264" s="286"/>
      <c r="HN264" s="286"/>
      <c r="HO264" s="286"/>
      <c r="HP264" s="286"/>
      <c r="HQ264" s="286"/>
      <c r="HR264" s="286"/>
      <c r="HS264" s="286"/>
      <c r="HT264" s="286"/>
      <c r="HU264" s="286"/>
      <c r="HV264" s="286"/>
      <c r="HW264" s="286"/>
      <c r="HX264" s="286"/>
      <c r="HY264" s="286"/>
      <c r="HZ264" s="286"/>
      <c r="IA264" s="286"/>
      <c r="IB264" s="286"/>
      <c r="IC264" s="286"/>
      <c r="ID264" s="286"/>
      <c r="IE264" s="286"/>
      <c r="IF264" s="286"/>
      <c r="IG264" s="286"/>
      <c r="IH264" s="286"/>
      <c r="II264" s="286"/>
      <c r="IJ264" s="286"/>
      <c r="IK264" s="286"/>
      <c r="IL264" s="286"/>
      <c r="IM264" s="286"/>
      <c r="IN264" s="286"/>
      <c r="IO264" s="286"/>
      <c r="IP264" s="286"/>
      <c r="IQ264" s="286"/>
      <c r="IR264" s="286"/>
      <c r="IS264" s="286"/>
      <c r="IT264" s="286"/>
      <c r="IU264" s="286"/>
      <c r="IV264" s="286"/>
    </row>
    <row r="265" spans="1:256" s="279" customFormat="1">
      <c r="A265" s="286"/>
      <c r="B265" s="340"/>
      <c r="C265" s="340"/>
      <c r="D265" s="286"/>
      <c r="HA265" s="286"/>
      <c r="HB265" s="286"/>
      <c r="HC265" s="286"/>
      <c r="HD265" s="286"/>
      <c r="HE265" s="286"/>
      <c r="HF265" s="286"/>
      <c r="HG265" s="286"/>
      <c r="HH265" s="286"/>
      <c r="HI265" s="286"/>
      <c r="HJ265" s="286"/>
      <c r="HK265" s="286"/>
      <c r="HL265" s="286"/>
      <c r="HM265" s="286"/>
      <c r="HN265" s="286"/>
      <c r="HO265" s="286"/>
      <c r="HP265" s="286"/>
      <c r="HQ265" s="286"/>
      <c r="HR265" s="286"/>
      <c r="HS265" s="286"/>
      <c r="HT265" s="286"/>
      <c r="HU265" s="286"/>
      <c r="HV265" s="286"/>
      <c r="HW265" s="286"/>
      <c r="HX265" s="286"/>
      <c r="HY265" s="286"/>
      <c r="HZ265" s="286"/>
      <c r="IA265" s="286"/>
      <c r="IB265" s="286"/>
      <c r="IC265" s="286"/>
      <c r="ID265" s="286"/>
      <c r="IE265" s="286"/>
      <c r="IF265" s="286"/>
      <c r="IG265" s="286"/>
      <c r="IH265" s="286"/>
      <c r="II265" s="286"/>
      <c r="IJ265" s="286"/>
      <c r="IK265" s="286"/>
      <c r="IL265" s="286"/>
      <c r="IM265" s="286"/>
      <c r="IN265" s="286"/>
      <c r="IO265" s="286"/>
      <c r="IP265" s="286"/>
      <c r="IQ265" s="286"/>
      <c r="IR265" s="286"/>
      <c r="IS265" s="286"/>
      <c r="IT265" s="286"/>
      <c r="IU265" s="286"/>
      <c r="IV265" s="286"/>
    </row>
    <row r="266" spans="1:256" s="279" customFormat="1">
      <c r="A266" s="286"/>
      <c r="B266" s="340"/>
      <c r="C266" s="340"/>
      <c r="D266" s="286"/>
      <c r="HA266" s="286"/>
      <c r="HB266" s="286"/>
      <c r="HC266" s="286"/>
      <c r="HD266" s="286"/>
      <c r="HE266" s="286"/>
      <c r="HF266" s="286"/>
      <c r="HG266" s="286"/>
      <c r="HH266" s="286"/>
      <c r="HI266" s="286"/>
      <c r="HJ266" s="286"/>
      <c r="HK266" s="286"/>
      <c r="HL266" s="286"/>
      <c r="HM266" s="286"/>
      <c r="HN266" s="286"/>
      <c r="HO266" s="286"/>
      <c r="HP266" s="286"/>
      <c r="HQ266" s="286"/>
      <c r="HR266" s="286"/>
      <c r="HS266" s="286"/>
      <c r="HT266" s="286"/>
      <c r="HU266" s="286"/>
      <c r="HV266" s="286"/>
      <c r="HW266" s="286"/>
      <c r="HX266" s="286"/>
      <c r="HY266" s="286"/>
      <c r="HZ266" s="286"/>
      <c r="IA266" s="286"/>
      <c r="IB266" s="286"/>
      <c r="IC266" s="286"/>
      <c r="ID266" s="286"/>
      <c r="IE266" s="286"/>
      <c r="IF266" s="286"/>
      <c r="IG266" s="286"/>
      <c r="IH266" s="286"/>
      <c r="II266" s="286"/>
      <c r="IJ266" s="286"/>
      <c r="IK266" s="286"/>
      <c r="IL266" s="286"/>
      <c r="IM266" s="286"/>
      <c r="IN266" s="286"/>
      <c r="IO266" s="286"/>
      <c r="IP266" s="286"/>
      <c r="IQ266" s="286"/>
      <c r="IR266" s="286"/>
      <c r="IS266" s="286"/>
      <c r="IT266" s="286"/>
      <c r="IU266" s="286"/>
      <c r="IV266" s="286"/>
    </row>
    <row r="267" spans="1:256" s="279" customFormat="1">
      <c r="A267" s="286"/>
      <c r="B267" s="340"/>
      <c r="C267" s="340"/>
      <c r="D267" s="286"/>
      <c r="HA267" s="286"/>
      <c r="HB267" s="286"/>
      <c r="HC267" s="286"/>
      <c r="HD267" s="286"/>
      <c r="HE267" s="286"/>
      <c r="HF267" s="286"/>
      <c r="HG267" s="286"/>
      <c r="HH267" s="286"/>
      <c r="HI267" s="286"/>
      <c r="HJ267" s="286"/>
      <c r="HK267" s="286"/>
      <c r="HL267" s="286"/>
      <c r="HM267" s="286"/>
      <c r="HN267" s="286"/>
      <c r="HO267" s="286"/>
      <c r="HP267" s="286"/>
      <c r="HQ267" s="286"/>
      <c r="HR267" s="286"/>
      <c r="HS267" s="286"/>
      <c r="HT267" s="286"/>
      <c r="HU267" s="286"/>
      <c r="HV267" s="286"/>
      <c r="HW267" s="286"/>
      <c r="HX267" s="286"/>
      <c r="HY267" s="286"/>
      <c r="HZ267" s="286"/>
      <c r="IA267" s="286"/>
      <c r="IB267" s="286"/>
      <c r="IC267" s="286"/>
      <c r="ID267" s="286"/>
      <c r="IE267" s="286"/>
      <c r="IF267" s="286"/>
      <c r="IG267" s="286"/>
      <c r="IH267" s="286"/>
      <c r="II267" s="286"/>
      <c r="IJ267" s="286"/>
      <c r="IK267" s="286"/>
      <c r="IL267" s="286"/>
      <c r="IM267" s="286"/>
      <c r="IN267" s="286"/>
      <c r="IO267" s="286"/>
      <c r="IP267" s="286"/>
      <c r="IQ267" s="286"/>
      <c r="IR267" s="286"/>
      <c r="IS267" s="286"/>
      <c r="IT267" s="286"/>
      <c r="IU267" s="286"/>
      <c r="IV267" s="286"/>
    </row>
    <row r="268" spans="1:256" s="279" customFormat="1">
      <c r="A268" s="286"/>
      <c r="B268" s="340"/>
      <c r="C268" s="340"/>
      <c r="D268" s="286"/>
      <c r="HA268" s="286"/>
      <c r="HB268" s="286"/>
      <c r="HC268" s="286"/>
      <c r="HD268" s="286"/>
      <c r="HE268" s="286"/>
      <c r="HF268" s="286"/>
      <c r="HG268" s="286"/>
      <c r="HH268" s="286"/>
      <c r="HI268" s="286"/>
      <c r="HJ268" s="286"/>
      <c r="HK268" s="286"/>
      <c r="HL268" s="286"/>
      <c r="HM268" s="286"/>
      <c r="HN268" s="286"/>
      <c r="HO268" s="286"/>
      <c r="HP268" s="286"/>
      <c r="HQ268" s="286"/>
      <c r="HR268" s="286"/>
      <c r="HS268" s="286"/>
      <c r="HT268" s="286"/>
      <c r="HU268" s="286"/>
      <c r="HV268" s="286"/>
      <c r="HW268" s="286"/>
      <c r="HX268" s="286"/>
      <c r="HY268" s="286"/>
      <c r="HZ268" s="286"/>
      <c r="IA268" s="286"/>
      <c r="IB268" s="286"/>
      <c r="IC268" s="286"/>
      <c r="ID268" s="286"/>
      <c r="IE268" s="286"/>
      <c r="IF268" s="286"/>
      <c r="IG268" s="286"/>
      <c r="IH268" s="286"/>
      <c r="II268" s="286"/>
      <c r="IJ268" s="286"/>
      <c r="IK268" s="286"/>
      <c r="IL268" s="286"/>
      <c r="IM268" s="286"/>
      <c r="IN268" s="286"/>
      <c r="IO268" s="286"/>
      <c r="IP268" s="286"/>
      <c r="IQ268" s="286"/>
      <c r="IR268" s="286"/>
      <c r="IS268" s="286"/>
      <c r="IT268" s="286"/>
      <c r="IU268" s="286"/>
      <c r="IV268" s="286"/>
    </row>
    <row r="269" spans="1:256" s="279" customFormat="1">
      <c r="A269" s="286"/>
      <c r="B269" s="340"/>
      <c r="C269" s="340"/>
      <c r="D269" s="286"/>
      <c r="HA269" s="286"/>
      <c r="HB269" s="286"/>
      <c r="HC269" s="286"/>
      <c r="HD269" s="286"/>
      <c r="HE269" s="286"/>
      <c r="HF269" s="286"/>
      <c r="HG269" s="286"/>
      <c r="HH269" s="286"/>
      <c r="HI269" s="286"/>
      <c r="HJ269" s="286"/>
      <c r="HK269" s="286"/>
      <c r="HL269" s="286"/>
      <c r="HM269" s="286"/>
      <c r="HN269" s="286"/>
      <c r="HO269" s="286"/>
      <c r="HP269" s="286"/>
      <c r="HQ269" s="286"/>
      <c r="HR269" s="286"/>
      <c r="HS269" s="286"/>
      <c r="HT269" s="286"/>
      <c r="HU269" s="286"/>
      <c r="HV269" s="286"/>
      <c r="HW269" s="286"/>
      <c r="HX269" s="286"/>
      <c r="HY269" s="286"/>
      <c r="HZ269" s="286"/>
      <c r="IA269" s="286"/>
      <c r="IB269" s="286"/>
      <c r="IC269" s="286"/>
      <c r="ID269" s="286"/>
      <c r="IE269" s="286"/>
      <c r="IF269" s="286"/>
      <c r="IG269" s="286"/>
      <c r="IH269" s="286"/>
      <c r="II269" s="286"/>
      <c r="IJ269" s="286"/>
      <c r="IK269" s="286"/>
      <c r="IL269" s="286"/>
      <c r="IM269" s="286"/>
      <c r="IN269" s="286"/>
      <c r="IO269" s="286"/>
      <c r="IP269" s="286"/>
      <c r="IQ269" s="286"/>
      <c r="IR269" s="286"/>
      <c r="IS269" s="286"/>
      <c r="IT269" s="286"/>
      <c r="IU269" s="286"/>
      <c r="IV269" s="286"/>
    </row>
    <row r="270" spans="1:256" s="279" customFormat="1">
      <c r="A270" s="286"/>
      <c r="B270" s="340"/>
      <c r="C270" s="340"/>
      <c r="D270" s="286"/>
      <c r="HA270" s="286"/>
      <c r="HB270" s="286"/>
      <c r="HC270" s="286"/>
      <c r="HD270" s="286"/>
      <c r="HE270" s="286"/>
      <c r="HF270" s="286"/>
      <c r="HG270" s="286"/>
      <c r="HH270" s="286"/>
      <c r="HI270" s="286"/>
      <c r="HJ270" s="286"/>
      <c r="HK270" s="286"/>
      <c r="HL270" s="286"/>
      <c r="HM270" s="286"/>
      <c r="HN270" s="286"/>
      <c r="HO270" s="286"/>
      <c r="HP270" s="286"/>
      <c r="HQ270" s="286"/>
      <c r="HR270" s="286"/>
      <c r="HS270" s="286"/>
      <c r="HT270" s="286"/>
      <c r="HU270" s="286"/>
      <c r="HV270" s="286"/>
      <c r="HW270" s="286"/>
      <c r="HX270" s="286"/>
      <c r="HY270" s="286"/>
      <c r="HZ270" s="286"/>
      <c r="IA270" s="286"/>
      <c r="IB270" s="286"/>
      <c r="IC270" s="286"/>
      <c r="ID270" s="286"/>
      <c r="IE270" s="286"/>
      <c r="IF270" s="286"/>
      <c r="IG270" s="286"/>
      <c r="IH270" s="286"/>
      <c r="II270" s="286"/>
      <c r="IJ270" s="286"/>
      <c r="IK270" s="286"/>
      <c r="IL270" s="286"/>
      <c r="IM270" s="286"/>
      <c r="IN270" s="286"/>
      <c r="IO270" s="286"/>
      <c r="IP270" s="286"/>
      <c r="IQ270" s="286"/>
      <c r="IR270" s="286"/>
      <c r="IS270" s="286"/>
      <c r="IT270" s="286"/>
      <c r="IU270" s="286"/>
      <c r="IV270" s="286"/>
    </row>
    <row r="271" spans="1:256" s="279" customFormat="1">
      <c r="A271" s="286"/>
      <c r="B271" s="340"/>
      <c r="C271" s="340"/>
      <c r="D271" s="286"/>
      <c r="HA271" s="286"/>
      <c r="HB271" s="286"/>
      <c r="HC271" s="286"/>
      <c r="HD271" s="286"/>
      <c r="HE271" s="286"/>
      <c r="HF271" s="286"/>
      <c r="HG271" s="286"/>
      <c r="HH271" s="286"/>
      <c r="HI271" s="286"/>
      <c r="HJ271" s="286"/>
      <c r="HK271" s="286"/>
      <c r="HL271" s="286"/>
      <c r="HM271" s="286"/>
      <c r="HN271" s="286"/>
      <c r="HO271" s="286"/>
      <c r="HP271" s="286"/>
      <c r="HQ271" s="286"/>
      <c r="HR271" s="286"/>
      <c r="HS271" s="286"/>
      <c r="HT271" s="286"/>
      <c r="HU271" s="286"/>
      <c r="HV271" s="286"/>
      <c r="HW271" s="286"/>
      <c r="HX271" s="286"/>
      <c r="HY271" s="286"/>
      <c r="HZ271" s="286"/>
      <c r="IA271" s="286"/>
      <c r="IB271" s="286"/>
      <c r="IC271" s="286"/>
      <c r="ID271" s="286"/>
      <c r="IE271" s="286"/>
      <c r="IF271" s="286"/>
      <c r="IG271" s="286"/>
      <c r="IH271" s="286"/>
      <c r="II271" s="286"/>
      <c r="IJ271" s="286"/>
      <c r="IK271" s="286"/>
      <c r="IL271" s="286"/>
      <c r="IM271" s="286"/>
      <c r="IN271" s="286"/>
      <c r="IO271" s="286"/>
      <c r="IP271" s="286"/>
      <c r="IQ271" s="286"/>
      <c r="IR271" s="286"/>
      <c r="IS271" s="286"/>
      <c r="IT271" s="286"/>
      <c r="IU271" s="286"/>
      <c r="IV271" s="286"/>
    </row>
    <row r="272" spans="1:256" s="279" customFormat="1">
      <c r="A272" s="286"/>
      <c r="B272" s="340"/>
      <c r="C272" s="340"/>
      <c r="D272" s="286"/>
      <c r="HA272" s="286"/>
      <c r="HB272" s="286"/>
      <c r="HC272" s="286"/>
      <c r="HD272" s="286"/>
      <c r="HE272" s="286"/>
      <c r="HF272" s="286"/>
      <c r="HG272" s="286"/>
      <c r="HH272" s="286"/>
      <c r="HI272" s="286"/>
      <c r="HJ272" s="286"/>
      <c r="HK272" s="286"/>
      <c r="HL272" s="286"/>
      <c r="HM272" s="286"/>
      <c r="HN272" s="286"/>
      <c r="HO272" s="286"/>
      <c r="HP272" s="286"/>
      <c r="HQ272" s="286"/>
      <c r="HR272" s="286"/>
      <c r="HS272" s="286"/>
      <c r="HT272" s="286"/>
      <c r="HU272" s="286"/>
      <c r="HV272" s="286"/>
      <c r="HW272" s="286"/>
      <c r="HX272" s="286"/>
      <c r="HY272" s="286"/>
      <c r="HZ272" s="286"/>
      <c r="IA272" s="286"/>
      <c r="IB272" s="286"/>
      <c r="IC272" s="286"/>
      <c r="ID272" s="286"/>
      <c r="IE272" s="286"/>
      <c r="IF272" s="286"/>
      <c r="IG272" s="286"/>
      <c r="IH272" s="286"/>
      <c r="II272" s="286"/>
      <c r="IJ272" s="286"/>
      <c r="IK272" s="286"/>
      <c r="IL272" s="286"/>
      <c r="IM272" s="286"/>
      <c r="IN272" s="286"/>
      <c r="IO272" s="286"/>
      <c r="IP272" s="286"/>
      <c r="IQ272" s="286"/>
      <c r="IR272" s="286"/>
      <c r="IS272" s="286"/>
      <c r="IT272" s="286"/>
      <c r="IU272" s="286"/>
      <c r="IV272" s="286"/>
    </row>
    <row r="273" spans="1:256" s="279" customFormat="1">
      <c r="A273" s="286"/>
      <c r="B273" s="340"/>
      <c r="C273" s="340"/>
      <c r="D273" s="286"/>
      <c r="HA273" s="286"/>
      <c r="HB273" s="286"/>
      <c r="HC273" s="286"/>
      <c r="HD273" s="286"/>
      <c r="HE273" s="286"/>
      <c r="HF273" s="286"/>
      <c r="HG273" s="286"/>
      <c r="HH273" s="286"/>
      <c r="HI273" s="286"/>
      <c r="HJ273" s="286"/>
      <c r="HK273" s="286"/>
      <c r="HL273" s="286"/>
      <c r="HM273" s="286"/>
      <c r="HN273" s="286"/>
      <c r="HO273" s="286"/>
      <c r="HP273" s="286"/>
      <c r="HQ273" s="286"/>
      <c r="HR273" s="286"/>
      <c r="HS273" s="286"/>
      <c r="HT273" s="286"/>
      <c r="HU273" s="286"/>
      <c r="HV273" s="286"/>
      <c r="HW273" s="286"/>
      <c r="HX273" s="286"/>
      <c r="HY273" s="286"/>
      <c r="HZ273" s="286"/>
      <c r="IA273" s="286"/>
      <c r="IB273" s="286"/>
      <c r="IC273" s="286"/>
      <c r="ID273" s="286"/>
      <c r="IE273" s="286"/>
      <c r="IF273" s="286"/>
      <c r="IG273" s="286"/>
      <c r="IH273" s="286"/>
      <c r="II273" s="286"/>
      <c r="IJ273" s="286"/>
      <c r="IK273" s="286"/>
      <c r="IL273" s="286"/>
      <c r="IM273" s="286"/>
      <c r="IN273" s="286"/>
      <c r="IO273" s="286"/>
      <c r="IP273" s="286"/>
      <c r="IQ273" s="286"/>
      <c r="IR273" s="286"/>
      <c r="IS273" s="286"/>
      <c r="IT273" s="286"/>
      <c r="IU273" s="286"/>
      <c r="IV273" s="286"/>
    </row>
    <row r="274" spans="1:256" s="279" customFormat="1">
      <c r="A274" s="286"/>
      <c r="B274" s="340"/>
      <c r="C274" s="340"/>
      <c r="D274" s="286"/>
      <c r="HA274" s="286"/>
      <c r="HB274" s="286"/>
      <c r="HC274" s="286"/>
      <c r="HD274" s="286"/>
      <c r="HE274" s="286"/>
      <c r="HF274" s="286"/>
      <c r="HG274" s="286"/>
      <c r="HH274" s="286"/>
      <c r="HI274" s="286"/>
      <c r="HJ274" s="286"/>
      <c r="HK274" s="286"/>
      <c r="HL274" s="286"/>
      <c r="HM274" s="286"/>
      <c r="HN274" s="286"/>
      <c r="HO274" s="286"/>
      <c r="HP274" s="286"/>
      <c r="HQ274" s="286"/>
      <c r="HR274" s="286"/>
      <c r="HS274" s="286"/>
      <c r="HT274" s="286"/>
      <c r="HU274" s="286"/>
      <c r="HV274" s="286"/>
      <c r="HW274" s="286"/>
      <c r="HX274" s="286"/>
      <c r="HY274" s="286"/>
      <c r="HZ274" s="286"/>
      <c r="IA274" s="286"/>
      <c r="IB274" s="286"/>
      <c r="IC274" s="286"/>
      <c r="ID274" s="286"/>
      <c r="IE274" s="286"/>
      <c r="IF274" s="286"/>
      <c r="IG274" s="286"/>
      <c r="IH274" s="286"/>
      <c r="II274" s="286"/>
      <c r="IJ274" s="286"/>
      <c r="IK274" s="286"/>
      <c r="IL274" s="286"/>
      <c r="IM274" s="286"/>
      <c r="IN274" s="286"/>
      <c r="IO274" s="286"/>
      <c r="IP274" s="286"/>
      <c r="IQ274" s="286"/>
      <c r="IR274" s="286"/>
      <c r="IS274" s="286"/>
      <c r="IT274" s="286"/>
      <c r="IU274" s="286"/>
      <c r="IV274" s="286"/>
    </row>
    <row r="275" spans="1:256" s="279" customFormat="1">
      <c r="A275" s="286"/>
      <c r="B275" s="340"/>
      <c r="C275" s="340"/>
      <c r="D275" s="286"/>
      <c r="HA275" s="286"/>
      <c r="HB275" s="286"/>
      <c r="HC275" s="286"/>
      <c r="HD275" s="286"/>
      <c r="HE275" s="286"/>
      <c r="HF275" s="286"/>
      <c r="HG275" s="286"/>
      <c r="HH275" s="286"/>
      <c r="HI275" s="286"/>
      <c r="HJ275" s="286"/>
      <c r="HK275" s="286"/>
      <c r="HL275" s="286"/>
      <c r="HM275" s="286"/>
      <c r="HN275" s="286"/>
      <c r="HO275" s="286"/>
      <c r="HP275" s="286"/>
      <c r="HQ275" s="286"/>
      <c r="HR275" s="286"/>
      <c r="HS275" s="286"/>
      <c r="HT275" s="286"/>
      <c r="HU275" s="286"/>
      <c r="HV275" s="286"/>
      <c r="HW275" s="286"/>
      <c r="HX275" s="286"/>
      <c r="HY275" s="286"/>
      <c r="HZ275" s="286"/>
      <c r="IA275" s="286"/>
      <c r="IB275" s="286"/>
      <c r="IC275" s="286"/>
      <c r="ID275" s="286"/>
      <c r="IE275" s="286"/>
      <c r="IF275" s="286"/>
      <c r="IG275" s="286"/>
      <c r="IH275" s="286"/>
      <c r="II275" s="286"/>
      <c r="IJ275" s="286"/>
      <c r="IK275" s="286"/>
      <c r="IL275" s="286"/>
      <c r="IM275" s="286"/>
      <c r="IN275" s="286"/>
      <c r="IO275" s="286"/>
      <c r="IP275" s="286"/>
      <c r="IQ275" s="286"/>
      <c r="IR275" s="286"/>
      <c r="IS275" s="286"/>
      <c r="IT275" s="286"/>
      <c r="IU275" s="286"/>
      <c r="IV275" s="286"/>
    </row>
    <row r="276" spans="1:256" s="279" customFormat="1">
      <c r="A276" s="286"/>
      <c r="B276" s="340"/>
      <c r="C276" s="340"/>
      <c r="D276" s="286"/>
      <c r="HA276" s="286"/>
      <c r="HB276" s="286"/>
      <c r="HC276" s="286"/>
      <c r="HD276" s="286"/>
      <c r="HE276" s="286"/>
      <c r="HF276" s="286"/>
      <c r="HG276" s="286"/>
      <c r="HH276" s="286"/>
      <c r="HI276" s="286"/>
      <c r="HJ276" s="286"/>
      <c r="HK276" s="286"/>
      <c r="HL276" s="286"/>
      <c r="HM276" s="286"/>
      <c r="HN276" s="286"/>
      <c r="HO276" s="286"/>
      <c r="HP276" s="286"/>
      <c r="HQ276" s="286"/>
      <c r="HR276" s="286"/>
      <c r="HS276" s="286"/>
      <c r="HT276" s="286"/>
      <c r="HU276" s="286"/>
      <c r="HV276" s="286"/>
      <c r="HW276" s="286"/>
      <c r="HX276" s="286"/>
      <c r="HY276" s="286"/>
      <c r="HZ276" s="286"/>
      <c r="IA276" s="286"/>
      <c r="IB276" s="286"/>
      <c r="IC276" s="286"/>
      <c r="ID276" s="286"/>
      <c r="IE276" s="286"/>
      <c r="IF276" s="286"/>
      <c r="IG276" s="286"/>
      <c r="IH276" s="286"/>
      <c r="II276" s="286"/>
      <c r="IJ276" s="286"/>
      <c r="IK276" s="286"/>
      <c r="IL276" s="286"/>
      <c r="IM276" s="286"/>
      <c r="IN276" s="286"/>
      <c r="IO276" s="286"/>
      <c r="IP276" s="286"/>
      <c r="IQ276" s="286"/>
      <c r="IR276" s="286"/>
      <c r="IS276" s="286"/>
      <c r="IT276" s="286"/>
      <c r="IU276" s="286"/>
      <c r="IV276" s="286"/>
    </row>
    <row r="277" spans="1:256" s="279" customFormat="1">
      <c r="A277" s="286"/>
      <c r="B277" s="340"/>
      <c r="C277" s="340"/>
      <c r="D277" s="286"/>
      <c r="HA277" s="286"/>
      <c r="HB277" s="286"/>
      <c r="HC277" s="286"/>
      <c r="HD277" s="286"/>
      <c r="HE277" s="286"/>
      <c r="HF277" s="286"/>
      <c r="HG277" s="286"/>
      <c r="HH277" s="286"/>
      <c r="HI277" s="286"/>
      <c r="HJ277" s="286"/>
      <c r="HK277" s="286"/>
      <c r="HL277" s="286"/>
      <c r="HM277" s="286"/>
      <c r="HN277" s="286"/>
      <c r="HO277" s="286"/>
      <c r="HP277" s="286"/>
      <c r="HQ277" s="286"/>
      <c r="HR277" s="286"/>
      <c r="HS277" s="286"/>
      <c r="HT277" s="286"/>
      <c r="HU277" s="286"/>
      <c r="HV277" s="286"/>
      <c r="HW277" s="286"/>
      <c r="HX277" s="286"/>
      <c r="HY277" s="286"/>
      <c r="HZ277" s="286"/>
      <c r="IA277" s="286"/>
      <c r="IB277" s="286"/>
      <c r="IC277" s="286"/>
      <c r="ID277" s="286"/>
      <c r="IE277" s="286"/>
      <c r="IF277" s="286"/>
      <c r="IG277" s="286"/>
      <c r="IH277" s="286"/>
      <c r="II277" s="286"/>
      <c r="IJ277" s="286"/>
      <c r="IK277" s="286"/>
      <c r="IL277" s="286"/>
      <c r="IM277" s="286"/>
      <c r="IN277" s="286"/>
      <c r="IO277" s="286"/>
      <c r="IP277" s="286"/>
      <c r="IQ277" s="286"/>
      <c r="IR277" s="286"/>
      <c r="IS277" s="286"/>
      <c r="IT277" s="286"/>
      <c r="IU277" s="286"/>
      <c r="IV277" s="286"/>
    </row>
    <row r="278" spans="1:256" s="279" customFormat="1">
      <c r="A278" s="286"/>
      <c r="B278" s="340"/>
      <c r="C278" s="340"/>
      <c r="D278" s="286"/>
      <c r="HA278" s="286"/>
      <c r="HB278" s="286"/>
      <c r="HC278" s="286"/>
      <c r="HD278" s="286"/>
      <c r="HE278" s="286"/>
      <c r="HF278" s="286"/>
      <c r="HG278" s="286"/>
      <c r="HH278" s="286"/>
      <c r="HI278" s="286"/>
      <c r="HJ278" s="286"/>
      <c r="HK278" s="286"/>
      <c r="HL278" s="286"/>
      <c r="HM278" s="286"/>
      <c r="HN278" s="286"/>
      <c r="HO278" s="286"/>
      <c r="HP278" s="286"/>
      <c r="HQ278" s="286"/>
      <c r="HR278" s="286"/>
      <c r="HS278" s="286"/>
      <c r="HT278" s="286"/>
      <c r="HU278" s="286"/>
      <c r="HV278" s="286"/>
      <c r="HW278" s="286"/>
      <c r="HX278" s="286"/>
      <c r="HY278" s="286"/>
      <c r="HZ278" s="286"/>
      <c r="IA278" s="286"/>
      <c r="IB278" s="286"/>
      <c r="IC278" s="286"/>
      <c r="ID278" s="286"/>
      <c r="IE278" s="286"/>
      <c r="IF278" s="286"/>
      <c r="IG278" s="286"/>
      <c r="IH278" s="286"/>
      <c r="II278" s="286"/>
      <c r="IJ278" s="286"/>
      <c r="IK278" s="286"/>
      <c r="IL278" s="286"/>
      <c r="IM278" s="286"/>
      <c r="IN278" s="286"/>
      <c r="IO278" s="286"/>
      <c r="IP278" s="286"/>
      <c r="IQ278" s="286"/>
      <c r="IR278" s="286"/>
      <c r="IS278" s="286"/>
      <c r="IT278" s="286"/>
      <c r="IU278" s="286"/>
      <c r="IV278" s="286"/>
    </row>
    <row r="279" spans="1:256" s="279" customFormat="1">
      <c r="A279" s="286"/>
      <c r="B279" s="340"/>
      <c r="C279" s="340"/>
      <c r="D279" s="286"/>
      <c r="HA279" s="286"/>
      <c r="HB279" s="286"/>
      <c r="HC279" s="286"/>
      <c r="HD279" s="286"/>
      <c r="HE279" s="286"/>
      <c r="HF279" s="286"/>
      <c r="HG279" s="286"/>
      <c r="HH279" s="286"/>
      <c r="HI279" s="286"/>
      <c r="HJ279" s="286"/>
      <c r="HK279" s="286"/>
      <c r="HL279" s="286"/>
      <c r="HM279" s="286"/>
      <c r="HN279" s="286"/>
      <c r="HO279" s="286"/>
      <c r="HP279" s="286"/>
      <c r="HQ279" s="286"/>
      <c r="HR279" s="286"/>
      <c r="HS279" s="286"/>
      <c r="HT279" s="286"/>
      <c r="HU279" s="286"/>
      <c r="HV279" s="286"/>
      <c r="HW279" s="286"/>
      <c r="HX279" s="286"/>
      <c r="HY279" s="286"/>
      <c r="HZ279" s="286"/>
      <c r="IA279" s="286"/>
      <c r="IB279" s="286"/>
      <c r="IC279" s="286"/>
      <c r="ID279" s="286"/>
      <c r="IE279" s="286"/>
      <c r="IF279" s="286"/>
      <c r="IG279" s="286"/>
      <c r="IH279" s="286"/>
      <c r="II279" s="286"/>
      <c r="IJ279" s="286"/>
      <c r="IK279" s="286"/>
      <c r="IL279" s="286"/>
      <c r="IM279" s="286"/>
      <c r="IN279" s="286"/>
      <c r="IO279" s="286"/>
      <c r="IP279" s="286"/>
      <c r="IQ279" s="286"/>
      <c r="IR279" s="286"/>
      <c r="IS279" s="286"/>
      <c r="IT279" s="286"/>
      <c r="IU279" s="286"/>
      <c r="IV279" s="286"/>
    </row>
    <row r="280" spans="1:256" s="279" customFormat="1">
      <c r="A280" s="286"/>
      <c r="B280" s="340"/>
      <c r="C280" s="340"/>
      <c r="D280" s="286"/>
      <c r="HA280" s="286"/>
      <c r="HB280" s="286"/>
      <c r="HC280" s="286"/>
      <c r="HD280" s="286"/>
      <c r="HE280" s="286"/>
      <c r="HF280" s="286"/>
      <c r="HG280" s="286"/>
      <c r="HH280" s="286"/>
      <c r="HI280" s="286"/>
      <c r="HJ280" s="286"/>
      <c r="HK280" s="286"/>
      <c r="HL280" s="286"/>
      <c r="HM280" s="286"/>
      <c r="HN280" s="286"/>
      <c r="HO280" s="286"/>
      <c r="HP280" s="286"/>
      <c r="HQ280" s="286"/>
      <c r="HR280" s="286"/>
      <c r="HS280" s="286"/>
      <c r="HT280" s="286"/>
      <c r="HU280" s="286"/>
      <c r="HV280" s="286"/>
      <c r="HW280" s="286"/>
      <c r="HX280" s="286"/>
      <c r="HY280" s="286"/>
      <c r="HZ280" s="286"/>
      <c r="IA280" s="286"/>
      <c r="IB280" s="286"/>
      <c r="IC280" s="286"/>
      <c r="ID280" s="286"/>
      <c r="IE280" s="286"/>
      <c r="IF280" s="286"/>
      <c r="IG280" s="286"/>
      <c r="IH280" s="286"/>
      <c r="II280" s="286"/>
      <c r="IJ280" s="286"/>
      <c r="IK280" s="286"/>
      <c r="IL280" s="286"/>
      <c r="IM280" s="286"/>
      <c r="IN280" s="286"/>
      <c r="IO280" s="286"/>
      <c r="IP280" s="286"/>
      <c r="IQ280" s="286"/>
      <c r="IR280" s="286"/>
      <c r="IS280" s="286"/>
      <c r="IT280" s="286"/>
      <c r="IU280" s="286"/>
      <c r="IV280" s="286"/>
    </row>
    <row r="281" spans="1:256" s="279" customFormat="1">
      <c r="A281" s="286"/>
      <c r="B281" s="340"/>
      <c r="C281" s="340"/>
      <c r="D281" s="286"/>
      <c r="HA281" s="286"/>
      <c r="HB281" s="286"/>
      <c r="HC281" s="286"/>
      <c r="HD281" s="286"/>
      <c r="HE281" s="286"/>
      <c r="HF281" s="286"/>
      <c r="HG281" s="286"/>
      <c r="HH281" s="286"/>
      <c r="HI281" s="286"/>
      <c r="HJ281" s="286"/>
      <c r="HK281" s="286"/>
      <c r="HL281" s="286"/>
      <c r="HM281" s="286"/>
      <c r="HN281" s="286"/>
      <c r="HO281" s="286"/>
      <c r="HP281" s="286"/>
      <c r="HQ281" s="286"/>
      <c r="HR281" s="286"/>
      <c r="HS281" s="286"/>
      <c r="HT281" s="286"/>
      <c r="HU281" s="286"/>
      <c r="HV281" s="286"/>
      <c r="HW281" s="286"/>
      <c r="HX281" s="286"/>
      <c r="HY281" s="286"/>
      <c r="HZ281" s="286"/>
      <c r="IA281" s="286"/>
      <c r="IB281" s="286"/>
      <c r="IC281" s="286"/>
      <c r="ID281" s="286"/>
      <c r="IE281" s="286"/>
      <c r="IF281" s="286"/>
      <c r="IG281" s="286"/>
      <c r="IH281" s="286"/>
      <c r="II281" s="286"/>
      <c r="IJ281" s="286"/>
      <c r="IK281" s="286"/>
      <c r="IL281" s="286"/>
      <c r="IM281" s="286"/>
      <c r="IN281" s="286"/>
      <c r="IO281" s="286"/>
      <c r="IP281" s="286"/>
      <c r="IQ281" s="286"/>
      <c r="IR281" s="286"/>
      <c r="IS281" s="286"/>
      <c r="IT281" s="286"/>
      <c r="IU281" s="286"/>
      <c r="IV281" s="286"/>
    </row>
    <row r="282" spans="1:256" s="279" customFormat="1">
      <c r="A282" s="286"/>
      <c r="B282" s="340"/>
      <c r="C282" s="340"/>
      <c r="D282" s="286"/>
      <c r="HA282" s="286"/>
      <c r="HB282" s="286"/>
      <c r="HC282" s="286"/>
      <c r="HD282" s="286"/>
      <c r="HE282" s="286"/>
      <c r="HF282" s="286"/>
      <c r="HG282" s="286"/>
      <c r="HH282" s="286"/>
      <c r="HI282" s="286"/>
      <c r="HJ282" s="286"/>
      <c r="HK282" s="286"/>
      <c r="HL282" s="286"/>
      <c r="HM282" s="286"/>
      <c r="HN282" s="286"/>
      <c r="HO282" s="286"/>
      <c r="HP282" s="286"/>
      <c r="HQ282" s="286"/>
      <c r="HR282" s="286"/>
      <c r="HS282" s="286"/>
      <c r="HT282" s="286"/>
      <c r="HU282" s="286"/>
      <c r="HV282" s="286"/>
      <c r="HW282" s="286"/>
      <c r="HX282" s="286"/>
      <c r="HY282" s="286"/>
      <c r="HZ282" s="286"/>
      <c r="IA282" s="286"/>
      <c r="IB282" s="286"/>
      <c r="IC282" s="286"/>
      <c r="ID282" s="286"/>
      <c r="IE282" s="286"/>
      <c r="IF282" s="286"/>
      <c r="IG282" s="286"/>
      <c r="IH282" s="286"/>
      <c r="II282" s="286"/>
      <c r="IJ282" s="286"/>
      <c r="IK282" s="286"/>
      <c r="IL282" s="286"/>
      <c r="IM282" s="286"/>
      <c r="IN282" s="286"/>
      <c r="IO282" s="286"/>
      <c r="IP282" s="286"/>
      <c r="IQ282" s="286"/>
      <c r="IR282" s="286"/>
      <c r="IS282" s="286"/>
      <c r="IT282" s="286"/>
      <c r="IU282" s="286"/>
      <c r="IV282" s="286"/>
    </row>
    <row r="283" spans="1:256" s="279" customFormat="1">
      <c r="A283" s="286"/>
      <c r="B283" s="340"/>
      <c r="C283" s="340"/>
      <c r="D283" s="286"/>
      <c r="HA283" s="471"/>
      <c r="HB283" s="285"/>
      <c r="HC283" s="286"/>
      <c r="HD283" s="286"/>
      <c r="HE283" s="286"/>
      <c r="HF283" s="286"/>
      <c r="HG283" s="286"/>
      <c r="HH283" s="286"/>
      <c r="HI283" s="286"/>
      <c r="HJ283" s="286"/>
      <c r="HK283" s="286"/>
      <c r="HL283" s="286"/>
      <c r="HM283" s="286"/>
      <c r="HN283" s="286"/>
      <c r="HO283" s="286"/>
      <c r="HP283" s="286"/>
      <c r="HQ283" s="286"/>
      <c r="HR283" s="286"/>
      <c r="HS283" s="286"/>
      <c r="HT283" s="286"/>
      <c r="HU283" s="286"/>
      <c r="HV283" s="286"/>
      <c r="HW283" s="286"/>
      <c r="HX283" s="286"/>
      <c r="HY283" s="286"/>
      <c r="HZ283" s="286"/>
      <c r="IA283" s="286"/>
      <c r="IB283" s="286"/>
      <c r="IC283" s="286"/>
      <c r="ID283" s="286"/>
      <c r="IE283" s="286"/>
      <c r="IF283" s="286"/>
      <c r="IG283" s="286"/>
      <c r="IH283" s="286"/>
      <c r="II283" s="286"/>
      <c r="IJ283" s="286"/>
      <c r="IK283" s="286"/>
      <c r="IL283" s="286"/>
      <c r="IM283" s="286"/>
      <c r="IN283" s="286"/>
      <c r="IO283" s="286"/>
      <c r="IP283" s="286"/>
      <c r="IQ283" s="286"/>
      <c r="IR283" s="286"/>
      <c r="IS283" s="286"/>
      <c r="IT283" s="286"/>
      <c r="IU283" s="286"/>
      <c r="IV283" s="286"/>
    </row>
  </sheetData>
  <sheetProtection selectLockedCells="1" selectUnlockedCells="1"/>
  <mergeCells count="122">
    <mergeCell ref="A135:A136"/>
    <mergeCell ref="A138:A140"/>
    <mergeCell ref="B144:C144"/>
    <mergeCell ref="B145:C145"/>
    <mergeCell ref="B146:C146"/>
    <mergeCell ref="B147:C147"/>
    <mergeCell ref="B51:C51"/>
    <mergeCell ref="B52:C52"/>
    <mergeCell ref="B53:C53"/>
    <mergeCell ref="A56:A98"/>
    <mergeCell ref="A100:A130"/>
    <mergeCell ref="A132:A133"/>
    <mergeCell ref="A10:A23"/>
    <mergeCell ref="A25:A43"/>
    <mergeCell ref="B46:C46"/>
    <mergeCell ref="B47:C47"/>
    <mergeCell ref="B49:C49"/>
    <mergeCell ref="B50:C50"/>
    <mergeCell ref="GG4:GJ4"/>
    <mergeCell ref="GK4:GN4"/>
    <mergeCell ref="GO4:GR4"/>
    <mergeCell ref="BU4:BX4"/>
    <mergeCell ref="BY4:CB4"/>
    <mergeCell ref="CG4:CJ4"/>
    <mergeCell ref="AK4:AN4"/>
    <mergeCell ref="AO4:AR4"/>
    <mergeCell ref="AS4:AV4"/>
    <mergeCell ref="AW4:AZ4"/>
    <mergeCell ref="BA4:BD4"/>
    <mergeCell ref="BE4:BH4"/>
    <mergeCell ref="GS4:GV4"/>
    <mergeCell ref="GW4:GZ4"/>
    <mergeCell ref="A6:A7"/>
    <mergeCell ref="FI4:FL4"/>
    <mergeCell ref="FM4:FP4"/>
    <mergeCell ref="FQ4:FT4"/>
    <mergeCell ref="FU4:FX4"/>
    <mergeCell ref="FY4:GB4"/>
    <mergeCell ref="GC4:GF4"/>
    <mergeCell ref="EK4:EN4"/>
    <mergeCell ref="EO4:ER4"/>
    <mergeCell ref="ES4:EV4"/>
    <mergeCell ref="EW4:EZ4"/>
    <mergeCell ref="FA4:FD4"/>
    <mergeCell ref="FE4:FH4"/>
    <mergeCell ref="DI4:DL4"/>
    <mergeCell ref="DQ4:DT4"/>
    <mergeCell ref="DU4:DX4"/>
    <mergeCell ref="DY4:EB4"/>
    <mergeCell ref="EC4:EF4"/>
    <mergeCell ref="EG4:EJ4"/>
    <mergeCell ref="BI4:BL4"/>
    <mergeCell ref="BM4:BP4"/>
    <mergeCell ref="BQ4:BT4"/>
    <mergeCell ref="GK3:GN3"/>
    <mergeCell ref="GO3:GR3"/>
    <mergeCell ref="GS3:GV3"/>
    <mergeCell ref="GW3:GZ3"/>
    <mergeCell ref="M4:P4"/>
    <mergeCell ref="Q4:T4"/>
    <mergeCell ref="U4:X4"/>
    <mergeCell ref="Y4:AB4"/>
    <mergeCell ref="AC4:AF4"/>
    <mergeCell ref="AG4:AJ4"/>
    <mergeCell ref="FM3:FP3"/>
    <mergeCell ref="FQ3:FT3"/>
    <mergeCell ref="FU3:FX3"/>
    <mergeCell ref="FY3:GB3"/>
    <mergeCell ref="GC3:GF3"/>
    <mergeCell ref="GG3:GJ3"/>
    <mergeCell ref="EO3:ER3"/>
    <mergeCell ref="ES3:EV3"/>
    <mergeCell ref="EW3:EZ3"/>
    <mergeCell ref="FA3:FD3"/>
    <mergeCell ref="FE3:FH3"/>
    <mergeCell ref="FI3:FL3"/>
    <mergeCell ref="DQ3:DT3"/>
    <mergeCell ref="DU3:DX3"/>
    <mergeCell ref="EK3:EN3"/>
    <mergeCell ref="CS3:CV3"/>
    <mergeCell ref="CW3:CZ3"/>
    <mergeCell ref="DA3:DD3"/>
    <mergeCell ref="DE3:DH3"/>
    <mergeCell ref="DI3:DL3"/>
    <mergeCell ref="DM3:DP4"/>
    <mergeCell ref="CS4:CV4"/>
    <mergeCell ref="CW4:CZ4"/>
    <mergeCell ref="DA4:DD4"/>
    <mergeCell ref="DE4:DH4"/>
    <mergeCell ref="AW3:AZ3"/>
    <mergeCell ref="BA3:BD3"/>
    <mergeCell ref="BE3:BH3"/>
    <mergeCell ref="BI3:BL3"/>
    <mergeCell ref="BM3:BP3"/>
    <mergeCell ref="BQ3:BT3"/>
    <mergeCell ref="DY3:EB3"/>
    <mergeCell ref="EC3:EF3"/>
    <mergeCell ref="EG3:EJ3"/>
    <mergeCell ref="Y3:AB3"/>
    <mergeCell ref="AC3:AF3"/>
    <mergeCell ref="AG3:AJ3"/>
    <mergeCell ref="AK3:AN3"/>
    <mergeCell ref="AO3:AR3"/>
    <mergeCell ref="AS3:AV3"/>
    <mergeCell ref="A1:L1"/>
    <mergeCell ref="A2:A5"/>
    <mergeCell ref="B2:C5"/>
    <mergeCell ref="D2:D5"/>
    <mergeCell ref="E2:H4"/>
    <mergeCell ref="I2:GZ2"/>
    <mergeCell ref="I3:L4"/>
    <mergeCell ref="M3:P3"/>
    <mergeCell ref="Q3:T3"/>
    <mergeCell ref="U3:X3"/>
    <mergeCell ref="BU3:BX3"/>
    <mergeCell ref="BY3:CB3"/>
    <mergeCell ref="CC3:CF4"/>
    <mergeCell ref="CG3:CJ3"/>
    <mergeCell ref="CK3:CN3"/>
    <mergeCell ref="CO3:CR3"/>
    <mergeCell ref="CK4:CN4"/>
    <mergeCell ref="CO4:CR4"/>
  </mergeCells>
  <pageMargins left="0.78749999999999998" right="0" top="0.39374999999999999" bottom="0.19652777777777777" header="0.51180555555555551" footer="0.51180555555555551"/>
  <pageSetup paperSize="9" scale="40" firstPageNumber="0" orientation="portrait" horizontalDpi="300" verticalDpi="300"/>
  <headerFooter alignWithMargins="0"/>
  <rowBreaks count="1" manualBreakCount="1">
    <brk id="157" max="16383" man="1"/>
  </rowBreaks>
  <colBreaks count="16" manualBreakCount="16">
    <brk id="16" max="1048575" man="1"/>
    <brk id="28" max="1048575" man="1"/>
    <brk id="40" max="1048575" man="1"/>
    <brk id="52" max="1048575" man="1"/>
    <brk id="64" max="1048575" man="1"/>
    <brk id="76" max="1048575" man="1"/>
    <brk id="88" max="1048575" man="1"/>
    <brk id="100" max="1048575" man="1"/>
    <brk id="112" max="1048575" man="1"/>
    <brk id="124" max="1048575" man="1"/>
    <brk id="136" max="1048575" man="1"/>
    <brk id="148" max="1048575" man="1"/>
    <brk id="160" max="1048575" man="1"/>
    <brk id="176" max="1048575" man="1"/>
    <brk id="188" max="1048575" man="1"/>
    <brk id="20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41"/>
  <sheetViews>
    <sheetView view="pageBreakPreview" zoomScaleNormal="100" zoomScaleSheetLayoutView="100" workbookViewId="0">
      <pane xSplit="3" ySplit="8" topLeftCell="AE9" activePane="bottomRight" state="frozen"/>
      <selection pane="topRight" activeCell="D1" sqref="D1"/>
      <selection pane="bottomLeft" activeCell="A9" sqref="A9"/>
      <selection pane="bottomRight" activeCell="A4" sqref="A4:AJ55"/>
    </sheetView>
  </sheetViews>
  <sheetFormatPr defaultRowHeight="14.25"/>
  <cols>
    <col min="1" max="1" width="3.42578125" style="9" customWidth="1"/>
    <col min="2" max="2" width="50.85546875" style="10" customWidth="1"/>
    <col min="3" max="3" width="9" style="255" hidden="1" customWidth="1"/>
    <col min="4" max="4" width="15.140625" style="255" hidden="1" customWidth="1"/>
    <col min="5" max="5" width="10.28515625" style="9" hidden="1" customWidth="1"/>
    <col min="6" max="6" width="10.28515625" style="529" hidden="1" customWidth="1"/>
    <col min="7" max="7" width="9.7109375" style="9" hidden="1" customWidth="1"/>
    <col min="8" max="8" width="9.7109375" style="519" hidden="1" customWidth="1"/>
    <col min="9" max="9" width="9.7109375" style="9" hidden="1" customWidth="1"/>
    <col min="10" max="10" width="9.7109375" style="519" hidden="1" customWidth="1"/>
    <col min="11" max="11" width="10.85546875" style="9" hidden="1" customWidth="1"/>
    <col min="12" max="15" width="10.42578125" style="9" hidden="1" customWidth="1"/>
    <col min="16" max="16" width="16.28515625" style="9" hidden="1" customWidth="1"/>
    <col min="17" max="17" width="15.140625" style="9" hidden="1" customWidth="1"/>
    <col min="18" max="18" width="13.5703125" style="9" hidden="1" customWidth="1"/>
    <col min="19" max="19" width="10.5703125" style="9" hidden="1" customWidth="1"/>
    <col min="20" max="20" width="10.85546875" style="9" hidden="1" customWidth="1"/>
    <col min="21" max="21" width="18" style="9" hidden="1" customWidth="1"/>
    <col min="22" max="22" width="15.42578125" style="9" hidden="1" customWidth="1"/>
    <col min="23" max="23" width="12.140625" style="9" hidden="1" customWidth="1"/>
    <col min="24" max="24" width="13.42578125" style="9" hidden="1" customWidth="1"/>
    <col min="25" max="27" width="8.85546875" style="9" hidden="1" customWidth="1"/>
    <col min="28" max="28" width="9.28515625" style="9" hidden="1" customWidth="1"/>
    <col min="29" max="29" width="14" style="9" hidden="1" customWidth="1"/>
    <col min="30" max="31" width="8.85546875" style="9" hidden="1" customWidth="1"/>
    <col min="32" max="32" width="10.140625" style="9" hidden="1" customWidth="1"/>
    <col min="33" max="33" width="9.5703125" style="9" hidden="1" customWidth="1"/>
    <col min="34" max="34" width="16.140625" style="9" hidden="1" customWidth="1"/>
    <col min="35" max="35" width="12" style="9" hidden="1" customWidth="1"/>
    <col min="36" max="36" width="10.85546875" style="9" customWidth="1"/>
    <col min="37" max="37" width="9.85546875" style="1" customWidth="1"/>
    <col min="38" max="39" width="10.140625" style="1" customWidth="1"/>
    <col min="40" max="42" width="9.28515625" style="1" customWidth="1"/>
    <col min="43" max="43" width="9.85546875" style="1" customWidth="1"/>
    <col min="44" max="45" width="8.5703125" style="1" customWidth="1"/>
    <col min="46" max="48" width="8.85546875" style="1" customWidth="1"/>
    <col min="49" max="49" width="9.28515625" style="1" customWidth="1"/>
    <col min="50" max="51" width="8.85546875" style="1" customWidth="1"/>
    <col min="52" max="52" width="10" style="1" customWidth="1"/>
    <col min="53" max="54" width="8.85546875" style="1" customWidth="1"/>
    <col min="55" max="55" width="11" style="1" customWidth="1"/>
    <col min="56" max="57" width="9.5703125" style="1" customWidth="1"/>
    <col min="58" max="60" width="8.85546875" style="1" customWidth="1"/>
    <col min="61" max="61" width="10.42578125" style="1" customWidth="1"/>
    <col min="62" max="63" width="8.85546875" style="1" customWidth="1"/>
    <col min="64" max="64" width="9.7109375" style="1" customWidth="1"/>
    <col min="65" max="66" width="8.85546875" style="1" customWidth="1"/>
    <col min="67" max="67" width="9.28515625" style="1" customWidth="1"/>
    <col min="68" max="88" width="8.85546875" style="1" customWidth="1"/>
    <col min="89" max="89" width="9.85546875" style="1" customWidth="1"/>
    <col min="90" max="90" width="8.85546875" style="1" customWidth="1"/>
    <col min="91" max="91" width="10" style="1" customWidth="1"/>
    <col min="92" max="108" width="8.85546875" style="1" customWidth="1"/>
    <col min="109" max="109" width="9.42578125" style="1" customWidth="1"/>
    <col min="110" max="110" width="8.85546875" style="1" customWidth="1"/>
    <col min="111" max="111" width="12" style="1" customWidth="1"/>
    <col min="112" max="112" width="11.140625" style="1" customWidth="1"/>
    <col min="113" max="113" width="28.7109375" style="1" customWidth="1"/>
    <col min="114" max="114" width="5.85546875" style="1" customWidth="1"/>
    <col min="115" max="264" width="9.140625" style="1"/>
    <col min="265" max="265" width="3.42578125" style="1" customWidth="1"/>
    <col min="266" max="266" width="27.85546875" style="1" customWidth="1"/>
    <col min="267" max="267" width="11.85546875" style="1" customWidth="1"/>
    <col min="268" max="268" width="15.140625" style="1" customWidth="1"/>
    <col min="269" max="269" width="10.28515625" style="1" customWidth="1"/>
    <col min="270" max="271" width="9.7109375" style="1" customWidth="1"/>
    <col min="272" max="272" width="10.42578125" style="1" customWidth="1"/>
    <col min="273" max="273" width="10.42578125" style="1" bestFit="1" customWidth="1"/>
    <col min="274" max="274" width="16.28515625" style="1" customWidth="1"/>
    <col min="275" max="275" width="15.140625" style="1" customWidth="1"/>
    <col min="276" max="276" width="13.5703125" style="1" customWidth="1"/>
    <col min="277" max="277" width="10.5703125" style="1" customWidth="1"/>
    <col min="278" max="278" width="10.85546875" style="1" customWidth="1"/>
    <col min="279" max="279" width="18" style="1" customWidth="1"/>
    <col min="280" max="280" width="20.85546875" style="1" customWidth="1"/>
    <col min="281" max="281" width="13.5703125" style="1" customWidth="1"/>
    <col min="282" max="282" width="14.140625" style="1" customWidth="1"/>
    <col min="283" max="285" width="8.85546875" style="1" customWidth="1"/>
    <col min="286" max="286" width="9.28515625" style="1" customWidth="1"/>
    <col min="287" max="287" width="14" style="1" customWidth="1"/>
    <col min="288" max="289" width="8.85546875" style="1" customWidth="1"/>
    <col min="290" max="290" width="10.140625" style="1" customWidth="1"/>
    <col min="291" max="292" width="9.5703125" style="1" customWidth="1"/>
    <col min="293" max="293" width="9.85546875" style="1" customWidth="1"/>
    <col min="294" max="295" width="10.140625" style="1" customWidth="1"/>
    <col min="296" max="298" width="9.28515625" style="1" customWidth="1"/>
    <col min="299" max="299" width="9.85546875" style="1" customWidth="1"/>
    <col min="300" max="301" width="8.5703125" style="1" customWidth="1"/>
    <col min="302" max="304" width="8.85546875" style="1" customWidth="1"/>
    <col min="305" max="305" width="9.28515625" style="1" customWidth="1"/>
    <col min="306" max="307" width="8.85546875" style="1" customWidth="1"/>
    <col min="308" max="308" width="10" style="1" customWidth="1"/>
    <col min="309" max="310" width="8.85546875" style="1" customWidth="1"/>
    <col min="311" max="311" width="11" style="1" customWidth="1"/>
    <col min="312" max="313" width="9.5703125" style="1" customWidth="1"/>
    <col min="314" max="316" width="8.85546875" style="1" customWidth="1"/>
    <col min="317" max="317" width="10.42578125" style="1" customWidth="1"/>
    <col min="318" max="319" width="8.85546875" style="1" customWidth="1"/>
    <col min="320" max="320" width="9.7109375" style="1" customWidth="1"/>
    <col min="321" max="322" width="8.85546875" style="1" customWidth="1"/>
    <col min="323" max="323" width="9.28515625" style="1" customWidth="1"/>
    <col min="324" max="344" width="8.85546875" style="1" customWidth="1"/>
    <col min="345" max="345" width="9.85546875" style="1" customWidth="1"/>
    <col min="346" max="346" width="8.85546875" style="1" customWidth="1"/>
    <col min="347" max="347" width="10" style="1" customWidth="1"/>
    <col min="348" max="364" width="8.85546875" style="1" customWidth="1"/>
    <col min="365" max="365" width="9.42578125" style="1" customWidth="1"/>
    <col min="366" max="366" width="8.85546875" style="1" customWidth="1"/>
    <col min="367" max="367" width="12" style="1" customWidth="1"/>
    <col min="368" max="368" width="11.140625" style="1" customWidth="1"/>
    <col min="369" max="369" width="28.7109375" style="1" customWidth="1"/>
    <col min="370" max="370" width="5.85546875" style="1" customWidth="1"/>
    <col min="371" max="520" width="9.140625" style="1"/>
    <col min="521" max="521" width="3.42578125" style="1" customWidth="1"/>
    <col min="522" max="522" width="27.85546875" style="1" customWidth="1"/>
    <col min="523" max="523" width="11.85546875" style="1" customWidth="1"/>
    <col min="524" max="524" width="15.140625" style="1" customWidth="1"/>
    <col min="525" max="525" width="10.28515625" style="1" customWidth="1"/>
    <col min="526" max="527" width="9.7109375" style="1" customWidth="1"/>
    <col min="528" max="528" width="10.42578125" style="1" customWidth="1"/>
    <col min="529" max="529" width="10.42578125" style="1" bestFit="1" customWidth="1"/>
    <col min="530" max="530" width="16.28515625" style="1" customWidth="1"/>
    <col min="531" max="531" width="15.140625" style="1" customWidth="1"/>
    <col min="532" max="532" width="13.5703125" style="1" customWidth="1"/>
    <col min="533" max="533" width="10.5703125" style="1" customWidth="1"/>
    <col min="534" max="534" width="10.85546875" style="1" customWidth="1"/>
    <col min="535" max="535" width="18" style="1" customWidth="1"/>
    <col min="536" max="536" width="20.85546875" style="1" customWidth="1"/>
    <col min="537" max="537" width="13.5703125" style="1" customWidth="1"/>
    <col min="538" max="538" width="14.140625" style="1" customWidth="1"/>
    <col min="539" max="541" width="8.85546875" style="1" customWidth="1"/>
    <col min="542" max="542" width="9.28515625" style="1" customWidth="1"/>
    <col min="543" max="543" width="14" style="1" customWidth="1"/>
    <col min="544" max="545" width="8.85546875" style="1" customWidth="1"/>
    <col min="546" max="546" width="10.140625" style="1" customWidth="1"/>
    <col min="547" max="548" width="9.5703125" style="1" customWidth="1"/>
    <col min="549" max="549" width="9.85546875" style="1" customWidth="1"/>
    <col min="550" max="551" width="10.140625" style="1" customWidth="1"/>
    <col min="552" max="554" width="9.28515625" style="1" customWidth="1"/>
    <col min="555" max="555" width="9.85546875" style="1" customWidth="1"/>
    <col min="556" max="557" width="8.5703125" style="1" customWidth="1"/>
    <col min="558" max="560" width="8.85546875" style="1" customWidth="1"/>
    <col min="561" max="561" width="9.28515625" style="1" customWidth="1"/>
    <col min="562" max="563" width="8.85546875" style="1" customWidth="1"/>
    <col min="564" max="564" width="10" style="1" customWidth="1"/>
    <col min="565" max="566" width="8.85546875" style="1" customWidth="1"/>
    <col min="567" max="567" width="11" style="1" customWidth="1"/>
    <col min="568" max="569" width="9.5703125" style="1" customWidth="1"/>
    <col min="570" max="572" width="8.85546875" style="1" customWidth="1"/>
    <col min="573" max="573" width="10.42578125" style="1" customWidth="1"/>
    <col min="574" max="575" width="8.85546875" style="1" customWidth="1"/>
    <col min="576" max="576" width="9.7109375" style="1" customWidth="1"/>
    <col min="577" max="578" width="8.85546875" style="1" customWidth="1"/>
    <col min="579" max="579" width="9.28515625" style="1" customWidth="1"/>
    <col min="580" max="600" width="8.85546875" style="1" customWidth="1"/>
    <col min="601" max="601" width="9.85546875" style="1" customWidth="1"/>
    <col min="602" max="602" width="8.85546875" style="1" customWidth="1"/>
    <col min="603" max="603" width="10" style="1" customWidth="1"/>
    <col min="604" max="620" width="8.85546875" style="1" customWidth="1"/>
    <col min="621" max="621" width="9.42578125" style="1" customWidth="1"/>
    <col min="622" max="622" width="8.85546875" style="1" customWidth="1"/>
    <col min="623" max="623" width="12" style="1" customWidth="1"/>
    <col min="624" max="624" width="11.140625" style="1" customWidth="1"/>
    <col min="625" max="625" width="28.7109375" style="1" customWidth="1"/>
    <col min="626" max="626" width="5.85546875" style="1" customWidth="1"/>
    <col min="627" max="776" width="9.140625" style="1"/>
    <col min="777" max="777" width="3.42578125" style="1" customWidth="1"/>
    <col min="778" max="778" width="27.85546875" style="1" customWidth="1"/>
    <col min="779" max="779" width="11.85546875" style="1" customWidth="1"/>
    <col min="780" max="780" width="15.140625" style="1" customWidth="1"/>
    <col min="781" max="781" width="10.28515625" style="1" customWidth="1"/>
    <col min="782" max="783" width="9.7109375" style="1" customWidth="1"/>
    <col min="784" max="784" width="10.42578125" style="1" customWidth="1"/>
    <col min="785" max="785" width="10.42578125" style="1" bestFit="1" customWidth="1"/>
    <col min="786" max="786" width="16.28515625" style="1" customWidth="1"/>
    <col min="787" max="787" width="15.140625" style="1" customWidth="1"/>
    <col min="788" max="788" width="13.5703125" style="1" customWidth="1"/>
    <col min="789" max="789" width="10.5703125" style="1" customWidth="1"/>
    <col min="790" max="790" width="10.85546875" style="1" customWidth="1"/>
    <col min="791" max="791" width="18" style="1" customWidth="1"/>
    <col min="792" max="792" width="20.85546875" style="1" customWidth="1"/>
    <col min="793" max="793" width="13.5703125" style="1" customWidth="1"/>
    <col min="794" max="794" width="14.140625" style="1" customWidth="1"/>
    <col min="795" max="797" width="8.85546875" style="1" customWidth="1"/>
    <col min="798" max="798" width="9.28515625" style="1" customWidth="1"/>
    <col min="799" max="799" width="14" style="1" customWidth="1"/>
    <col min="800" max="801" width="8.85546875" style="1" customWidth="1"/>
    <col min="802" max="802" width="10.140625" style="1" customWidth="1"/>
    <col min="803" max="804" width="9.5703125" style="1" customWidth="1"/>
    <col min="805" max="805" width="9.85546875" style="1" customWidth="1"/>
    <col min="806" max="807" width="10.140625" style="1" customWidth="1"/>
    <col min="808" max="810" width="9.28515625" style="1" customWidth="1"/>
    <col min="811" max="811" width="9.85546875" style="1" customWidth="1"/>
    <col min="812" max="813" width="8.5703125" style="1" customWidth="1"/>
    <col min="814" max="816" width="8.85546875" style="1" customWidth="1"/>
    <col min="817" max="817" width="9.28515625" style="1" customWidth="1"/>
    <col min="818" max="819" width="8.85546875" style="1" customWidth="1"/>
    <col min="820" max="820" width="10" style="1" customWidth="1"/>
    <col min="821" max="822" width="8.85546875" style="1" customWidth="1"/>
    <col min="823" max="823" width="11" style="1" customWidth="1"/>
    <col min="824" max="825" width="9.5703125" style="1" customWidth="1"/>
    <col min="826" max="828" width="8.85546875" style="1" customWidth="1"/>
    <col min="829" max="829" width="10.42578125" style="1" customWidth="1"/>
    <col min="830" max="831" width="8.85546875" style="1" customWidth="1"/>
    <col min="832" max="832" width="9.7109375" style="1" customWidth="1"/>
    <col min="833" max="834" width="8.85546875" style="1" customWidth="1"/>
    <col min="835" max="835" width="9.28515625" style="1" customWidth="1"/>
    <col min="836" max="856" width="8.85546875" style="1" customWidth="1"/>
    <col min="857" max="857" width="9.85546875" style="1" customWidth="1"/>
    <col min="858" max="858" width="8.85546875" style="1" customWidth="1"/>
    <col min="859" max="859" width="10" style="1" customWidth="1"/>
    <col min="860" max="876" width="8.85546875" style="1" customWidth="1"/>
    <col min="877" max="877" width="9.42578125" style="1" customWidth="1"/>
    <col min="878" max="878" width="8.85546875" style="1" customWidth="1"/>
    <col min="879" max="879" width="12" style="1" customWidth="1"/>
    <col min="880" max="880" width="11.140625" style="1" customWidth="1"/>
    <col min="881" max="881" width="28.7109375" style="1" customWidth="1"/>
    <col min="882" max="882" width="5.85546875" style="1" customWidth="1"/>
    <col min="883" max="1032" width="9.140625" style="1"/>
    <col min="1033" max="1033" width="3.42578125" style="1" customWidth="1"/>
    <col min="1034" max="1034" width="27.85546875" style="1" customWidth="1"/>
    <col min="1035" max="1035" width="11.85546875" style="1" customWidth="1"/>
    <col min="1036" max="1036" width="15.140625" style="1" customWidth="1"/>
    <col min="1037" max="1037" width="10.28515625" style="1" customWidth="1"/>
    <col min="1038" max="1039" width="9.7109375" style="1" customWidth="1"/>
    <col min="1040" max="1040" width="10.42578125" style="1" customWidth="1"/>
    <col min="1041" max="1041" width="10.42578125" style="1" bestFit="1" customWidth="1"/>
    <col min="1042" max="1042" width="16.28515625" style="1" customWidth="1"/>
    <col min="1043" max="1043" width="15.140625" style="1" customWidth="1"/>
    <col min="1044" max="1044" width="13.5703125" style="1" customWidth="1"/>
    <col min="1045" max="1045" width="10.5703125" style="1" customWidth="1"/>
    <col min="1046" max="1046" width="10.85546875" style="1" customWidth="1"/>
    <col min="1047" max="1047" width="18" style="1" customWidth="1"/>
    <col min="1048" max="1048" width="20.85546875" style="1" customWidth="1"/>
    <col min="1049" max="1049" width="13.5703125" style="1" customWidth="1"/>
    <col min="1050" max="1050" width="14.140625" style="1" customWidth="1"/>
    <col min="1051" max="1053" width="8.85546875" style="1" customWidth="1"/>
    <col min="1054" max="1054" width="9.28515625" style="1" customWidth="1"/>
    <col min="1055" max="1055" width="14" style="1" customWidth="1"/>
    <col min="1056" max="1057" width="8.85546875" style="1" customWidth="1"/>
    <col min="1058" max="1058" width="10.140625" style="1" customWidth="1"/>
    <col min="1059" max="1060" width="9.5703125" style="1" customWidth="1"/>
    <col min="1061" max="1061" width="9.85546875" style="1" customWidth="1"/>
    <col min="1062" max="1063" width="10.140625" style="1" customWidth="1"/>
    <col min="1064" max="1066" width="9.28515625" style="1" customWidth="1"/>
    <col min="1067" max="1067" width="9.85546875" style="1" customWidth="1"/>
    <col min="1068" max="1069" width="8.5703125" style="1" customWidth="1"/>
    <col min="1070" max="1072" width="8.85546875" style="1" customWidth="1"/>
    <col min="1073" max="1073" width="9.28515625" style="1" customWidth="1"/>
    <col min="1074" max="1075" width="8.85546875" style="1" customWidth="1"/>
    <col min="1076" max="1076" width="10" style="1" customWidth="1"/>
    <col min="1077" max="1078" width="8.85546875" style="1" customWidth="1"/>
    <col min="1079" max="1079" width="11" style="1" customWidth="1"/>
    <col min="1080" max="1081" width="9.5703125" style="1" customWidth="1"/>
    <col min="1082" max="1084" width="8.85546875" style="1" customWidth="1"/>
    <col min="1085" max="1085" width="10.42578125" style="1" customWidth="1"/>
    <col min="1086" max="1087" width="8.85546875" style="1" customWidth="1"/>
    <col min="1088" max="1088" width="9.7109375" style="1" customWidth="1"/>
    <col min="1089" max="1090" width="8.85546875" style="1" customWidth="1"/>
    <col min="1091" max="1091" width="9.28515625" style="1" customWidth="1"/>
    <col min="1092" max="1112" width="8.85546875" style="1" customWidth="1"/>
    <col min="1113" max="1113" width="9.85546875" style="1" customWidth="1"/>
    <col min="1114" max="1114" width="8.85546875" style="1" customWidth="1"/>
    <col min="1115" max="1115" width="10" style="1" customWidth="1"/>
    <col min="1116" max="1132" width="8.85546875" style="1" customWidth="1"/>
    <col min="1133" max="1133" width="9.42578125" style="1" customWidth="1"/>
    <col min="1134" max="1134" width="8.85546875" style="1" customWidth="1"/>
    <col min="1135" max="1135" width="12" style="1" customWidth="1"/>
    <col min="1136" max="1136" width="11.140625" style="1" customWidth="1"/>
    <col min="1137" max="1137" width="28.7109375" style="1" customWidth="1"/>
    <col min="1138" max="1138" width="5.85546875" style="1" customWidth="1"/>
    <col min="1139" max="1288" width="9.140625" style="1"/>
    <col min="1289" max="1289" width="3.42578125" style="1" customWidth="1"/>
    <col min="1290" max="1290" width="27.85546875" style="1" customWidth="1"/>
    <col min="1291" max="1291" width="11.85546875" style="1" customWidth="1"/>
    <col min="1292" max="1292" width="15.140625" style="1" customWidth="1"/>
    <col min="1293" max="1293" width="10.28515625" style="1" customWidth="1"/>
    <col min="1294" max="1295" width="9.7109375" style="1" customWidth="1"/>
    <col min="1296" max="1296" width="10.42578125" style="1" customWidth="1"/>
    <col min="1297" max="1297" width="10.42578125" style="1" bestFit="1" customWidth="1"/>
    <col min="1298" max="1298" width="16.28515625" style="1" customWidth="1"/>
    <col min="1299" max="1299" width="15.140625" style="1" customWidth="1"/>
    <col min="1300" max="1300" width="13.5703125" style="1" customWidth="1"/>
    <col min="1301" max="1301" width="10.5703125" style="1" customWidth="1"/>
    <col min="1302" max="1302" width="10.85546875" style="1" customWidth="1"/>
    <col min="1303" max="1303" width="18" style="1" customWidth="1"/>
    <col min="1304" max="1304" width="20.85546875" style="1" customWidth="1"/>
    <col min="1305" max="1305" width="13.5703125" style="1" customWidth="1"/>
    <col min="1306" max="1306" width="14.140625" style="1" customWidth="1"/>
    <col min="1307" max="1309" width="8.85546875" style="1" customWidth="1"/>
    <col min="1310" max="1310" width="9.28515625" style="1" customWidth="1"/>
    <col min="1311" max="1311" width="14" style="1" customWidth="1"/>
    <col min="1312" max="1313" width="8.85546875" style="1" customWidth="1"/>
    <col min="1314" max="1314" width="10.140625" style="1" customWidth="1"/>
    <col min="1315" max="1316" width="9.5703125" style="1" customWidth="1"/>
    <col min="1317" max="1317" width="9.85546875" style="1" customWidth="1"/>
    <col min="1318" max="1319" width="10.140625" style="1" customWidth="1"/>
    <col min="1320" max="1322" width="9.28515625" style="1" customWidth="1"/>
    <col min="1323" max="1323" width="9.85546875" style="1" customWidth="1"/>
    <col min="1324" max="1325" width="8.5703125" style="1" customWidth="1"/>
    <col min="1326" max="1328" width="8.85546875" style="1" customWidth="1"/>
    <col min="1329" max="1329" width="9.28515625" style="1" customWidth="1"/>
    <col min="1330" max="1331" width="8.85546875" style="1" customWidth="1"/>
    <col min="1332" max="1332" width="10" style="1" customWidth="1"/>
    <col min="1333" max="1334" width="8.85546875" style="1" customWidth="1"/>
    <col min="1335" max="1335" width="11" style="1" customWidth="1"/>
    <col min="1336" max="1337" width="9.5703125" style="1" customWidth="1"/>
    <col min="1338" max="1340" width="8.85546875" style="1" customWidth="1"/>
    <col min="1341" max="1341" width="10.42578125" style="1" customWidth="1"/>
    <col min="1342" max="1343" width="8.85546875" style="1" customWidth="1"/>
    <col min="1344" max="1344" width="9.7109375" style="1" customWidth="1"/>
    <col min="1345" max="1346" width="8.85546875" style="1" customWidth="1"/>
    <col min="1347" max="1347" width="9.28515625" style="1" customWidth="1"/>
    <col min="1348" max="1368" width="8.85546875" style="1" customWidth="1"/>
    <col min="1369" max="1369" width="9.85546875" style="1" customWidth="1"/>
    <col min="1370" max="1370" width="8.85546875" style="1" customWidth="1"/>
    <col min="1371" max="1371" width="10" style="1" customWidth="1"/>
    <col min="1372" max="1388" width="8.85546875" style="1" customWidth="1"/>
    <col min="1389" max="1389" width="9.42578125" style="1" customWidth="1"/>
    <col min="1390" max="1390" width="8.85546875" style="1" customWidth="1"/>
    <col min="1391" max="1391" width="12" style="1" customWidth="1"/>
    <col min="1392" max="1392" width="11.140625" style="1" customWidth="1"/>
    <col min="1393" max="1393" width="28.7109375" style="1" customWidth="1"/>
    <col min="1394" max="1394" width="5.85546875" style="1" customWidth="1"/>
    <col min="1395" max="1544" width="9.140625" style="1"/>
    <col min="1545" max="1545" width="3.42578125" style="1" customWidth="1"/>
    <col min="1546" max="1546" width="27.85546875" style="1" customWidth="1"/>
    <col min="1547" max="1547" width="11.85546875" style="1" customWidth="1"/>
    <col min="1548" max="1548" width="15.140625" style="1" customWidth="1"/>
    <col min="1549" max="1549" width="10.28515625" style="1" customWidth="1"/>
    <col min="1550" max="1551" width="9.7109375" style="1" customWidth="1"/>
    <col min="1552" max="1552" width="10.42578125" style="1" customWidth="1"/>
    <col min="1553" max="1553" width="10.42578125" style="1" bestFit="1" customWidth="1"/>
    <col min="1554" max="1554" width="16.28515625" style="1" customWidth="1"/>
    <col min="1555" max="1555" width="15.140625" style="1" customWidth="1"/>
    <col min="1556" max="1556" width="13.5703125" style="1" customWidth="1"/>
    <col min="1557" max="1557" width="10.5703125" style="1" customWidth="1"/>
    <col min="1558" max="1558" width="10.85546875" style="1" customWidth="1"/>
    <col min="1559" max="1559" width="18" style="1" customWidth="1"/>
    <col min="1560" max="1560" width="20.85546875" style="1" customWidth="1"/>
    <col min="1561" max="1561" width="13.5703125" style="1" customWidth="1"/>
    <col min="1562" max="1562" width="14.140625" style="1" customWidth="1"/>
    <col min="1563" max="1565" width="8.85546875" style="1" customWidth="1"/>
    <col min="1566" max="1566" width="9.28515625" style="1" customWidth="1"/>
    <col min="1567" max="1567" width="14" style="1" customWidth="1"/>
    <col min="1568" max="1569" width="8.85546875" style="1" customWidth="1"/>
    <col min="1570" max="1570" width="10.140625" style="1" customWidth="1"/>
    <col min="1571" max="1572" width="9.5703125" style="1" customWidth="1"/>
    <col min="1573" max="1573" width="9.85546875" style="1" customWidth="1"/>
    <col min="1574" max="1575" width="10.140625" style="1" customWidth="1"/>
    <col min="1576" max="1578" width="9.28515625" style="1" customWidth="1"/>
    <col min="1579" max="1579" width="9.85546875" style="1" customWidth="1"/>
    <col min="1580" max="1581" width="8.5703125" style="1" customWidth="1"/>
    <col min="1582" max="1584" width="8.85546875" style="1" customWidth="1"/>
    <col min="1585" max="1585" width="9.28515625" style="1" customWidth="1"/>
    <col min="1586" max="1587" width="8.85546875" style="1" customWidth="1"/>
    <col min="1588" max="1588" width="10" style="1" customWidth="1"/>
    <col min="1589" max="1590" width="8.85546875" style="1" customWidth="1"/>
    <col min="1591" max="1591" width="11" style="1" customWidth="1"/>
    <col min="1592" max="1593" width="9.5703125" style="1" customWidth="1"/>
    <col min="1594" max="1596" width="8.85546875" style="1" customWidth="1"/>
    <col min="1597" max="1597" width="10.42578125" style="1" customWidth="1"/>
    <col min="1598" max="1599" width="8.85546875" style="1" customWidth="1"/>
    <col min="1600" max="1600" width="9.7109375" style="1" customWidth="1"/>
    <col min="1601" max="1602" width="8.85546875" style="1" customWidth="1"/>
    <col min="1603" max="1603" width="9.28515625" style="1" customWidth="1"/>
    <col min="1604" max="1624" width="8.85546875" style="1" customWidth="1"/>
    <col min="1625" max="1625" width="9.85546875" style="1" customWidth="1"/>
    <col min="1626" max="1626" width="8.85546875" style="1" customWidth="1"/>
    <col min="1627" max="1627" width="10" style="1" customWidth="1"/>
    <col min="1628" max="1644" width="8.85546875" style="1" customWidth="1"/>
    <col min="1645" max="1645" width="9.42578125" style="1" customWidth="1"/>
    <col min="1646" max="1646" width="8.85546875" style="1" customWidth="1"/>
    <col min="1647" max="1647" width="12" style="1" customWidth="1"/>
    <col min="1648" max="1648" width="11.140625" style="1" customWidth="1"/>
    <col min="1649" max="1649" width="28.7109375" style="1" customWidth="1"/>
    <col min="1650" max="1650" width="5.85546875" style="1" customWidth="1"/>
    <col min="1651" max="1800" width="9.140625" style="1"/>
    <col min="1801" max="1801" width="3.42578125" style="1" customWidth="1"/>
    <col min="1802" max="1802" width="27.85546875" style="1" customWidth="1"/>
    <col min="1803" max="1803" width="11.85546875" style="1" customWidth="1"/>
    <col min="1804" max="1804" width="15.140625" style="1" customWidth="1"/>
    <col min="1805" max="1805" width="10.28515625" style="1" customWidth="1"/>
    <col min="1806" max="1807" width="9.7109375" style="1" customWidth="1"/>
    <col min="1808" max="1808" width="10.42578125" style="1" customWidth="1"/>
    <col min="1809" max="1809" width="10.42578125" style="1" bestFit="1" customWidth="1"/>
    <col min="1810" max="1810" width="16.28515625" style="1" customWidth="1"/>
    <col min="1811" max="1811" width="15.140625" style="1" customWidth="1"/>
    <col min="1812" max="1812" width="13.5703125" style="1" customWidth="1"/>
    <col min="1813" max="1813" width="10.5703125" style="1" customWidth="1"/>
    <col min="1814" max="1814" width="10.85546875" style="1" customWidth="1"/>
    <col min="1815" max="1815" width="18" style="1" customWidth="1"/>
    <col min="1816" max="1816" width="20.85546875" style="1" customWidth="1"/>
    <col min="1817" max="1817" width="13.5703125" style="1" customWidth="1"/>
    <col min="1818" max="1818" width="14.140625" style="1" customWidth="1"/>
    <col min="1819" max="1821" width="8.85546875" style="1" customWidth="1"/>
    <col min="1822" max="1822" width="9.28515625" style="1" customWidth="1"/>
    <col min="1823" max="1823" width="14" style="1" customWidth="1"/>
    <col min="1824" max="1825" width="8.85546875" style="1" customWidth="1"/>
    <col min="1826" max="1826" width="10.140625" style="1" customWidth="1"/>
    <col min="1827" max="1828" width="9.5703125" style="1" customWidth="1"/>
    <col min="1829" max="1829" width="9.85546875" style="1" customWidth="1"/>
    <col min="1830" max="1831" width="10.140625" style="1" customWidth="1"/>
    <col min="1832" max="1834" width="9.28515625" style="1" customWidth="1"/>
    <col min="1835" max="1835" width="9.85546875" style="1" customWidth="1"/>
    <col min="1836" max="1837" width="8.5703125" style="1" customWidth="1"/>
    <col min="1838" max="1840" width="8.85546875" style="1" customWidth="1"/>
    <col min="1841" max="1841" width="9.28515625" style="1" customWidth="1"/>
    <col min="1842" max="1843" width="8.85546875" style="1" customWidth="1"/>
    <col min="1844" max="1844" width="10" style="1" customWidth="1"/>
    <col min="1845" max="1846" width="8.85546875" style="1" customWidth="1"/>
    <col min="1847" max="1847" width="11" style="1" customWidth="1"/>
    <col min="1848" max="1849" width="9.5703125" style="1" customWidth="1"/>
    <col min="1850" max="1852" width="8.85546875" style="1" customWidth="1"/>
    <col min="1853" max="1853" width="10.42578125" style="1" customWidth="1"/>
    <col min="1854" max="1855" width="8.85546875" style="1" customWidth="1"/>
    <col min="1856" max="1856" width="9.7109375" style="1" customWidth="1"/>
    <col min="1857" max="1858" width="8.85546875" style="1" customWidth="1"/>
    <col min="1859" max="1859" width="9.28515625" style="1" customWidth="1"/>
    <col min="1860" max="1880" width="8.85546875" style="1" customWidth="1"/>
    <col min="1881" max="1881" width="9.85546875" style="1" customWidth="1"/>
    <col min="1882" max="1882" width="8.85546875" style="1" customWidth="1"/>
    <col min="1883" max="1883" width="10" style="1" customWidth="1"/>
    <col min="1884" max="1900" width="8.85546875" style="1" customWidth="1"/>
    <col min="1901" max="1901" width="9.42578125" style="1" customWidth="1"/>
    <col min="1902" max="1902" width="8.85546875" style="1" customWidth="1"/>
    <col min="1903" max="1903" width="12" style="1" customWidth="1"/>
    <col min="1904" max="1904" width="11.140625" style="1" customWidth="1"/>
    <col min="1905" max="1905" width="28.7109375" style="1" customWidth="1"/>
    <col min="1906" max="1906" width="5.85546875" style="1" customWidth="1"/>
    <col min="1907" max="2056" width="9.140625" style="1"/>
    <col min="2057" max="2057" width="3.42578125" style="1" customWidth="1"/>
    <col min="2058" max="2058" width="27.85546875" style="1" customWidth="1"/>
    <col min="2059" max="2059" width="11.85546875" style="1" customWidth="1"/>
    <col min="2060" max="2060" width="15.140625" style="1" customWidth="1"/>
    <col min="2061" max="2061" width="10.28515625" style="1" customWidth="1"/>
    <col min="2062" max="2063" width="9.7109375" style="1" customWidth="1"/>
    <col min="2064" max="2064" width="10.42578125" style="1" customWidth="1"/>
    <col min="2065" max="2065" width="10.42578125" style="1" bestFit="1" customWidth="1"/>
    <col min="2066" max="2066" width="16.28515625" style="1" customWidth="1"/>
    <col min="2067" max="2067" width="15.140625" style="1" customWidth="1"/>
    <col min="2068" max="2068" width="13.5703125" style="1" customWidth="1"/>
    <col min="2069" max="2069" width="10.5703125" style="1" customWidth="1"/>
    <col min="2070" max="2070" width="10.85546875" style="1" customWidth="1"/>
    <col min="2071" max="2071" width="18" style="1" customWidth="1"/>
    <col min="2072" max="2072" width="20.85546875" style="1" customWidth="1"/>
    <col min="2073" max="2073" width="13.5703125" style="1" customWidth="1"/>
    <col min="2074" max="2074" width="14.140625" style="1" customWidth="1"/>
    <col min="2075" max="2077" width="8.85546875" style="1" customWidth="1"/>
    <col min="2078" max="2078" width="9.28515625" style="1" customWidth="1"/>
    <col min="2079" max="2079" width="14" style="1" customWidth="1"/>
    <col min="2080" max="2081" width="8.85546875" style="1" customWidth="1"/>
    <col min="2082" max="2082" width="10.140625" style="1" customWidth="1"/>
    <col min="2083" max="2084" width="9.5703125" style="1" customWidth="1"/>
    <col min="2085" max="2085" width="9.85546875" style="1" customWidth="1"/>
    <col min="2086" max="2087" width="10.140625" style="1" customWidth="1"/>
    <col min="2088" max="2090" width="9.28515625" style="1" customWidth="1"/>
    <col min="2091" max="2091" width="9.85546875" style="1" customWidth="1"/>
    <col min="2092" max="2093" width="8.5703125" style="1" customWidth="1"/>
    <col min="2094" max="2096" width="8.85546875" style="1" customWidth="1"/>
    <col min="2097" max="2097" width="9.28515625" style="1" customWidth="1"/>
    <col min="2098" max="2099" width="8.85546875" style="1" customWidth="1"/>
    <col min="2100" max="2100" width="10" style="1" customWidth="1"/>
    <col min="2101" max="2102" width="8.85546875" style="1" customWidth="1"/>
    <col min="2103" max="2103" width="11" style="1" customWidth="1"/>
    <col min="2104" max="2105" width="9.5703125" style="1" customWidth="1"/>
    <col min="2106" max="2108" width="8.85546875" style="1" customWidth="1"/>
    <col min="2109" max="2109" width="10.42578125" style="1" customWidth="1"/>
    <col min="2110" max="2111" width="8.85546875" style="1" customWidth="1"/>
    <col min="2112" max="2112" width="9.7109375" style="1" customWidth="1"/>
    <col min="2113" max="2114" width="8.85546875" style="1" customWidth="1"/>
    <col min="2115" max="2115" width="9.28515625" style="1" customWidth="1"/>
    <col min="2116" max="2136" width="8.85546875" style="1" customWidth="1"/>
    <col min="2137" max="2137" width="9.85546875" style="1" customWidth="1"/>
    <col min="2138" max="2138" width="8.85546875" style="1" customWidth="1"/>
    <col min="2139" max="2139" width="10" style="1" customWidth="1"/>
    <col min="2140" max="2156" width="8.85546875" style="1" customWidth="1"/>
    <col min="2157" max="2157" width="9.42578125" style="1" customWidth="1"/>
    <col min="2158" max="2158" width="8.85546875" style="1" customWidth="1"/>
    <col min="2159" max="2159" width="12" style="1" customWidth="1"/>
    <col min="2160" max="2160" width="11.140625" style="1" customWidth="1"/>
    <col min="2161" max="2161" width="28.7109375" style="1" customWidth="1"/>
    <col min="2162" max="2162" width="5.85546875" style="1" customWidth="1"/>
    <col min="2163" max="2312" width="9.140625" style="1"/>
    <col min="2313" max="2313" width="3.42578125" style="1" customWidth="1"/>
    <col min="2314" max="2314" width="27.85546875" style="1" customWidth="1"/>
    <col min="2315" max="2315" width="11.85546875" style="1" customWidth="1"/>
    <col min="2316" max="2316" width="15.140625" style="1" customWidth="1"/>
    <col min="2317" max="2317" width="10.28515625" style="1" customWidth="1"/>
    <col min="2318" max="2319" width="9.7109375" style="1" customWidth="1"/>
    <col min="2320" max="2320" width="10.42578125" style="1" customWidth="1"/>
    <col min="2321" max="2321" width="10.42578125" style="1" bestFit="1" customWidth="1"/>
    <col min="2322" max="2322" width="16.28515625" style="1" customWidth="1"/>
    <col min="2323" max="2323" width="15.140625" style="1" customWidth="1"/>
    <col min="2324" max="2324" width="13.5703125" style="1" customWidth="1"/>
    <col min="2325" max="2325" width="10.5703125" style="1" customWidth="1"/>
    <col min="2326" max="2326" width="10.85546875" style="1" customWidth="1"/>
    <col min="2327" max="2327" width="18" style="1" customWidth="1"/>
    <col min="2328" max="2328" width="20.85546875" style="1" customWidth="1"/>
    <col min="2329" max="2329" width="13.5703125" style="1" customWidth="1"/>
    <col min="2330" max="2330" width="14.140625" style="1" customWidth="1"/>
    <col min="2331" max="2333" width="8.85546875" style="1" customWidth="1"/>
    <col min="2334" max="2334" width="9.28515625" style="1" customWidth="1"/>
    <col min="2335" max="2335" width="14" style="1" customWidth="1"/>
    <col min="2336" max="2337" width="8.85546875" style="1" customWidth="1"/>
    <col min="2338" max="2338" width="10.140625" style="1" customWidth="1"/>
    <col min="2339" max="2340" width="9.5703125" style="1" customWidth="1"/>
    <col min="2341" max="2341" width="9.85546875" style="1" customWidth="1"/>
    <col min="2342" max="2343" width="10.140625" style="1" customWidth="1"/>
    <col min="2344" max="2346" width="9.28515625" style="1" customWidth="1"/>
    <col min="2347" max="2347" width="9.85546875" style="1" customWidth="1"/>
    <col min="2348" max="2349" width="8.5703125" style="1" customWidth="1"/>
    <col min="2350" max="2352" width="8.85546875" style="1" customWidth="1"/>
    <col min="2353" max="2353" width="9.28515625" style="1" customWidth="1"/>
    <col min="2354" max="2355" width="8.85546875" style="1" customWidth="1"/>
    <col min="2356" max="2356" width="10" style="1" customWidth="1"/>
    <col min="2357" max="2358" width="8.85546875" style="1" customWidth="1"/>
    <col min="2359" max="2359" width="11" style="1" customWidth="1"/>
    <col min="2360" max="2361" width="9.5703125" style="1" customWidth="1"/>
    <col min="2362" max="2364" width="8.85546875" style="1" customWidth="1"/>
    <col min="2365" max="2365" width="10.42578125" style="1" customWidth="1"/>
    <col min="2366" max="2367" width="8.85546875" style="1" customWidth="1"/>
    <col min="2368" max="2368" width="9.7109375" style="1" customWidth="1"/>
    <col min="2369" max="2370" width="8.85546875" style="1" customWidth="1"/>
    <col min="2371" max="2371" width="9.28515625" style="1" customWidth="1"/>
    <col min="2372" max="2392" width="8.85546875" style="1" customWidth="1"/>
    <col min="2393" max="2393" width="9.85546875" style="1" customWidth="1"/>
    <col min="2394" max="2394" width="8.85546875" style="1" customWidth="1"/>
    <col min="2395" max="2395" width="10" style="1" customWidth="1"/>
    <col min="2396" max="2412" width="8.85546875" style="1" customWidth="1"/>
    <col min="2413" max="2413" width="9.42578125" style="1" customWidth="1"/>
    <col min="2414" max="2414" width="8.85546875" style="1" customWidth="1"/>
    <col min="2415" max="2415" width="12" style="1" customWidth="1"/>
    <col min="2416" max="2416" width="11.140625" style="1" customWidth="1"/>
    <col min="2417" max="2417" width="28.7109375" style="1" customWidth="1"/>
    <col min="2418" max="2418" width="5.85546875" style="1" customWidth="1"/>
    <col min="2419" max="2568" width="9.140625" style="1"/>
    <col min="2569" max="2569" width="3.42578125" style="1" customWidth="1"/>
    <col min="2570" max="2570" width="27.85546875" style="1" customWidth="1"/>
    <col min="2571" max="2571" width="11.85546875" style="1" customWidth="1"/>
    <col min="2572" max="2572" width="15.140625" style="1" customWidth="1"/>
    <col min="2573" max="2573" width="10.28515625" style="1" customWidth="1"/>
    <col min="2574" max="2575" width="9.7109375" style="1" customWidth="1"/>
    <col min="2576" max="2576" width="10.42578125" style="1" customWidth="1"/>
    <col min="2577" max="2577" width="10.42578125" style="1" bestFit="1" customWidth="1"/>
    <col min="2578" max="2578" width="16.28515625" style="1" customWidth="1"/>
    <col min="2579" max="2579" width="15.140625" style="1" customWidth="1"/>
    <col min="2580" max="2580" width="13.5703125" style="1" customWidth="1"/>
    <col min="2581" max="2581" width="10.5703125" style="1" customWidth="1"/>
    <col min="2582" max="2582" width="10.85546875" style="1" customWidth="1"/>
    <col min="2583" max="2583" width="18" style="1" customWidth="1"/>
    <col min="2584" max="2584" width="20.85546875" style="1" customWidth="1"/>
    <col min="2585" max="2585" width="13.5703125" style="1" customWidth="1"/>
    <col min="2586" max="2586" width="14.140625" style="1" customWidth="1"/>
    <col min="2587" max="2589" width="8.85546875" style="1" customWidth="1"/>
    <col min="2590" max="2590" width="9.28515625" style="1" customWidth="1"/>
    <col min="2591" max="2591" width="14" style="1" customWidth="1"/>
    <col min="2592" max="2593" width="8.85546875" style="1" customWidth="1"/>
    <col min="2594" max="2594" width="10.140625" style="1" customWidth="1"/>
    <col min="2595" max="2596" width="9.5703125" style="1" customWidth="1"/>
    <col min="2597" max="2597" width="9.85546875" style="1" customWidth="1"/>
    <col min="2598" max="2599" width="10.140625" style="1" customWidth="1"/>
    <col min="2600" max="2602" width="9.28515625" style="1" customWidth="1"/>
    <col min="2603" max="2603" width="9.85546875" style="1" customWidth="1"/>
    <col min="2604" max="2605" width="8.5703125" style="1" customWidth="1"/>
    <col min="2606" max="2608" width="8.85546875" style="1" customWidth="1"/>
    <col min="2609" max="2609" width="9.28515625" style="1" customWidth="1"/>
    <col min="2610" max="2611" width="8.85546875" style="1" customWidth="1"/>
    <col min="2612" max="2612" width="10" style="1" customWidth="1"/>
    <col min="2613" max="2614" width="8.85546875" style="1" customWidth="1"/>
    <col min="2615" max="2615" width="11" style="1" customWidth="1"/>
    <col min="2616" max="2617" width="9.5703125" style="1" customWidth="1"/>
    <col min="2618" max="2620" width="8.85546875" style="1" customWidth="1"/>
    <col min="2621" max="2621" width="10.42578125" style="1" customWidth="1"/>
    <col min="2622" max="2623" width="8.85546875" style="1" customWidth="1"/>
    <col min="2624" max="2624" width="9.7109375" style="1" customWidth="1"/>
    <col min="2625" max="2626" width="8.85546875" style="1" customWidth="1"/>
    <col min="2627" max="2627" width="9.28515625" style="1" customWidth="1"/>
    <col min="2628" max="2648" width="8.85546875" style="1" customWidth="1"/>
    <col min="2649" max="2649" width="9.85546875" style="1" customWidth="1"/>
    <col min="2650" max="2650" width="8.85546875" style="1" customWidth="1"/>
    <col min="2651" max="2651" width="10" style="1" customWidth="1"/>
    <col min="2652" max="2668" width="8.85546875" style="1" customWidth="1"/>
    <col min="2669" max="2669" width="9.42578125" style="1" customWidth="1"/>
    <col min="2670" max="2670" width="8.85546875" style="1" customWidth="1"/>
    <col min="2671" max="2671" width="12" style="1" customWidth="1"/>
    <col min="2672" max="2672" width="11.140625" style="1" customWidth="1"/>
    <col min="2673" max="2673" width="28.7109375" style="1" customWidth="1"/>
    <col min="2674" max="2674" width="5.85546875" style="1" customWidth="1"/>
    <col min="2675" max="2824" width="9.140625" style="1"/>
    <col min="2825" max="2825" width="3.42578125" style="1" customWidth="1"/>
    <col min="2826" max="2826" width="27.85546875" style="1" customWidth="1"/>
    <col min="2827" max="2827" width="11.85546875" style="1" customWidth="1"/>
    <col min="2828" max="2828" width="15.140625" style="1" customWidth="1"/>
    <col min="2829" max="2829" width="10.28515625" style="1" customWidth="1"/>
    <col min="2830" max="2831" width="9.7109375" style="1" customWidth="1"/>
    <col min="2832" max="2832" width="10.42578125" style="1" customWidth="1"/>
    <col min="2833" max="2833" width="10.42578125" style="1" bestFit="1" customWidth="1"/>
    <col min="2834" max="2834" width="16.28515625" style="1" customWidth="1"/>
    <col min="2835" max="2835" width="15.140625" style="1" customWidth="1"/>
    <col min="2836" max="2836" width="13.5703125" style="1" customWidth="1"/>
    <col min="2837" max="2837" width="10.5703125" style="1" customWidth="1"/>
    <col min="2838" max="2838" width="10.85546875" style="1" customWidth="1"/>
    <col min="2839" max="2839" width="18" style="1" customWidth="1"/>
    <col min="2840" max="2840" width="20.85546875" style="1" customWidth="1"/>
    <col min="2841" max="2841" width="13.5703125" style="1" customWidth="1"/>
    <col min="2842" max="2842" width="14.140625" style="1" customWidth="1"/>
    <col min="2843" max="2845" width="8.85546875" style="1" customWidth="1"/>
    <col min="2846" max="2846" width="9.28515625" style="1" customWidth="1"/>
    <col min="2847" max="2847" width="14" style="1" customWidth="1"/>
    <col min="2848" max="2849" width="8.85546875" style="1" customWidth="1"/>
    <col min="2850" max="2850" width="10.140625" style="1" customWidth="1"/>
    <col min="2851" max="2852" width="9.5703125" style="1" customWidth="1"/>
    <col min="2853" max="2853" width="9.85546875" style="1" customWidth="1"/>
    <col min="2854" max="2855" width="10.140625" style="1" customWidth="1"/>
    <col min="2856" max="2858" width="9.28515625" style="1" customWidth="1"/>
    <col min="2859" max="2859" width="9.85546875" style="1" customWidth="1"/>
    <col min="2860" max="2861" width="8.5703125" style="1" customWidth="1"/>
    <col min="2862" max="2864" width="8.85546875" style="1" customWidth="1"/>
    <col min="2865" max="2865" width="9.28515625" style="1" customWidth="1"/>
    <col min="2866" max="2867" width="8.85546875" style="1" customWidth="1"/>
    <col min="2868" max="2868" width="10" style="1" customWidth="1"/>
    <col min="2869" max="2870" width="8.85546875" style="1" customWidth="1"/>
    <col min="2871" max="2871" width="11" style="1" customWidth="1"/>
    <col min="2872" max="2873" width="9.5703125" style="1" customWidth="1"/>
    <col min="2874" max="2876" width="8.85546875" style="1" customWidth="1"/>
    <col min="2877" max="2877" width="10.42578125" style="1" customWidth="1"/>
    <col min="2878" max="2879" width="8.85546875" style="1" customWidth="1"/>
    <col min="2880" max="2880" width="9.7109375" style="1" customWidth="1"/>
    <col min="2881" max="2882" width="8.85546875" style="1" customWidth="1"/>
    <col min="2883" max="2883" width="9.28515625" style="1" customWidth="1"/>
    <col min="2884" max="2904" width="8.85546875" style="1" customWidth="1"/>
    <col min="2905" max="2905" width="9.85546875" style="1" customWidth="1"/>
    <col min="2906" max="2906" width="8.85546875" style="1" customWidth="1"/>
    <col min="2907" max="2907" width="10" style="1" customWidth="1"/>
    <col min="2908" max="2924" width="8.85546875" style="1" customWidth="1"/>
    <col min="2925" max="2925" width="9.42578125" style="1" customWidth="1"/>
    <col min="2926" max="2926" width="8.85546875" style="1" customWidth="1"/>
    <col min="2927" max="2927" width="12" style="1" customWidth="1"/>
    <col min="2928" max="2928" width="11.140625" style="1" customWidth="1"/>
    <col min="2929" max="2929" width="28.7109375" style="1" customWidth="1"/>
    <col min="2930" max="2930" width="5.85546875" style="1" customWidth="1"/>
    <col min="2931" max="3080" width="9.140625" style="1"/>
    <col min="3081" max="3081" width="3.42578125" style="1" customWidth="1"/>
    <col min="3082" max="3082" width="27.85546875" style="1" customWidth="1"/>
    <col min="3083" max="3083" width="11.85546875" style="1" customWidth="1"/>
    <col min="3084" max="3084" width="15.140625" style="1" customWidth="1"/>
    <col min="3085" max="3085" width="10.28515625" style="1" customWidth="1"/>
    <col min="3086" max="3087" width="9.7109375" style="1" customWidth="1"/>
    <col min="3088" max="3088" width="10.42578125" style="1" customWidth="1"/>
    <col min="3089" max="3089" width="10.42578125" style="1" bestFit="1" customWidth="1"/>
    <col min="3090" max="3090" width="16.28515625" style="1" customWidth="1"/>
    <col min="3091" max="3091" width="15.140625" style="1" customWidth="1"/>
    <col min="3092" max="3092" width="13.5703125" style="1" customWidth="1"/>
    <col min="3093" max="3093" width="10.5703125" style="1" customWidth="1"/>
    <col min="3094" max="3094" width="10.85546875" style="1" customWidth="1"/>
    <col min="3095" max="3095" width="18" style="1" customWidth="1"/>
    <col min="3096" max="3096" width="20.85546875" style="1" customWidth="1"/>
    <col min="3097" max="3097" width="13.5703125" style="1" customWidth="1"/>
    <col min="3098" max="3098" width="14.140625" style="1" customWidth="1"/>
    <col min="3099" max="3101" width="8.85546875" style="1" customWidth="1"/>
    <col min="3102" max="3102" width="9.28515625" style="1" customWidth="1"/>
    <col min="3103" max="3103" width="14" style="1" customWidth="1"/>
    <col min="3104" max="3105" width="8.85546875" style="1" customWidth="1"/>
    <col min="3106" max="3106" width="10.140625" style="1" customWidth="1"/>
    <col min="3107" max="3108" width="9.5703125" style="1" customWidth="1"/>
    <col min="3109" max="3109" width="9.85546875" style="1" customWidth="1"/>
    <col min="3110" max="3111" width="10.140625" style="1" customWidth="1"/>
    <col min="3112" max="3114" width="9.28515625" style="1" customWidth="1"/>
    <col min="3115" max="3115" width="9.85546875" style="1" customWidth="1"/>
    <col min="3116" max="3117" width="8.5703125" style="1" customWidth="1"/>
    <col min="3118" max="3120" width="8.85546875" style="1" customWidth="1"/>
    <col min="3121" max="3121" width="9.28515625" style="1" customWidth="1"/>
    <col min="3122" max="3123" width="8.85546875" style="1" customWidth="1"/>
    <col min="3124" max="3124" width="10" style="1" customWidth="1"/>
    <col min="3125" max="3126" width="8.85546875" style="1" customWidth="1"/>
    <col min="3127" max="3127" width="11" style="1" customWidth="1"/>
    <col min="3128" max="3129" width="9.5703125" style="1" customWidth="1"/>
    <col min="3130" max="3132" width="8.85546875" style="1" customWidth="1"/>
    <col min="3133" max="3133" width="10.42578125" style="1" customWidth="1"/>
    <col min="3134" max="3135" width="8.85546875" style="1" customWidth="1"/>
    <col min="3136" max="3136" width="9.7109375" style="1" customWidth="1"/>
    <col min="3137" max="3138" width="8.85546875" style="1" customWidth="1"/>
    <col min="3139" max="3139" width="9.28515625" style="1" customWidth="1"/>
    <col min="3140" max="3160" width="8.85546875" style="1" customWidth="1"/>
    <col min="3161" max="3161" width="9.85546875" style="1" customWidth="1"/>
    <col min="3162" max="3162" width="8.85546875" style="1" customWidth="1"/>
    <col min="3163" max="3163" width="10" style="1" customWidth="1"/>
    <col min="3164" max="3180" width="8.85546875" style="1" customWidth="1"/>
    <col min="3181" max="3181" width="9.42578125" style="1" customWidth="1"/>
    <col min="3182" max="3182" width="8.85546875" style="1" customWidth="1"/>
    <col min="3183" max="3183" width="12" style="1" customWidth="1"/>
    <col min="3184" max="3184" width="11.140625" style="1" customWidth="1"/>
    <col min="3185" max="3185" width="28.7109375" style="1" customWidth="1"/>
    <col min="3186" max="3186" width="5.85546875" style="1" customWidth="1"/>
    <col min="3187" max="3336" width="9.140625" style="1"/>
    <col min="3337" max="3337" width="3.42578125" style="1" customWidth="1"/>
    <col min="3338" max="3338" width="27.85546875" style="1" customWidth="1"/>
    <col min="3339" max="3339" width="11.85546875" style="1" customWidth="1"/>
    <col min="3340" max="3340" width="15.140625" style="1" customWidth="1"/>
    <col min="3341" max="3341" width="10.28515625" style="1" customWidth="1"/>
    <col min="3342" max="3343" width="9.7109375" style="1" customWidth="1"/>
    <col min="3344" max="3344" width="10.42578125" style="1" customWidth="1"/>
    <col min="3345" max="3345" width="10.42578125" style="1" bestFit="1" customWidth="1"/>
    <col min="3346" max="3346" width="16.28515625" style="1" customWidth="1"/>
    <col min="3347" max="3347" width="15.140625" style="1" customWidth="1"/>
    <col min="3348" max="3348" width="13.5703125" style="1" customWidth="1"/>
    <col min="3349" max="3349" width="10.5703125" style="1" customWidth="1"/>
    <col min="3350" max="3350" width="10.85546875" style="1" customWidth="1"/>
    <col min="3351" max="3351" width="18" style="1" customWidth="1"/>
    <col min="3352" max="3352" width="20.85546875" style="1" customWidth="1"/>
    <col min="3353" max="3353" width="13.5703125" style="1" customWidth="1"/>
    <col min="3354" max="3354" width="14.140625" style="1" customWidth="1"/>
    <col min="3355" max="3357" width="8.85546875" style="1" customWidth="1"/>
    <col min="3358" max="3358" width="9.28515625" style="1" customWidth="1"/>
    <col min="3359" max="3359" width="14" style="1" customWidth="1"/>
    <col min="3360" max="3361" width="8.85546875" style="1" customWidth="1"/>
    <col min="3362" max="3362" width="10.140625" style="1" customWidth="1"/>
    <col min="3363" max="3364" width="9.5703125" style="1" customWidth="1"/>
    <col min="3365" max="3365" width="9.85546875" style="1" customWidth="1"/>
    <col min="3366" max="3367" width="10.140625" style="1" customWidth="1"/>
    <col min="3368" max="3370" width="9.28515625" style="1" customWidth="1"/>
    <col min="3371" max="3371" width="9.85546875" style="1" customWidth="1"/>
    <col min="3372" max="3373" width="8.5703125" style="1" customWidth="1"/>
    <col min="3374" max="3376" width="8.85546875" style="1" customWidth="1"/>
    <col min="3377" max="3377" width="9.28515625" style="1" customWidth="1"/>
    <col min="3378" max="3379" width="8.85546875" style="1" customWidth="1"/>
    <col min="3380" max="3380" width="10" style="1" customWidth="1"/>
    <col min="3381" max="3382" width="8.85546875" style="1" customWidth="1"/>
    <col min="3383" max="3383" width="11" style="1" customWidth="1"/>
    <col min="3384" max="3385" width="9.5703125" style="1" customWidth="1"/>
    <col min="3386" max="3388" width="8.85546875" style="1" customWidth="1"/>
    <col min="3389" max="3389" width="10.42578125" style="1" customWidth="1"/>
    <col min="3390" max="3391" width="8.85546875" style="1" customWidth="1"/>
    <col min="3392" max="3392" width="9.7109375" style="1" customWidth="1"/>
    <col min="3393" max="3394" width="8.85546875" style="1" customWidth="1"/>
    <col min="3395" max="3395" width="9.28515625" style="1" customWidth="1"/>
    <col min="3396" max="3416" width="8.85546875" style="1" customWidth="1"/>
    <col min="3417" max="3417" width="9.85546875" style="1" customWidth="1"/>
    <col min="3418" max="3418" width="8.85546875" style="1" customWidth="1"/>
    <col min="3419" max="3419" width="10" style="1" customWidth="1"/>
    <col min="3420" max="3436" width="8.85546875" style="1" customWidth="1"/>
    <col min="3437" max="3437" width="9.42578125" style="1" customWidth="1"/>
    <col min="3438" max="3438" width="8.85546875" style="1" customWidth="1"/>
    <col min="3439" max="3439" width="12" style="1" customWidth="1"/>
    <col min="3440" max="3440" width="11.140625" style="1" customWidth="1"/>
    <col min="3441" max="3441" width="28.7109375" style="1" customWidth="1"/>
    <col min="3442" max="3442" width="5.85546875" style="1" customWidth="1"/>
    <col min="3443" max="3592" width="9.140625" style="1"/>
    <col min="3593" max="3593" width="3.42578125" style="1" customWidth="1"/>
    <col min="3594" max="3594" width="27.85546875" style="1" customWidth="1"/>
    <col min="3595" max="3595" width="11.85546875" style="1" customWidth="1"/>
    <col min="3596" max="3596" width="15.140625" style="1" customWidth="1"/>
    <col min="3597" max="3597" width="10.28515625" style="1" customWidth="1"/>
    <col min="3598" max="3599" width="9.7109375" style="1" customWidth="1"/>
    <col min="3600" max="3600" width="10.42578125" style="1" customWidth="1"/>
    <col min="3601" max="3601" width="10.42578125" style="1" bestFit="1" customWidth="1"/>
    <col min="3602" max="3602" width="16.28515625" style="1" customWidth="1"/>
    <col min="3603" max="3603" width="15.140625" style="1" customWidth="1"/>
    <col min="3604" max="3604" width="13.5703125" style="1" customWidth="1"/>
    <col min="3605" max="3605" width="10.5703125" style="1" customWidth="1"/>
    <col min="3606" max="3606" width="10.85546875" style="1" customWidth="1"/>
    <col min="3607" max="3607" width="18" style="1" customWidth="1"/>
    <col min="3608" max="3608" width="20.85546875" style="1" customWidth="1"/>
    <col min="3609" max="3609" width="13.5703125" style="1" customWidth="1"/>
    <col min="3610" max="3610" width="14.140625" style="1" customWidth="1"/>
    <col min="3611" max="3613" width="8.85546875" style="1" customWidth="1"/>
    <col min="3614" max="3614" width="9.28515625" style="1" customWidth="1"/>
    <col min="3615" max="3615" width="14" style="1" customWidth="1"/>
    <col min="3616" max="3617" width="8.85546875" style="1" customWidth="1"/>
    <col min="3618" max="3618" width="10.140625" style="1" customWidth="1"/>
    <col min="3619" max="3620" width="9.5703125" style="1" customWidth="1"/>
    <col min="3621" max="3621" width="9.85546875" style="1" customWidth="1"/>
    <col min="3622" max="3623" width="10.140625" style="1" customWidth="1"/>
    <col min="3624" max="3626" width="9.28515625" style="1" customWidth="1"/>
    <col min="3627" max="3627" width="9.85546875" style="1" customWidth="1"/>
    <col min="3628" max="3629" width="8.5703125" style="1" customWidth="1"/>
    <col min="3630" max="3632" width="8.85546875" style="1" customWidth="1"/>
    <col min="3633" max="3633" width="9.28515625" style="1" customWidth="1"/>
    <col min="3634" max="3635" width="8.85546875" style="1" customWidth="1"/>
    <col min="3636" max="3636" width="10" style="1" customWidth="1"/>
    <col min="3637" max="3638" width="8.85546875" style="1" customWidth="1"/>
    <col min="3639" max="3639" width="11" style="1" customWidth="1"/>
    <col min="3640" max="3641" width="9.5703125" style="1" customWidth="1"/>
    <col min="3642" max="3644" width="8.85546875" style="1" customWidth="1"/>
    <col min="3645" max="3645" width="10.42578125" style="1" customWidth="1"/>
    <col min="3646" max="3647" width="8.85546875" style="1" customWidth="1"/>
    <col min="3648" max="3648" width="9.7109375" style="1" customWidth="1"/>
    <col min="3649" max="3650" width="8.85546875" style="1" customWidth="1"/>
    <col min="3651" max="3651" width="9.28515625" style="1" customWidth="1"/>
    <col min="3652" max="3672" width="8.85546875" style="1" customWidth="1"/>
    <col min="3673" max="3673" width="9.85546875" style="1" customWidth="1"/>
    <col min="3674" max="3674" width="8.85546875" style="1" customWidth="1"/>
    <col min="3675" max="3675" width="10" style="1" customWidth="1"/>
    <col min="3676" max="3692" width="8.85546875" style="1" customWidth="1"/>
    <col min="3693" max="3693" width="9.42578125" style="1" customWidth="1"/>
    <col min="3694" max="3694" width="8.85546875" style="1" customWidth="1"/>
    <col min="3695" max="3695" width="12" style="1" customWidth="1"/>
    <col min="3696" max="3696" width="11.140625" style="1" customWidth="1"/>
    <col min="3697" max="3697" width="28.7109375" style="1" customWidth="1"/>
    <col min="3698" max="3698" width="5.85546875" style="1" customWidth="1"/>
    <col min="3699" max="3848" width="9.140625" style="1"/>
    <col min="3849" max="3849" width="3.42578125" style="1" customWidth="1"/>
    <col min="3850" max="3850" width="27.85546875" style="1" customWidth="1"/>
    <col min="3851" max="3851" width="11.85546875" style="1" customWidth="1"/>
    <col min="3852" max="3852" width="15.140625" style="1" customWidth="1"/>
    <col min="3853" max="3853" width="10.28515625" style="1" customWidth="1"/>
    <col min="3854" max="3855" width="9.7109375" style="1" customWidth="1"/>
    <col min="3856" max="3856" width="10.42578125" style="1" customWidth="1"/>
    <col min="3857" max="3857" width="10.42578125" style="1" bestFit="1" customWidth="1"/>
    <col min="3858" max="3858" width="16.28515625" style="1" customWidth="1"/>
    <col min="3859" max="3859" width="15.140625" style="1" customWidth="1"/>
    <col min="3860" max="3860" width="13.5703125" style="1" customWidth="1"/>
    <col min="3861" max="3861" width="10.5703125" style="1" customWidth="1"/>
    <col min="3862" max="3862" width="10.85546875" style="1" customWidth="1"/>
    <col min="3863" max="3863" width="18" style="1" customWidth="1"/>
    <col min="3864" max="3864" width="20.85546875" style="1" customWidth="1"/>
    <col min="3865" max="3865" width="13.5703125" style="1" customWidth="1"/>
    <col min="3866" max="3866" width="14.140625" style="1" customWidth="1"/>
    <col min="3867" max="3869" width="8.85546875" style="1" customWidth="1"/>
    <col min="3870" max="3870" width="9.28515625" style="1" customWidth="1"/>
    <col min="3871" max="3871" width="14" style="1" customWidth="1"/>
    <col min="3872" max="3873" width="8.85546875" style="1" customWidth="1"/>
    <col min="3874" max="3874" width="10.140625" style="1" customWidth="1"/>
    <col min="3875" max="3876" width="9.5703125" style="1" customWidth="1"/>
    <col min="3877" max="3877" width="9.85546875" style="1" customWidth="1"/>
    <col min="3878" max="3879" width="10.140625" style="1" customWidth="1"/>
    <col min="3880" max="3882" width="9.28515625" style="1" customWidth="1"/>
    <col min="3883" max="3883" width="9.85546875" style="1" customWidth="1"/>
    <col min="3884" max="3885" width="8.5703125" style="1" customWidth="1"/>
    <col min="3886" max="3888" width="8.85546875" style="1" customWidth="1"/>
    <col min="3889" max="3889" width="9.28515625" style="1" customWidth="1"/>
    <col min="3890" max="3891" width="8.85546875" style="1" customWidth="1"/>
    <col min="3892" max="3892" width="10" style="1" customWidth="1"/>
    <col min="3893" max="3894" width="8.85546875" style="1" customWidth="1"/>
    <col min="3895" max="3895" width="11" style="1" customWidth="1"/>
    <col min="3896" max="3897" width="9.5703125" style="1" customWidth="1"/>
    <col min="3898" max="3900" width="8.85546875" style="1" customWidth="1"/>
    <col min="3901" max="3901" width="10.42578125" style="1" customWidth="1"/>
    <col min="3902" max="3903" width="8.85546875" style="1" customWidth="1"/>
    <col min="3904" max="3904" width="9.7109375" style="1" customWidth="1"/>
    <col min="3905" max="3906" width="8.85546875" style="1" customWidth="1"/>
    <col min="3907" max="3907" width="9.28515625" style="1" customWidth="1"/>
    <col min="3908" max="3928" width="8.85546875" style="1" customWidth="1"/>
    <col min="3929" max="3929" width="9.85546875" style="1" customWidth="1"/>
    <col min="3930" max="3930" width="8.85546875" style="1" customWidth="1"/>
    <col min="3931" max="3931" width="10" style="1" customWidth="1"/>
    <col min="3932" max="3948" width="8.85546875" style="1" customWidth="1"/>
    <col min="3949" max="3949" width="9.42578125" style="1" customWidth="1"/>
    <col min="3950" max="3950" width="8.85546875" style="1" customWidth="1"/>
    <col min="3951" max="3951" width="12" style="1" customWidth="1"/>
    <col min="3952" max="3952" width="11.140625" style="1" customWidth="1"/>
    <col min="3953" max="3953" width="28.7109375" style="1" customWidth="1"/>
    <col min="3954" max="3954" width="5.85546875" style="1" customWidth="1"/>
    <col min="3955" max="4104" width="9.140625" style="1"/>
    <col min="4105" max="4105" width="3.42578125" style="1" customWidth="1"/>
    <col min="4106" max="4106" width="27.85546875" style="1" customWidth="1"/>
    <col min="4107" max="4107" width="11.85546875" style="1" customWidth="1"/>
    <col min="4108" max="4108" width="15.140625" style="1" customWidth="1"/>
    <col min="4109" max="4109" width="10.28515625" style="1" customWidth="1"/>
    <col min="4110" max="4111" width="9.7109375" style="1" customWidth="1"/>
    <col min="4112" max="4112" width="10.42578125" style="1" customWidth="1"/>
    <col min="4113" max="4113" width="10.42578125" style="1" bestFit="1" customWidth="1"/>
    <col min="4114" max="4114" width="16.28515625" style="1" customWidth="1"/>
    <col min="4115" max="4115" width="15.140625" style="1" customWidth="1"/>
    <col min="4116" max="4116" width="13.5703125" style="1" customWidth="1"/>
    <col min="4117" max="4117" width="10.5703125" style="1" customWidth="1"/>
    <col min="4118" max="4118" width="10.85546875" style="1" customWidth="1"/>
    <col min="4119" max="4119" width="18" style="1" customWidth="1"/>
    <col min="4120" max="4120" width="20.85546875" style="1" customWidth="1"/>
    <col min="4121" max="4121" width="13.5703125" style="1" customWidth="1"/>
    <col min="4122" max="4122" width="14.140625" style="1" customWidth="1"/>
    <col min="4123" max="4125" width="8.85546875" style="1" customWidth="1"/>
    <col min="4126" max="4126" width="9.28515625" style="1" customWidth="1"/>
    <col min="4127" max="4127" width="14" style="1" customWidth="1"/>
    <col min="4128" max="4129" width="8.85546875" style="1" customWidth="1"/>
    <col min="4130" max="4130" width="10.140625" style="1" customWidth="1"/>
    <col min="4131" max="4132" width="9.5703125" style="1" customWidth="1"/>
    <col min="4133" max="4133" width="9.85546875" style="1" customWidth="1"/>
    <col min="4134" max="4135" width="10.140625" style="1" customWidth="1"/>
    <col min="4136" max="4138" width="9.28515625" style="1" customWidth="1"/>
    <col min="4139" max="4139" width="9.85546875" style="1" customWidth="1"/>
    <col min="4140" max="4141" width="8.5703125" style="1" customWidth="1"/>
    <col min="4142" max="4144" width="8.85546875" style="1" customWidth="1"/>
    <col min="4145" max="4145" width="9.28515625" style="1" customWidth="1"/>
    <col min="4146" max="4147" width="8.85546875" style="1" customWidth="1"/>
    <col min="4148" max="4148" width="10" style="1" customWidth="1"/>
    <col min="4149" max="4150" width="8.85546875" style="1" customWidth="1"/>
    <col min="4151" max="4151" width="11" style="1" customWidth="1"/>
    <col min="4152" max="4153" width="9.5703125" style="1" customWidth="1"/>
    <col min="4154" max="4156" width="8.85546875" style="1" customWidth="1"/>
    <col min="4157" max="4157" width="10.42578125" style="1" customWidth="1"/>
    <col min="4158" max="4159" width="8.85546875" style="1" customWidth="1"/>
    <col min="4160" max="4160" width="9.7109375" style="1" customWidth="1"/>
    <col min="4161" max="4162" width="8.85546875" style="1" customWidth="1"/>
    <col min="4163" max="4163" width="9.28515625" style="1" customWidth="1"/>
    <col min="4164" max="4184" width="8.85546875" style="1" customWidth="1"/>
    <col min="4185" max="4185" width="9.85546875" style="1" customWidth="1"/>
    <col min="4186" max="4186" width="8.85546875" style="1" customWidth="1"/>
    <col min="4187" max="4187" width="10" style="1" customWidth="1"/>
    <col min="4188" max="4204" width="8.85546875" style="1" customWidth="1"/>
    <col min="4205" max="4205" width="9.42578125" style="1" customWidth="1"/>
    <col min="4206" max="4206" width="8.85546875" style="1" customWidth="1"/>
    <col min="4207" max="4207" width="12" style="1" customWidth="1"/>
    <col min="4208" max="4208" width="11.140625" style="1" customWidth="1"/>
    <col min="4209" max="4209" width="28.7109375" style="1" customWidth="1"/>
    <col min="4210" max="4210" width="5.85546875" style="1" customWidth="1"/>
    <col min="4211" max="4360" width="9.140625" style="1"/>
    <col min="4361" max="4361" width="3.42578125" style="1" customWidth="1"/>
    <col min="4362" max="4362" width="27.85546875" style="1" customWidth="1"/>
    <col min="4363" max="4363" width="11.85546875" style="1" customWidth="1"/>
    <col min="4364" max="4364" width="15.140625" style="1" customWidth="1"/>
    <col min="4365" max="4365" width="10.28515625" style="1" customWidth="1"/>
    <col min="4366" max="4367" width="9.7109375" style="1" customWidth="1"/>
    <col min="4368" max="4368" width="10.42578125" style="1" customWidth="1"/>
    <col min="4369" max="4369" width="10.42578125" style="1" bestFit="1" customWidth="1"/>
    <col min="4370" max="4370" width="16.28515625" style="1" customWidth="1"/>
    <col min="4371" max="4371" width="15.140625" style="1" customWidth="1"/>
    <col min="4372" max="4372" width="13.5703125" style="1" customWidth="1"/>
    <col min="4373" max="4373" width="10.5703125" style="1" customWidth="1"/>
    <col min="4374" max="4374" width="10.85546875" style="1" customWidth="1"/>
    <col min="4375" max="4375" width="18" style="1" customWidth="1"/>
    <col min="4376" max="4376" width="20.85546875" style="1" customWidth="1"/>
    <col min="4377" max="4377" width="13.5703125" style="1" customWidth="1"/>
    <col min="4378" max="4378" width="14.140625" style="1" customWidth="1"/>
    <col min="4379" max="4381" width="8.85546875" style="1" customWidth="1"/>
    <col min="4382" max="4382" width="9.28515625" style="1" customWidth="1"/>
    <col min="4383" max="4383" width="14" style="1" customWidth="1"/>
    <col min="4384" max="4385" width="8.85546875" style="1" customWidth="1"/>
    <col min="4386" max="4386" width="10.140625" style="1" customWidth="1"/>
    <col min="4387" max="4388" width="9.5703125" style="1" customWidth="1"/>
    <col min="4389" max="4389" width="9.85546875" style="1" customWidth="1"/>
    <col min="4390" max="4391" width="10.140625" style="1" customWidth="1"/>
    <col min="4392" max="4394" width="9.28515625" style="1" customWidth="1"/>
    <col min="4395" max="4395" width="9.85546875" style="1" customWidth="1"/>
    <col min="4396" max="4397" width="8.5703125" style="1" customWidth="1"/>
    <col min="4398" max="4400" width="8.85546875" style="1" customWidth="1"/>
    <col min="4401" max="4401" width="9.28515625" style="1" customWidth="1"/>
    <col min="4402" max="4403" width="8.85546875" style="1" customWidth="1"/>
    <col min="4404" max="4404" width="10" style="1" customWidth="1"/>
    <col min="4405" max="4406" width="8.85546875" style="1" customWidth="1"/>
    <col min="4407" max="4407" width="11" style="1" customWidth="1"/>
    <col min="4408" max="4409" width="9.5703125" style="1" customWidth="1"/>
    <col min="4410" max="4412" width="8.85546875" style="1" customWidth="1"/>
    <col min="4413" max="4413" width="10.42578125" style="1" customWidth="1"/>
    <col min="4414" max="4415" width="8.85546875" style="1" customWidth="1"/>
    <col min="4416" max="4416" width="9.7109375" style="1" customWidth="1"/>
    <col min="4417" max="4418" width="8.85546875" style="1" customWidth="1"/>
    <col min="4419" max="4419" width="9.28515625" style="1" customWidth="1"/>
    <col min="4420" max="4440" width="8.85546875" style="1" customWidth="1"/>
    <col min="4441" max="4441" width="9.85546875" style="1" customWidth="1"/>
    <col min="4442" max="4442" width="8.85546875" style="1" customWidth="1"/>
    <col min="4443" max="4443" width="10" style="1" customWidth="1"/>
    <col min="4444" max="4460" width="8.85546875" style="1" customWidth="1"/>
    <col min="4461" max="4461" width="9.42578125" style="1" customWidth="1"/>
    <col min="4462" max="4462" width="8.85546875" style="1" customWidth="1"/>
    <col min="4463" max="4463" width="12" style="1" customWidth="1"/>
    <col min="4464" max="4464" width="11.140625" style="1" customWidth="1"/>
    <col min="4465" max="4465" width="28.7109375" style="1" customWidth="1"/>
    <col min="4466" max="4466" width="5.85546875" style="1" customWidth="1"/>
    <col min="4467" max="4616" width="9.140625" style="1"/>
    <col min="4617" max="4617" width="3.42578125" style="1" customWidth="1"/>
    <col min="4618" max="4618" width="27.85546875" style="1" customWidth="1"/>
    <col min="4619" max="4619" width="11.85546875" style="1" customWidth="1"/>
    <col min="4620" max="4620" width="15.140625" style="1" customWidth="1"/>
    <col min="4621" max="4621" width="10.28515625" style="1" customWidth="1"/>
    <col min="4622" max="4623" width="9.7109375" style="1" customWidth="1"/>
    <col min="4624" max="4624" width="10.42578125" style="1" customWidth="1"/>
    <col min="4625" max="4625" width="10.42578125" style="1" bestFit="1" customWidth="1"/>
    <col min="4626" max="4626" width="16.28515625" style="1" customWidth="1"/>
    <col min="4627" max="4627" width="15.140625" style="1" customWidth="1"/>
    <col min="4628" max="4628" width="13.5703125" style="1" customWidth="1"/>
    <col min="4629" max="4629" width="10.5703125" style="1" customWidth="1"/>
    <col min="4630" max="4630" width="10.85546875" style="1" customWidth="1"/>
    <col min="4631" max="4631" width="18" style="1" customWidth="1"/>
    <col min="4632" max="4632" width="20.85546875" style="1" customWidth="1"/>
    <col min="4633" max="4633" width="13.5703125" style="1" customWidth="1"/>
    <col min="4634" max="4634" width="14.140625" style="1" customWidth="1"/>
    <col min="4635" max="4637" width="8.85546875" style="1" customWidth="1"/>
    <col min="4638" max="4638" width="9.28515625" style="1" customWidth="1"/>
    <col min="4639" max="4639" width="14" style="1" customWidth="1"/>
    <col min="4640" max="4641" width="8.85546875" style="1" customWidth="1"/>
    <col min="4642" max="4642" width="10.140625" style="1" customWidth="1"/>
    <col min="4643" max="4644" width="9.5703125" style="1" customWidth="1"/>
    <col min="4645" max="4645" width="9.85546875" style="1" customWidth="1"/>
    <col min="4646" max="4647" width="10.140625" style="1" customWidth="1"/>
    <col min="4648" max="4650" width="9.28515625" style="1" customWidth="1"/>
    <col min="4651" max="4651" width="9.85546875" style="1" customWidth="1"/>
    <col min="4652" max="4653" width="8.5703125" style="1" customWidth="1"/>
    <col min="4654" max="4656" width="8.85546875" style="1" customWidth="1"/>
    <col min="4657" max="4657" width="9.28515625" style="1" customWidth="1"/>
    <col min="4658" max="4659" width="8.85546875" style="1" customWidth="1"/>
    <col min="4660" max="4660" width="10" style="1" customWidth="1"/>
    <col min="4661" max="4662" width="8.85546875" style="1" customWidth="1"/>
    <col min="4663" max="4663" width="11" style="1" customWidth="1"/>
    <col min="4664" max="4665" width="9.5703125" style="1" customWidth="1"/>
    <col min="4666" max="4668" width="8.85546875" style="1" customWidth="1"/>
    <col min="4669" max="4669" width="10.42578125" style="1" customWidth="1"/>
    <col min="4670" max="4671" width="8.85546875" style="1" customWidth="1"/>
    <col min="4672" max="4672" width="9.7109375" style="1" customWidth="1"/>
    <col min="4673" max="4674" width="8.85546875" style="1" customWidth="1"/>
    <col min="4675" max="4675" width="9.28515625" style="1" customWidth="1"/>
    <col min="4676" max="4696" width="8.85546875" style="1" customWidth="1"/>
    <col min="4697" max="4697" width="9.85546875" style="1" customWidth="1"/>
    <col min="4698" max="4698" width="8.85546875" style="1" customWidth="1"/>
    <col min="4699" max="4699" width="10" style="1" customWidth="1"/>
    <col min="4700" max="4716" width="8.85546875" style="1" customWidth="1"/>
    <col min="4717" max="4717" width="9.42578125" style="1" customWidth="1"/>
    <col min="4718" max="4718" width="8.85546875" style="1" customWidth="1"/>
    <col min="4719" max="4719" width="12" style="1" customWidth="1"/>
    <col min="4720" max="4720" width="11.140625" style="1" customWidth="1"/>
    <col min="4721" max="4721" width="28.7109375" style="1" customWidth="1"/>
    <col min="4722" max="4722" width="5.85546875" style="1" customWidth="1"/>
    <col min="4723" max="4872" width="9.140625" style="1"/>
    <col min="4873" max="4873" width="3.42578125" style="1" customWidth="1"/>
    <col min="4874" max="4874" width="27.85546875" style="1" customWidth="1"/>
    <col min="4875" max="4875" width="11.85546875" style="1" customWidth="1"/>
    <col min="4876" max="4876" width="15.140625" style="1" customWidth="1"/>
    <col min="4877" max="4877" width="10.28515625" style="1" customWidth="1"/>
    <col min="4878" max="4879" width="9.7109375" style="1" customWidth="1"/>
    <col min="4880" max="4880" width="10.42578125" style="1" customWidth="1"/>
    <col min="4881" max="4881" width="10.42578125" style="1" bestFit="1" customWidth="1"/>
    <col min="4882" max="4882" width="16.28515625" style="1" customWidth="1"/>
    <col min="4883" max="4883" width="15.140625" style="1" customWidth="1"/>
    <col min="4884" max="4884" width="13.5703125" style="1" customWidth="1"/>
    <col min="4885" max="4885" width="10.5703125" style="1" customWidth="1"/>
    <col min="4886" max="4886" width="10.85546875" style="1" customWidth="1"/>
    <col min="4887" max="4887" width="18" style="1" customWidth="1"/>
    <col min="4888" max="4888" width="20.85546875" style="1" customWidth="1"/>
    <col min="4889" max="4889" width="13.5703125" style="1" customWidth="1"/>
    <col min="4890" max="4890" width="14.140625" style="1" customWidth="1"/>
    <col min="4891" max="4893" width="8.85546875" style="1" customWidth="1"/>
    <col min="4894" max="4894" width="9.28515625" style="1" customWidth="1"/>
    <col min="4895" max="4895" width="14" style="1" customWidth="1"/>
    <col min="4896" max="4897" width="8.85546875" style="1" customWidth="1"/>
    <col min="4898" max="4898" width="10.140625" style="1" customWidth="1"/>
    <col min="4899" max="4900" width="9.5703125" style="1" customWidth="1"/>
    <col min="4901" max="4901" width="9.85546875" style="1" customWidth="1"/>
    <col min="4902" max="4903" width="10.140625" style="1" customWidth="1"/>
    <col min="4904" max="4906" width="9.28515625" style="1" customWidth="1"/>
    <col min="4907" max="4907" width="9.85546875" style="1" customWidth="1"/>
    <col min="4908" max="4909" width="8.5703125" style="1" customWidth="1"/>
    <col min="4910" max="4912" width="8.85546875" style="1" customWidth="1"/>
    <col min="4913" max="4913" width="9.28515625" style="1" customWidth="1"/>
    <col min="4914" max="4915" width="8.85546875" style="1" customWidth="1"/>
    <col min="4916" max="4916" width="10" style="1" customWidth="1"/>
    <col min="4917" max="4918" width="8.85546875" style="1" customWidth="1"/>
    <col min="4919" max="4919" width="11" style="1" customWidth="1"/>
    <col min="4920" max="4921" width="9.5703125" style="1" customWidth="1"/>
    <col min="4922" max="4924" width="8.85546875" style="1" customWidth="1"/>
    <col min="4925" max="4925" width="10.42578125" style="1" customWidth="1"/>
    <col min="4926" max="4927" width="8.85546875" style="1" customWidth="1"/>
    <col min="4928" max="4928" width="9.7109375" style="1" customWidth="1"/>
    <col min="4929" max="4930" width="8.85546875" style="1" customWidth="1"/>
    <col min="4931" max="4931" width="9.28515625" style="1" customWidth="1"/>
    <col min="4932" max="4952" width="8.85546875" style="1" customWidth="1"/>
    <col min="4953" max="4953" width="9.85546875" style="1" customWidth="1"/>
    <col min="4954" max="4954" width="8.85546875" style="1" customWidth="1"/>
    <col min="4955" max="4955" width="10" style="1" customWidth="1"/>
    <col min="4956" max="4972" width="8.85546875" style="1" customWidth="1"/>
    <col min="4973" max="4973" width="9.42578125" style="1" customWidth="1"/>
    <col min="4974" max="4974" width="8.85546875" style="1" customWidth="1"/>
    <col min="4975" max="4975" width="12" style="1" customWidth="1"/>
    <col min="4976" max="4976" width="11.140625" style="1" customWidth="1"/>
    <col min="4977" max="4977" width="28.7109375" style="1" customWidth="1"/>
    <col min="4978" max="4978" width="5.85546875" style="1" customWidth="1"/>
    <col min="4979" max="5128" width="9.140625" style="1"/>
    <col min="5129" max="5129" width="3.42578125" style="1" customWidth="1"/>
    <col min="5130" max="5130" width="27.85546875" style="1" customWidth="1"/>
    <col min="5131" max="5131" width="11.85546875" style="1" customWidth="1"/>
    <col min="5132" max="5132" width="15.140625" style="1" customWidth="1"/>
    <col min="5133" max="5133" width="10.28515625" style="1" customWidth="1"/>
    <col min="5134" max="5135" width="9.7109375" style="1" customWidth="1"/>
    <col min="5136" max="5136" width="10.42578125" style="1" customWidth="1"/>
    <col min="5137" max="5137" width="10.42578125" style="1" bestFit="1" customWidth="1"/>
    <col min="5138" max="5138" width="16.28515625" style="1" customWidth="1"/>
    <col min="5139" max="5139" width="15.140625" style="1" customWidth="1"/>
    <col min="5140" max="5140" width="13.5703125" style="1" customWidth="1"/>
    <col min="5141" max="5141" width="10.5703125" style="1" customWidth="1"/>
    <col min="5142" max="5142" width="10.85546875" style="1" customWidth="1"/>
    <col min="5143" max="5143" width="18" style="1" customWidth="1"/>
    <col min="5144" max="5144" width="20.85546875" style="1" customWidth="1"/>
    <col min="5145" max="5145" width="13.5703125" style="1" customWidth="1"/>
    <col min="5146" max="5146" width="14.140625" style="1" customWidth="1"/>
    <col min="5147" max="5149" width="8.85546875" style="1" customWidth="1"/>
    <col min="5150" max="5150" width="9.28515625" style="1" customWidth="1"/>
    <col min="5151" max="5151" width="14" style="1" customWidth="1"/>
    <col min="5152" max="5153" width="8.85546875" style="1" customWidth="1"/>
    <col min="5154" max="5154" width="10.140625" style="1" customWidth="1"/>
    <col min="5155" max="5156" width="9.5703125" style="1" customWidth="1"/>
    <col min="5157" max="5157" width="9.85546875" style="1" customWidth="1"/>
    <col min="5158" max="5159" width="10.140625" style="1" customWidth="1"/>
    <col min="5160" max="5162" width="9.28515625" style="1" customWidth="1"/>
    <col min="5163" max="5163" width="9.85546875" style="1" customWidth="1"/>
    <col min="5164" max="5165" width="8.5703125" style="1" customWidth="1"/>
    <col min="5166" max="5168" width="8.85546875" style="1" customWidth="1"/>
    <col min="5169" max="5169" width="9.28515625" style="1" customWidth="1"/>
    <col min="5170" max="5171" width="8.85546875" style="1" customWidth="1"/>
    <col min="5172" max="5172" width="10" style="1" customWidth="1"/>
    <col min="5173" max="5174" width="8.85546875" style="1" customWidth="1"/>
    <col min="5175" max="5175" width="11" style="1" customWidth="1"/>
    <col min="5176" max="5177" width="9.5703125" style="1" customWidth="1"/>
    <col min="5178" max="5180" width="8.85546875" style="1" customWidth="1"/>
    <col min="5181" max="5181" width="10.42578125" style="1" customWidth="1"/>
    <col min="5182" max="5183" width="8.85546875" style="1" customWidth="1"/>
    <col min="5184" max="5184" width="9.7109375" style="1" customWidth="1"/>
    <col min="5185" max="5186" width="8.85546875" style="1" customWidth="1"/>
    <col min="5187" max="5187" width="9.28515625" style="1" customWidth="1"/>
    <col min="5188" max="5208" width="8.85546875" style="1" customWidth="1"/>
    <col min="5209" max="5209" width="9.85546875" style="1" customWidth="1"/>
    <col min="5210" max="5210" width="8.85546875" style="1" customWidth="1"/>
    <col min="5211" max="5211" width="10" style="1" customWidth="1"/>
    <col min="5212" max="5228" width="8.85546875" style="1" customWidth="1"/>
    <col min="5229" max="5229" width="9.42578125" style="1" customWidth="1"/>
    <col min="5230" max="5230" width="8.85546875" style="1" customWidth="1"/>
    <col min="5231" max="5231" width="12" style="1" customWidth="1"/>
    <col min="5232" max="5232" width="11.140625" style="1" customWidth="1"/>
    <col min="5233" max="5233" width="28.7109375" style="1" customWidth="1"/>
    <col min="5234" max="5234" width="5.85546875" style="1" customWidth="1"/>
    <col min="5235" max="5384" width="9.140625" style="1"/>
    <col min="5385" max="5385" width="3.42578125" style="1" customWidth="1"/>
    <col min="5386" max="5386" width="27.85546875" style="1" customWidth="1"/>
    <col min="5387" max="5387" width="11.85546875" style="1" customWidth="1"/>
    <col min="5388" max="5388" width="15.140625" style="1" customWidth="1"/>
    <col min="5389" max="5389" width="10.28515625" style="1" customWidth="1"/>
    <col min="5390" max="5391" width="9.7109375" style="1" customWidth="1"/>
    <col min="5392" max="5392" width="10.42578125" style="1" customWidth="1"/>
    <col min="5393" max="5393" width="10.42578125" style="1" bestFit="1" customWidth="1"/>
    <col min="5394" max="5394" width="16.28515625" style="1" customWidth="1"/>
    <col min="5395" max="5395" width="15.140625" style="1" customWidth="1"/>
    <col min="5396" max="5396" width="13.5703125" style="1" customWidth="1"/>
    <col min="5397" max="5397" width="10.5703125" style="1" customWidth="1"/>
    <col min="5398" max="5398" width="10.85546875" style="1" customWidth="1"/>
    <col min="5399" max="5399" width="18" style="1" customWidth="1"/>
    <col min="5400" max="5400" width="20.85546875" style="1" customWidth="1"/>
    <col min="5401" max="5401" width="13.5703125" style="1" customWidth="1"/>
    <col min="5402" max="5402" width="14.140625" style="1" customWidth="1"/>
    <col min="5403" max="5405" width="8.85546875" style="1" customWidth="1"/>
    <col min="5406" max="5406" width="9.28515625" style="1" customWidth="1"/>
    <col min="5407" max="5407" width="14" style="1" customWidth="1"/>
    <col min="5408" max="5409" width="8.85546875" style="1" customWidth="1"/>
    <col min="5410" max="5410" width="10.140625" style="1" customWidth="1"/>
    <col min="5411" max="5412" width="9.5703125" style="1" customWidth="1"/>
    <col min="5413" max="5413" width="9.85546875" style="1" customWidth="1"/>
    <col min="5414" max="5415" width="10.140625" style="1" customWidth="1"/>
    <col min="5416" max="5418" width="9.28515625" style="1" customWidth="1"/>
    <col min="5419" max="5419" width="9.85546875" style="1" customWidth="1"/>
    <col min="5420" max="5421" width="8.5703125" style="1" customWidth="1"/>
    <col min="5422" max="5424" width="8.85546875" style="1" customWidth="1"/>
    <col min="5425" max="5425" width="9.28515625" style="1" customWidth="1"/>
    <col min="5426" max="5427" width="8.85546875" style="1" customWidth="1"/>
    <col min="5428" max="5428" width="10" style="1" customWidth="1"/>
    <col min="5429" max="5430" width="8.85546875" style="1" customWidth="1"/>
    <col min="5431" max="5431" width="11" style="1" customWidth="1"/>
    <col min="5432" max="5433" width="9.5703125" style="1" customWidth="1"/>
    <col min="5434" max="5436" width="8.85546875" style="1" customWidth="1"/>
    <col min="5437" max="5437" width="10.42578125" style="1" customWidth="1"/>
    <col min="5438" max="5439" width="8.85546875" style="1" customWidth="1"/>
    <col min="5440" max="5440" width="9.7109375" style="1" customWidth="1"/>
    <col min="5441" max="5442" width="8.85546875" style="1" customWidth="1"/>
    <col min="5443" max="5443" width="9.28515625" style="1" customWidth="1"/>
    <col min="5444" max="5464" width="8.85546875" style="1" customWidth="1"/>
    <col min="5465" max="5465" width="9.85546875" style="1" customWidth="1"/>
    <col min="5466" max="5466" width="8.85546875" style="1" customWidth="1"/>
    <col min="5467" max="5467" width="10" style="1" customWidth="1"/>
    <col min="5468" max="5484" width="8.85546875" style="1" customWidth="1"/>
    <col min="5485" max="5485" width="9.42578125" style="1" customWidth="1"/>
    <col min="5486" max="5486" width="8.85546875" style="1" customWidth="1"/>
    <col min="5487" max="5487" width="12" style="1" customWidth="1"/>
    <col min="5488" max="5488" width="11.140625" style="1" customWidth="1"/>
    <col min="5489" max="5489" width="28.7109375" style="1" customWidth="1"/>
    <col min="5490" max="5490" width="5.85546875" style="1" customWidth="1"/>
    <col min="5491" max="5640" width="9.140625" style="1"/>
    <col min="5641" max="5641" width="3.42578125" style="1" customWidth="1"/>
    <col min="5642" max="5642" width="27.85546875" style="1" customWidth="1"/>
    <col min="5643" max="5643" width="11.85546875" style="1" customWidth="1"/>
    <col min="5644" max="5644" width="15.140625" style="1" customWidth="1"/>
    <col min="5645" max="5645" width="10.28515625" style="1" customWidth="1"/>
    <col min="5646" max="5647" width="9.7109375" style="1" customWidth="1"/>
    <col min="5648" max="5648" width="10.42578125" style="1" customWidth="1"/>
    <col min="5649" max="5649" width="10.42578125" style="1" bestFit="1" customWidth="1"/>
    <col min="5650" max="5650" width="16.28515625" style="1" customWidth="1"/>
    <col min="5651" max="5651" width="15.140625" style="1" customWidth="1"/>
    <col min="5652" max="5652" width="13.5703125" style="1" customWidth="1"/>
    <col min="5653" max="5653" width="10.5703125" style="1" customWidth="1"/>
    <col min="5654" max="5654" width="10.85546875" style="1" customWidth="1"/>
    <col min="5655" max="5655" width="18" style="1" customWidth="1"/>
    <col min="5656" max="5656" width="20.85546875" style="1" customWidth="1"/>
    <col min="5657" max="5657" width="13.5703125" style="1" customWidth="1"/>
    <col min="5658" max="5658" width="14.140625" style="1" customWidth="1"/>
    <col min="5659" max="5661" width="8.85546875" style="1" customWidth="1"/>
    <col min="5662" max="5662" width="9.28515625" style="1" customWidth="1"/>
    <col min="5663" max="5663" width="14" style="1" customWidth="1"/>
    <col min="5664" max="5665" width="8.85546875" style="1" customWidth="1"/>
    <col min="5666" max="5666" width="10.140625" style="1" customWidth="1"/>
    <col min="5667" max="5668" width="9.5703125" style="1" customWidth="1"/>
    <col min="5669" max="5669" width="9.85546875" style="1" customWidth="1"/>
    <col min="5670" max="5671" width="10.140625" style="1" customWidth="1"/>
    <col min="5672" max="5674" width="9.28515625" style="1" customWidth="1"/>
    <col min="5675" max="5675" width="9.85546875" style="1" customWidth="1"/>
    <col min="5676" max="5677" width="8.5703125" style="1" customWidth="1"/>
    <col min="5678" max="5680" width="8.85546875" style="1" customWidth="1"/>
    <col min="5681" max="5681" width="9.28515625" style="1" customWidth="1"/>
    <col min="5682" max="5683" width="8.85546875" style="1" customWidth="1"/>
    <col min="5684" max="5684" width="10" style="1" customWidth="1"/>
    <col min="5685" max="5686" width="8.85546875" style="1" customWidth="1"/>
    <col min="5687" max="5687" width="11" style="1" customWidth="1"/>
    <col min="5688" max="5689" width="9.5703125" style="1" customWidth="1"/>
    <col min="5690" max="5692" width="8.85546875" style="1" customWidth="1"/>
    <col min="5693" max="5693" width="10.42578125" style="1" customWidth="1"/>
    <col min="5694" max="5695" width="8.85546875" style="1" customWidth="1"/>
    <col min="5696" max="5696" width="9.7109375" style="1" customWidth="1"/>
    <col min="5697" max="5698" width="8.85546875" style="1" customWidth="1"/>
    <col min="5699" max="5699" width="9.28515625" style="1" customWidth="1"/>
    <col min="5700" max="5720" width="8.85546875" style="1" customWidth="1"/>
    <col min="5721" max="5721" width="9.85546875" style="1" customWidth="1"/>
    <col min="5722" max="5722" width="8.85546875" style="1" customWidth="1"/>
    <col min="5723" max="5723" width="10" style="1" customWidth="1"/>
    <col min="5724" max="5740" width="8.85546875" style="1" customWidth="1"/>
    <col min="5741" max="5741" width="9.42578125" style="1" customWidth="1"/>
    <col min="5742" max="5742" width="8.85546875" style="1" customWidth="1"/>
    <col min="5743" max="5743" width="12" style="1" customWidth="1"/>
    <col min="5744" max="5744" width="11.140625" style="1" customWidth="1"/>
    <col min="5745" max="5745" width="28.7109375" style="1" customWidth="1"/>
    <col min="5746" max="5746" width="5.85546875" style="1" customWidth="1"/>
    <col min="5747" max="5896" width="9.140625" style="1"/>
    <col min="5897" max="5897" width="3.42578125" style="1" customWidth="1"/>
    <col min="5898" max="5898" width="27.85546875" style="1" customWidth="1"/>
    <col min="5899" max="5899" width="11.85546875" style="1" customWidth="1"/>
    <col min="5900" max="5900" width="15.140625" style="1" customWidth="1"/>
    <col min="5901" max="5901" width="10.28515625" style="1" customWidth="1"/>
    <col min="5902" max="5903" width="9.7109375" style="1" customWidth="1"/>
    <col min="5904" max="5904" width="10.42578125" style="1" customWidth="1"/>
    <col min="5905" max="5905" width="10.42578125" style="1" bestFit="1" customWidth="1"/>
    <col min="5906" max="5906" width="16.28515625" style="1" customWidth="1"/>
    <col min="5907" max="5907" width="15.140625" style="1" customWidth="1"/>
    <col min="5908" max="5908" width="13.5703125" style="1" customWidth="1"/>
    <col min="5909" max="5909" width="10.5703125" style="1" customWidth="1"/>
    <col min="5910" max="5910" width="10.85546875" style="1" customWidth="1"/>
    <col min="5911" max="5911" width="18" style="1" customWidth="1"/>
    <col min="5912" max="5912" width="20.85546875" style="1" customWidth="1"/>
    <col min="5913" max="5913" width="13.5703125" style="1" customWidth="1"/>
    <col min="5914" max="5914" width="14.140625" style="1" customWidth="1"/>
    <col min="5915" max="5917" width="8.85546875" style="1" customWidth="1"/>
    <col min="5918" max="5918" width="9.28515625" style="1" customWidth="1"/>
    <col min="5919" max="5919" width="14" style="1" customWidth="1"/>
    <col min="5920" max="5921" width="8.85546875" style="1" customWidth="1"/>
    <col min="5922" max="5922" width="10.140625" style="1" customWidth="1"/>
    <col min="5923" max="5924" width="9.5703125" style="1" customWidth="1"/>
    <col min="5925" max="5925" width="9.85546875" style="1" customWidth="1"/>
    <col min="5926" max="5927" width="10.140625" style="1" customWidth="1"/>
    <col min="5928" max="5930" width="9.28515625" style="1" customWidth="1"/>
    <col min="5931" max="5931" width="9.85546875" style="1" customWidth="1"/>
    <col min="5932" max="5933" width="8.5703125" style="1" customWidth="1"/>
    <col min="5934" max="5936" width="8.85546875" style="1" customWidth="1"/>
    <col min="5937" max="5937" width="9.28515625" style="1" customWidth="1"/>
    <col min="5938" max="5939" width="8.85546875" style="1" customWidth="1"/>
    <col min="5940" max="5940" width="10" style="1" customWidth="1"/>
    <col min="5941" max="5942" width="8.85546875" style="1" customWidth="1"/>
    <col min="5943" max="5943" width="11" style="1" customWidth="1"/>
    <col min="5944" max="5945" width="9.5703125" style="1" customWidth="1"/>
    <col min="5946" max="5948" width="8.85546875" style="1" customWidth="1"/>
    <col min="5949" max="5949" width="10.42578125" style="1" customWidth="1"/>
    <col min="5950" max="5951" width="8.85546875" style="1" customWidth="1"/>
    <col min="5952" max="5952" width="9.7109375" style="1" customWidth="1"/>
    <col min="5953" max="5954" width="8.85546875" style="1" customWidth="1"/>
    <col min="5955" max="5955" width="9.28515625" style="1" customWidth="1"/>
    <col min="5956" max="5976" width="8.85546875" style="1" customWidth="1"/>
    <col min="5977" max="5977" width="9.85546875" style="1" customWidth="1"/>
    <col min="5978" max="5978" width="8.85546875" style="1" customWidth="1"/>
    <col min="5979" max="5979" width="10" style="1" customWidth="1"/>
    <col min="5980" max="5996" width="8.85546875" style="1" customWidth="1"/>
    <col min="5997" max="5997" width="9.42578125" style="1" customWidth="1"/>
    <col min="5998" max="5998" width="8.85546875" style="1" customWidth="1"/>
    <col min="5999" max="5999" width="12" style="1" customWidth="1"/>
    <col min="6000" max="6000" width="11.140625" style="1" customWidth="1"/>
    <col min="6001" max="6001" width="28.7109375" style="1" customWidth="1"/>
    <col min="6002" max="6002" width="5.85546875" style="1" customWidth="1"/>
    <col min="6003" max="6152" width="9.140625" style="1"/>
    <col min="6153" max="6153" width="3.42578125" style="1" customWidth="1"/>
    <col min="6154" max="6154" width="27.85546875" style="1" customWidth="1"/>
    <col min="6155" max="6155" width="11.85546875" style="1" customWidth="1"/>
    <col min="6156" max="6156" width="15.140625" style="1" customWidth="1"/>
    <col min="6157" max="6157" width="10.28515625" style="1" customWidth="1"/>
    <col min="6158" max="6159" width="9.7109375" style="1" customWidth="1"/>
    <col min="6160" max="6160" width="10.42578125" style="1" customWidth="1"/>
    <col min="6161" max="6161" width="10.42578125" style="1" bestFit="1" customWidth="1"/>
    <col min="6162" max="6162" width="16.28515625" style="1" customWidth="1"/>
    <col min="6163" max="6163" width="15.140625" style="1" customWidth="1"/>
    <col min="6164" max="6164" width="13.5703125" style="1" customWidth="1"/>
    <col min="6165" max="6165" width="10.5703125" style="1" customWidth="1"/>
    <col min="6166" max="6166" width="10.85546875" style="1" customWidth="1"/>
    <col min="6167" max="6167" width="18" style="1" customWidth="1"/>
    <col min="6168" max="6168" width="20.85546875" style="1" customWidth="1"/>
    <col min="6169" max="6169" width="13.5703125" style="1" customWidth="1"/>
    <col min="6170" max="6170" width="14.140625" style="1" customWidth="1"/>
    <col min="6171" max="6173" width="8.85546875" style="1" customWidth="1"/>
    <col min="6174" max="6174" width="9.28515625" style="1" customWidth="1"/>
    <col min="6175" max="6175" width="14" style="1" customWidth="1"/>
    <col min="6176" max="6177" width="8.85546875" style="1" customWidth="1"/>
    <col min="6178" max="6178" width="10.140625" style="1" customWidth="1"/>
    <col min="6179" max="6180" width="9.5703125" style="1" customWidth="1"/>
    <col min="6181" max="6181" width="9.85546875" style="1" customWidth="1"/>
    <col min="6182" max="6183" width="10.140625" style="1" customWidth="1"/>
    <col min="6184" max="6186" width="9.28515625" style="1" customWidth="1"/>
    <col min="6187" max="6187" width="9.85546875" style="1" customWidth="1"/>
    <col min="6188" max="6189" width="8.5703125" style="1" customWidth="1"/>
    <col min="6190" max="6192" width="8.85546875" style="1" customWidth="1"/>
    <col min="6193" max="6193" width="9.28515625" style="1" customWidth="1"/>
    <col min="6194" max="6195" width="8.85546875" style="1" customWidth="1"/>
    <col min="6196" max="6196" width="10" style="1" customWidth="1"/>
    <col min="6197" max="6198" width="8.85546875" style="1" customWidth="1"/>
    <col min="6199" max="6199" width="11" style="1" customWidth="1"/>
    <col min="6200" max="6201" width="9.5703125" style="1" customWidth="1"/>
    <col min="6202" max="6204" width="8.85546875" style="1" customWidth="1"/>
    <col min="6205" max="6205" width="10.42578125" style="1" customWidth="1"/>
    <col min="6206" max="6207" width="8.85546875" style="1" customWidth="1"/>
    <col min="6208" max="6208" width="9.7109375" style="1" customWidth="1"/>
    <col min="6209" max="6210" width="8.85546875" style="1" customWidth="1"/>
    <col min="6211" max="6211" width="9.28515625" style="1" customWidth="1"/>
    <col min="6212" max="6232" width="8.85546875" style="1" customWidth="1"/>
    <col min="6233" max="6233" width="9.85546875" style="1" customWidth="1"/>
    <col min="6234" max="6234" width="8.85546875" style="1" customWidth="1"/>
    <col min="6235" max="6235" width="10" style="1" customWidth="1"/>
    <col min="6236" max="6252" width="8.85546875" style="1" customWidth="1"/>
    <col min="6253" max="6253" width="9.42578125" style="1" customWidth="1"/>
    <col min="6254" max="6254" width="8.85546875" style="1" customWidth="1"/>
    <col min="6255" max="6255" width="12" style="1" customWidth="1"/>
    <col min="6256" max="6256" width="11.140625" style="1" customWidth="1"/>
    <col min="6257" max="6257" width="28.7109375" style="1" customWidth="1"/>
    <col min="6258" max="6258" width="5.85546875" style="1" customWidth="1"/>
    <col min="6259" max="6408" width="9.140625" style="1"/>
    <col min="6409" max="6409" width="3.42578125" style="1" customWidth="1"/>
    <col min="6410" max="6410" width="27.85546875" style="1" customWidth="1"/>
    <col min="6411" max="6411" width="11.85546875" style="1" customWidth="1"/>
    <col min="6412" max="6412" width="15.140625" style="1" customWidth="1"/>
    <col min="6413" max="6413" width="10.28515625" style="1" customWidth="1"/>
    <col min="6414" max="6415" width="9.7109375" style="1" customWidth="1"/>
    <col min="6416" max="6416" width="10.42578125" style="1" customWidth="1"/>
    <col min="6417" max="6417" width="10.42578125" style="1" bestFit="1" customWidth="1"/>
    <col min="6418" max="6418" width="16.28515625" style="1" customWidth="1"/>
    <col min="6419" max="6419" width="15.140625" style="1" customWidth="1"/>
    <col min="6420" max="6420" width="13.5703125" style="1" customWidth="1"/>
    <col min="6421" max="6421" width="10.5703125" style="1" customWidth="1"/>
    <col min="6422" max="6422" width="10.85546875" style="1" customWidth="1"/>
    <col min="6423" max="6423" width="18" style="1" customWidth="1"/>
    <col min="6424" max="6424" width="20.85546875" style="1" customWidth="1"/>
    <col min="6425" max="6425" width="13.5703125" style="1" customWidth="1"/>
    <col min="6426" max="6426" width="14.140625" style="1" customWidth="1"/>
    <col min="6427" max="6429" width="8.85546875" style="1" customWidth="1"/>
    <col min="6430" max="6430" width="9.28515625" style="1" customWidth="1"/>
    <col min="6431" max="6431" width="14" style="1" customWidth="1"/>
    <col min="6432" max="6433" width="8.85546875" style="1" customWidth="1"/>
    <col min="6434" max="6434" width="10.140625" style="1" customWidth="1"/>
    <col min="6435" max="6436" width="9.5703125" style="1" customWidth="1"/>
    <col min="6437" max="6437" width="9.85546875" style="1" customWidth="1"/>
    <col min="6438" max="6439" width="10.140625" style="1" customWidth="1"/>
    <col min="6440" max="6442" width="9.28515625" style="1" customWidth="1"/>
    <col min="6443" max="6443" width="9.85546875" style="1" customWidth="1"/>
    <col min="6444" max="6445" width="8.5703125" style="1" customWidth="1"/>
    <col min="6446" max="6448" width="8.85546875" style="1" customWidth="1"/>
    <col min="6449" max="6449" width="9.28515625" style="1" customWidth="1"/>
    <col min="6450" max="6451" width="8.85546875" style="1" customWidth="1"/>
    <col min="6452" max="6452" width="10" style="1" customWidth="1"/>
    <col min="6453" max="6454" width="8.85546875" style="1" customWidth="1"/>
    <col min="6455" max="6455" width="11" style="1" customWidth="1"/>
    <col min="6456" max="6457" width="9.5703125" style="1" customWidth="1"/>
    <col min="6458" max="6460" width="8.85546875" style="1" customWidth="1"/>
    <col min="6461" max="6461" width="10.42578125" style="1" customWidth="1"/>
    <col min="6462" max="6463" width="8.85546875" style="1" customWidth="1"/>
    <col min="6464" max="6464" width="9.7109375" style="1" customWidth="1"/>
    <col min="6465" max="6466" width="8.85546875" style="1" customWidth="1"/>
    <col min="6467" max="6467" width="9.28515625" style="1" customWidth="1"/>
    <col min="6468" max="6488" width="8.85546875" style="1" customWidth="1"/>
    <col min="6489" max="6489" width="9.85546875" style="1" customWidth="1"/>
    <col min="6490" max="6490" width="8.85546875" style="1" customWidth="1"/>
    <col min="6491" max="6491" width="10" style="1" customWidth="1"/>
    <col min="6492" max="6508" width="8.85546875" style="1" customWidth="1"/>
    <col min="6509" max="6509" width="9.42578125" style="1" customWidth="1"/>
    <col min="6510" max="6510" width="8.85546875" style="1" customWidth="1"/>
    <col min="6511" max="6511" width="12" style="1" customWidth="1"/>
    <col min="6512" max="6512" width="11.140625" style="1" customWidth="1"/>
    <col min="6513" max="6513" width="28.7109375" style="1" customWidth="1"/>
    <col min="6514" max="6514" width="5.85546875" style="1" customWidth="1"/>
    <col min="6515" max="6664" width="9.140625" style="1"/>
    <col min="6665" max="6665" width="3.42578125" style="1" customWidth="1"/>
    <col min="6666" max="6666" width="27.85546875" style="1" customWidth="1"/>
    <col min="6667" max="6667" width="11.85546875" style="1" customWidth="1"/>
    <col min="6668" max="6668" width="15.140625" style="1" customWidth="1"/>
    <col min="6669" max="6669" width="10.28515625" style="1" customWidth="1"/>
    <col min="6670" max="6671" width="9.7109375" style="1" customWidth="1"/>
    <col min="6672" max="6672" width="10.42578125" style="1" customWidth="1"/>
    <col min="6673" max="6673" width="10.42578125" style="1" bestFit="1" customWidth="1"/>
    <col min="6674" max="6674" width="16.28515625" style="1" customWidth="1"/>
    <col min="6675" max="6675" width="15.140625" style="1" customWidth="1"/>
    <col min="6676" max="6676" width="13.5703125" style="1" customWidth="1"/>
    <col min="6677" max="6677" width="10.5703125" style="1" customWidth="1"/>
    <col min="6678" max="6678" width="10.85546875" style="1" customWidth="1"/>
    <col min="6679" max="6679" width="18" style="1" customWidth="1"/>
    <col min="6680" max="6680" width="20.85546875" style="1" customWidth="1"/>
    <col min="6681" max="6681" width="13.5703125" style="1" customWidth="1"/>
    <col min="6682" max="6682" width="14.140625" style="1" customWidth="1"/>
    <col min="6683" max="6685" width="8.85546875" style="1" customWidth="1"/>
    <col min="6686" max="6686" width="9.28515625" style="1" customWidth="1"/>
    <col min="6687" max="6687" width="14" style="1" customWidth="1"/>
    <col min="6688" max="6689" width="8.85546875" style="1" customWidth="1"/>
    <col min="6690" max="6690" width="10.140625" style="1" customWidth="1"/>
    <col min="6691" max="6692" width="9.5703125" style="1" customWidth="1"/>
    <col min="6693" max="6693" width="9.85546875" style="1" customWidth="1"/>
    <col min="6694" max="6695" width="10.140625" style="1" customWidth="1"/>
    <col min="6696" max="6698" width="9.28515625" style="1" customWidth="1"/>
    <col min="6699" max="6699" width="9.85546875" style="1" customWidth="1"/>
    <col min="6700" max="6701" width="8.5703125" style="1" customWidth="1"/>
    <col min="6702" max="6704" width="8.85546875" style="1" customWidth="1"/>
    <col min="6705" max="6705" width="9.28515625" style="1" customWidth="1"/>
    <col min="6706" max="6707" width="8.85546875" style="1" customWidth="1"/>
    <col min="6708" max="6708" width="10" style="1" customWidth="1"/>
    <col min="6709" max="6710" width="8.85546875" style="1" customWidth="1"/>
    <col min="6711" max="6711" width="11" style="1" customWidth="1"/>
    <col min="6712" max="6713" width="9.5703125" style="1" customWidth="1"/>
    <col min="6714" max="6716" width="8.85546875" style="1" customWidth="1"/>
    <col min="6717" max="6717" width="10.42578125" style="1" customWidth="1"/>
    <col min="6718" max="6719" width="8.85546875" style="1" customWidth="1"/>
    <col min="6720" max="6720" width="9.7109375" style="1" customWidth="1"/>
    <col min="6721" max="6722" width="8.85546875" style="1" customWidth="1"/>
    <col min="6723" max="6723" width="9.28515625" style="1" customWidth="1"/>
    <col min="6724" max="6744" width="8.85546875" style="1" customWidth="1"/>
    <col min="6745" max="6745" width="9.85546875" style="1" customWidth="1"/>
    <col min="6746" max="6746" width="8.85546875" style="1" customWidth="1"/>
    <col min="6747" max="6747" width="10" style="1" customWidth="1"/>
    <col min="6748" max="6764" width="8.85546875" style="1" customWidth="1"/>
    <col min="6765" max="6765" width="9.42578125" style="1" customWidth="1"/>
    <col min="6766" max="6766" width="8.85546875" style="1" customWidth="1"/>
    <col min="6767" max="6767" width="12" style="1" customWidth="1"/>
    <col min="6768" max="6768" width="11.140625" style="1" customWidth="1"/>
    <col min="6769" max="6769" width="28.7109375" style="1" customWidth="1"/>
    <col min="6770" max="6770" width="5.85546875" style="1" customWidth="1"/>
    <col min="6771" max="6920" width="9.140625" style="1"/>
    <col min="6921" max="6921" width="3.42578125" style="1" customWidth="1"/>
    <col min="6922" max="6922" width="27.85546875" style="1" customWidth="1"/>
    <col min="6923" max="6923" width="11.85546875" style="1" customWidth="1"/>
    <col min="6924" max="6924" width="15.140625" style="1" customWidth="1"/>
    <col min="6925" max="6925" width="10.28515625" style="1" customWidth="1"/>
    <col min="6926" max="6927" width="9.7109375" style="1" customWidth="1"/>
    <col min="6928" max="6928" width="10.42578125" style="1" customWidth="1"/>
    <col min="6929" max="6929" width="10.42578125" style="1" bestFit="1" customWidth="1"/>
    <col min="6930" max="6930" width="16.28515625" style="1" customWidth="1"/>
    <col min="6931" max="6931" width="15.140625" style="1" customWidth="1"/>
    <col min="6932" max="6932" width="13.5703125" style="1" customWidth="1"/>
    <col min="6933" max="6933" width="10.5703125" style="1" customWidth="1"/>
    <col min="6934" max="6934" width="10.85546875" style="1" customWidth="1"/>
    <col min="6935" max="6935" width="18" style="1" customWidth="1"/>
    <col min="6936" max="6936" width="20.85546875" style="1" customWidth="1"/>
    <col min="6937" max="6937" width="13.5703125" style="1" customWidth="1"/>
    <col min="6938" max="6938" width="14.140625" style="1" customWidth="1"/>
    <col min="6939" max="6941" width="8.85546875" style="1" customWidth="1"/>
    <col min="6942" max="6942" width="9.28515625" style="1" customWidth="1"/>
    <col min="6943" max="6943" width="14" style="1" customWidth="1"/>
    <col min="6944" max="6945" width="8.85546875" style="1" customWidth="1"/>
    <col min="6946" max="6946" width="10.140625" style="1" customWidth="1"/>
    <col min="6947" max="6948" width="9.5703125" style="1" customWidth="1"/>
    <col min="6949" max="6949" width="9.85546875" style="1" customWidth="1"/>
    <col min="6950" max="6951" width="10.140625" style="1" customWidth="1"/>
    <col min="6952" max="6954" width="9.28515625" style="1" customWidth="1"/>
    <col min="6955" max="6955" width="9.85546875" style="1" customWidth="1"/>
    <col min="6956" max="6957" width="8.5703125" style="1" customWidth="1"/>
    <col min="6958" max="6960" width="8.85546875" style="1" customWidth="1"/>
    <col min="6961" max="6961" width="9.28515625" style="1" customWidth="1"/>
    <col min="6962" max="6963" width="8.85546875" style="1" customWidth="1"/>
    <col min="6964" max="6964" width="10" style="1" customWidth="1"/>
    <col min="6965" max="6966" width="8.85546875" style="1" customWidth="1"/>
    <col min="6967" max="6967" width="11" style="1" customWidth="1"/>
    <col min="6968" max="6969" width="9.5703125" style="1" customWidth="1"/>
    <col min="6970" max="6972" width="8.85546875" style="1" customWidth="1"/>
    <col min="6973" max="6973" width="10.42578125" style="1" customWidth="1"/>
    <col min="6974" max="6975" width="8.85546875" style="1" customWidth="1"/>
    <col min="6976" max="6976" width="9.7109375" style="1" customWidth="1"/>
    <col min="6977" max="6978" width="8.85546875" style="1" customWidth="1"/>
    <col min="6979" max="6979" width="9.28515625" style="1" customWidth="1"/>
    <col min="6980" max="7000" width="8.85546875" style="1" customWidth="1"/>
    <col min="7001" max="7001" width="9.85546875" style="1" customWidth="1"/>
    <col min="7002" max="7002" width="8.85546875" style="1" customWidth="1"/>
    <col min="7003" max="7003" width="10" style="1" customWidth="1"/>
    <col min="7004" max="7020" width="8.85546875" style="1" customWidth="1"/>
    <col min="7021" max="7021" width="9.42578125" style="1" customWidth="1"/>
    <col min="7022" max="7022" width="8.85546875" style="1" customWidth="1"/>
    <col min="7023" max="7023" width="12" style="1" customWidth="1"/>
    <col min="7024" max="7024" width="11.140625" style="1" customWidth="1"/>
    <col min="7025" max="7025" width="28.7109375" style="1" customWidth="1"/>
    <col min="7026" max="7026" width="5.85546875" style="1" customWidth="1"/>
    <col min="7027" max="7176" width="9.140625" style="1"/>
    <col min="7177" max="7177" width="3.42578125" style="1" customWidth="1"/>
    <col min="7178" max="7178" width="27.85546875" style="1" customWidth="1"/>
    <col min="7179" max="7179" width="11.85546875" style="1" customWidth="1"/>
    <col min="7180" max="7180" width="15.140625" style="1" customWidth="1"/>
    <col min="7181" max="7181" width="10.28515625" style="1" customWidth="1"/>
    <col min="7182" max="7183" width="9.7109375" style="1" customWidth="1"/>
    <col min="7184" max="7184" width="10.42578125" style="1" customWidth="1"/>
    <col min="7185" max="7185" width="10.42578125" style="1" bestFit="1" customWidth="1"/>
    <col min="7186" max="7186" width="16.28515625" style="1" customWidth="1"/>
    <col min="7187" max="7187" width="15.140625" style="1" customWidth="1"/>
    <col min="7188" max="7188" width="13.5703125" style="1" customWidth="1"/>
    <col min="7189" max="7189" width="10.5703125" style="1" customWidth="1"/>
    <col min="7190" max="7190" width="10.85546875" style="1" customWidth="1"/>
    <col min="7191" max="7191" width="18" style="1" customWidth="1"/>
    <col min="7192" max="7192" width="20.85546875" style="1" customWidth="1"/>
    <col min="7193" max="7193" width="13.5703125" style="1" customWidth="1"/>
    <col min="7194" max="7194" width="14.140625" style="1" customWidth="1"/>
    <col min="7195" max="7197" width="8.85546875" style="1" customWidth="1"/>
    <col min="7198" max="7198" width="9.28515625" style="1" customWidth="1"/>
    <col min="7199" max="7199" width="14" style="1" customWidth="1"/>
    <col min="7200" max="7201" width="8.85546875" style="1" customWidth="1"/>
    <col min="7202" max="7202" width="10.140625" style="1" customWidth="1"/>
    <col min="7203" max="7204" width="9.5703125" style="1" customWidth="1"/>
    <col min="7205" max="7205" width="9.85546875" style="1" customWidth="1"/>
    <col min="7206" max="7207" width="10.140625" style="1" customWidth="1"/>
    <col min="7208" max="7210" width="9.28515625" style="1" customWidth="1"/>
    <col min="7211" max="7211" width="9.85546875" style="1" customWidth="1"/>
    <col min="7212" max="7213" width="8.5703125" style="1" customWidth="1"/>
    <col min="7214" max="7216" width="8.85546875" style="1" customWidth="1"/>
    <col min="7217" max="7217" width="9.28515625" style="1" customWidth="1"/>
    <col min="7218" max="7219" width="8.85546875" style="1" customWidth="1"/>
    <col min="7220" max="7220" width="10" style="1" customWidth="1"/>
    <col min="7221" max="7222" width="8.85546875" style="1" customWidth="1"/>
    <col min="7223" max="7223" width="11" style="1" customWidth="1"/>
    <col min="7224" max="7225" width="9.5703125" style="1" customWidth="1"/>
    <col min="7226" max="7228" width="8.85546875" style="1" customWidth="1"/>
    <col min="7229" max="7229" width="10.42578125" style="1" customWidth="1"/>
    <col min="7230" max="7231" width="8.85546875" style="1" customWidth="1"/>
    <col min="7232" max="7232" width="9.7109375" style="1" customWidth="1"/>
    <col min="7233" max="7234" width="8.85546875" style="1" customWidth="1"/>
    <col min="7235" max="7235" width="9.28515625" style="1" customWidth="1"/>
    <col min="7236" max="7256" width="8.85546875" style="1" customWidth="1"/>
    <col min="7257" max="7257" width="9.85546875" style="1" customWidth="1"/>
    <col min="7258" max="7258" width="8.85546875" style="1" customWidth="1"/>
    <col min="7259" max="7259" width="10" style="1" customWidth="1"/>
    <col min="7260" max="7276" width="8.85546875" style="1" customWidth="1"/>
    <col min="7277" max="7277" width="9.42578125" style="1" customWidth="1"/>
    <col min="7278" max="7278" width="8.85546875" style="1" customWidth="1"/>
    <col min="7279" max="7279" width="12" style="1" customWidth="1"/>
    <col min="7280" max="7280" width="11.140625" style="1" customWidth="1"/>
    <col min="7281" max="7281" width="28.7109375" style="1" customWidth="1"/>
    <col min="7282" max="7282" width="5.85546875" style="1" customWidth="1"/>
    <col min="7283" max="7432" width="9.140625" style="1"/>
    <col min="7433" max="7433" width="3.42578125" style="1" customWidth="1"/>
    <col min="7434" max="7434" width="27.85546875" style="1" customWidth="1"/>
    <col min="7435" max="7435" width="11.85546875" style="1" customWidth="1"/>
    <col min="7436" max="7436" width="15.140625" style="1" customWidth="1"/>
    <col min="7437" max="7437" width="10.28515625" style="1" customWidth="1"/>
    <col min="7438" max="7439" width="9.7109375" style="1" customWidth="1"/>
    <col min="7440" max="7440" width="10.42578125" style="1" customWidth="1"/>
    <col min="7441" max="7441" width="10.42578125" style="1" bestFit="1" customWidth="1"/>
    <col min="7442" max="7442" width="16.28515625" style="1" customWidth="1"/>
    <col min="7443" max="7443" width="15.140625" style="1" customWidth="1"/>
    <col min="7444" max="7444" width="13.5703125" style="1" customWidth="1"/>
    <col min="7445" max="7445" width="10.5703125" style="1" customWidth="1"/>
    <col min="7446" max="7446" width="10.85546875" style="1" customWidth="1"/>
    <col min="7447" max="7447" width="18" style="1" customWidth="1"/>
    <col min="7448" max="7448" width="20.85546875" style="1" customWidth="1"/>
    <col min="7449" max="7449" width="13.5703125" style="1" customWidth="1"/>
    <col min="7450" max="7450" width="14.140625" style="1" customWidth="1"/>
    <col min="7451" max="7453" width="8.85546875" style="1" customWidth="1"/>
    <col min="7454" max="7454" width="9.28515625" style="1" customWidth="1"/>
    <col min="7455" max="7455" width="14" style="1" customWidth="1"/>
    <col min="7456" max="7457" width="8.85546875" style="1" customWidth="1"/>
    <col min="7458" max="7458" width="10.140625" style="1" customWidth="1"/>
    <col min="7459" max="7460" width="9.5703125" style="1" customWidth="1"/>
    <col min="7461" max="7461" width="9.85546875" style="1" customWidth="1"/>
    <col min="7462" max="7463" width="10.140625" style="1" customWidth="1"/>
    <col min="7464" max="7466" width="9.28515625" style="1" customWidth="1"/>
    <col min="7467" max="7467" width="9.85546875" style="1" customWidth="1"/>
    <col min="7468" max="7469" width="8.5703125" style="1" customWidth="1"/>
    <col min="7470" max="7472" width="8.85546875" style="1" customWidth="1"/>
    <col min="7473" max="7473" width="9.28515625" style="1" customWidth="1"/>
    <col min="7474" max="7475" width="8.85546875" style="1" customWidth="1"/>
    <col min="7476" max="7476" width="10" style="1" customWidth="1"/>
    <col min="7477" max="7478" width="8.85546875" style="1" customWidth="1"/>
    <col min="7479" max="7479" width="11" style="1" customWidth="1"/>
    <col min="7480" max="7481" width="9.5703125" style="1" customWidth="1"/>
    <col min="7482" max="7484" width="8.85546875" style="1" customWidth="1"/>
    <col min="7485" max="7485" width="10.42578125" style="1" customWidth="1"/>
    <col min="7486" max="7487" width="8.85546875" style="1" customWidth="1"/>
    <col min="7488" max="7488" width="9.7109375" style="1" customWidth="1"/>
    <col min="7489" max="7490" width="8.85546875" style="1" customWidth="1"/>
    <col min="7491" max="7491" width="9.28515625" style="1" customWidth="1"/>
    <col min="7492" max="7512" width="8.85546875" style="1" customWidth="1"/>
    <col min="7513" max="7513" width="9.85546875" style="1" customWidth="1"/>
    <col min="7514" max="7514" width="8.85546875" style="1" customWidth="1"/>
    <col min="7515" max="7515" width="10" style="1" customWidth="1"/>
    <col min="7516" max="7532" width="8.85546875" style="1" customWidth="1"/>
    <col min="7533" max="7533" width="9.42578125" style="1" customWidth="1"/>
    <col min="7534" max="7534" width="8.85546875" style="1" customWidth="1"/>
    <col min="7535" max="7535" width="12" style="1" customWidth="1"/>
    <col min="7536" max="7536" width="11.140625" style="1" customWidth="1"/>
    <col min="7537" max="7537" width="28.7109375" style="1" customWidth="1"/>
    <col min="7538" max="7538" width="5.85546875" style="1" customWidth="1"/>
    <col min="7539" max="7688" width="9.140625" style="1"/>
    <col min="7689" max="7689" width="3.42578125" style="1" customWidth="1"/>
    <col min="7690" max="7690" width="27.85546875" style="1" customWidth="1"/>
    <col min="7691" max="7691" width="11.85546875" style="1" customWidth="1"/>
    <col min="7692" max="7692" width="15.140625" style="1" customWidth="1"/>
    <col min="7693" max="7693" width="10.28515625" style="1" customWidth="1"/>
    <col min="7694" max="7695" width="9.7109375" style="1" customWidth="1"/>
    <col min="7696" max="7696" width="10.42578125" style="1" customWidth="1"/>
    <col min="7697" max="7697" width="10.42578125" style="1" bestFit="1" customWidth="1"/>
    <col min="7698" max="7698" width="16.28515625" style="1" customWidth="1"/>
    <col min="7699" max="7699" width="15.140625" style="1" customWidth="1"/>
    <col min="7700" max="7700" width="13.5703125" style="1" customWidth="1"/>
    <col min="7701" max="7701" width="10.5703125" style="1" customWidth="1"/>
    <col min="7702" max="7702" width="10.85546875" style="1" customWidth="1"/>
    <col min="7703" max="7703" width="18" style="1" customWidth="1"/>
    <col min="7704" max="7704" width="20.85546875" style="1" customWidth="1"/>
    <col min="7705" max="7705" width="13.5703125" style="1" customWidth="1"/>
    <col min="7706" max="7706" width="14.140625" style="1" customWidth="1"/>
    <col min="7707" max="7709" width="8.85546875" style="1" customWidth="1"/>
    <col min="7710" max="7710" width="9.28515625" style="1" customWidth="1"/>
    <col min="7711" max="7711" width="14" style="1" customWidth="1"/>
    <col min="7712" max="7713" width="8.85546875" style="1" customWidth="1"/>
    <col min="7714" max="7714" width="10.140625" style="1" customWidth="1"/>
    <col min="7715" max="7716" width="9.5703125" style="1" customWidth="1"/>
    <col min="7717" max="7717" width="9.85546875" style="1" customWidth="1"/>
    <col min="7718" max="7719" width="10.140625" style="1" customWidth="1"/>
    <col min="7720" max="7722" width="9.28515625" style="1" customWidth="1"/>
    <col min="7723" max="7723" width="9.85546875" style="1" customWidth="1"/>
    <col min="7724" max="7725" width="8.5703125" style="1" customWidth="1"/>
    <col min="7726" max="7728" width="8.85546875" style="1" customWidth="1"/>
    <col min="7729" max="7729" width="9.28515625" style="1" customWidth="1"/>
    <col min="7730" max="7731" width="8.85546875" style="1" customWidth="1"/>
    <col min="7732" max="7732" width="10" style="1" customWidth="1"/>
    <col min="7733" max="7734" width="8.85546875" style="1" customWidth="1"/>
    <col min="7735" max="7735" width="11" style="1" customWidth="1"/>
    <col min="7736" max="7737" width="9.5703125" style="1" customWidth="1"/>
    <col min="7738" max="7740" width="8.85546875" style="1" customWidth="1"/>
    <col min="7741" max="7741" width="10.42578125" style="1" customWidth="1"/>
    <col min="7742" max="7743" width="8.85546875" style="1" customWidth="1"/>
    <col min="7744" max="7744" width="9.7109375" style="1" customWidth="1"/>
    <col min="7745" max="7746" width="8.85546875" style="1" customWidth="1"/>
    <col min="7747" max="7747" width="9.28515625" style="1" customWidth="1"/>
    <col min="7748" max="7768" width="8.85546875" style="1" customWidth="1"/>
    <col min="7769" max="7769" width="9.85546875" style="1" customWidth="1"/>
    <col min="7770" max="7770" width="8.85546875" style="1" customWidth="1"/>
    <col min="7771" max="7771" width="10" style="1" customWidth="1"/>
    <col min="7772" max="7788" width="8.85546875" style="1" customWidth="1"/>
    <col min="7789" max="7789" width="9.42578125" style="1" customWidth="1"/>
    <col min="7790" max="7790" width="8.85546875" style="1" customWidth="1"/>
    <col min="7791" max="7791" width="12" style="1" customWidth="1"/>
    <col min="7792" max="7792" width="11.140625" style="1" customWidth="1"/>
    <col min="7793" max="7793" width="28.7109375" style="1" customWidth="1"/>
    <col min="7794" max="7794" width="5.85546875" style="1" customWidth="1"/>
    <col min="7795" max="7944" width="9.140625" style="1"/>
    <col min="7945" max="7945" width="3.42578125" style="1" customWidth="1"/>
    <col min="7946" max="7946" width="27.85546875" style="1" customWidth="1"/>
    <col min="7947" max="7947" width="11.85546875" style="1" customWidth="1"/>
    <col min="7948" max="7948" width="15.140625" style="1" customWidth="1"/>
    <col min="7949" max="7949" width="10.28515625" style="1" customWidth="1"/>
    <col min="7950" max="7951" width="9.7109375" style="1" customWidth="1"/>
    <col min="7952" max="7952" width="10.42578125" style="1" customWidth="1"/>
    <col min="7953" max="7953" width="10.42578125" style="1" bestFit="1" customWidth="1"/>
    <col min="7954" max="7954" width="16.28515625" style="1" customWidth="1"/>
    <col min="7955" max="7955" width="15.140625" style="1" customWidth="1"/>
    <col min="7956" max="7956" width="13.5703125" style="1" customWidth="1"/>
    <col min="7957" max="7957" width="10.5703125" style="1" customWidth="1"/>
    <col min="7958" max="7958" width="10.85546875" style="1" customWidth="1"/>
    <col min="7959" max="7959" width="18" style="1" customWidth="1"/>
    <col min="7960" max="7960" width="20.85546875" style="1" customWidth="1"/>
    <col min="7961" max="7961" width="13.5703125" style="1" customWidth="1"/>
    <col min="7962" max="7962" width="14.140625" style="1" customWidth="1"/>
    <col min="7963" max="7965" width="8.85546875" style="1" customWidth="1"/>
    <col min="7966" max="7966" width="9.28515625" style="1" customWidth="1"/>
    <col min="7967" max="7967" width="14" style="1" customWidth="1"/>
    <col min="7968" max="7969" width="8.85546875" style="1" customWidth="1"/>
    <col min="7970" max="7970" width="10.140625" style="1" customWidth="1"/>
    <col min="7971" max="7972" width="9.5703125" style="1" customWidth="1"/>
    <col min="7973" max="7973" width="9.85546875" style="1" customWidth="1"/>
    <col min="7974" max="7975" width="10.140625" style="1" customWidth="1"/>
    <col min="7976" max="7978" width="9.28515625" style="1" customWidth="1"/>
    <col min="7979" max="7979" width="9.85546875" style="1" customWidth="1"/>
    <col min="7980" max="7981" width="8.5703125" style="1" customWidth="1"/>
    <col min="7982" max="7984" width="8.85546875" style="1" customWidth="1"/>
    <col min="7985" max="7985" width="9.28515625" style="1" customWidth="1"/>
    <col min="7986" max="7987" width="8.85546875" style="1" customWidth="1"/>
    <col min="7988" max="7988" width="10" style="1" customWidth="1"/>
    <col min="7989" max="7990" width="8.85546875" style="1" customWidth="1"/>
    <col min="7991" max="7991" width="11" style="1" customWidth="1"/>
    <col min="7992" max="7993" width="9.5703125" style="1" customWidth="1"/>
    <col min="7994" max="7996" width="8.85546875" style="1" customWidth="1"/>
    <col min="7997" max="7997" width="10.42578125" style="1" customWidth="1"/>
    <col min="7998" max="7999" width="8.85546875" style="1" customWidth="1"/>
    <col min="8000" max="8000" width="9.7109375" style="1" customWidth="1"/>
    <col min="8001" max="8002" width="8.85546875" style="1" customWidth="1"/>
    <col min="8003" max="8003" width="9.28515625" style="1" customWidth="1"/>
    <col min="8004" max="8024" width="8.85546875" style="1" customWidth="1"/>
    <col min="8025" max="8025" width="9.85546875" style="1" customWidth="1"/>
    <col min="8026" max="8026" width="8.85546875" style="1" customWidth="1"/>
    <col min="8027" max="8027" width="10" style="1" customWidth="1"/>
    <col min="8028" max="8044" width="8.85546875" style="1" customWidth="1"/>
    <col min="8045" max="8045" width="9.42578125" style="1" customWidth="1"/>
    <col min="8046" max="8046" width="8.85546875" style="1" customWidth="1"/>
    <col min="8047" max="8047" width="12" style="1" customWidth="1"/>
    <col min="8048" max="8048" width="11.140625" style="1" customWidth="1"/>
    <col min="8049" max="8049" width="28.7109375" style="1" customWidth="1"/>
    <col min="8050" max="8050" width="5.85546875" style="1" customWidth="1"/>
    <col min="8051" max="8200" width="9.140625" style="1"/>
    <col min="8201" max="8201" width="3.42578125" style="1" customWidth="1"/>
    <col min="8202" max="8202" width="27.85546875" style="1" customWidth="1"/>
    <col min="8203" max="8203" width="11.85546875" style="1" customWidth="1"/>
    <col min="8204" max="8204" width="15.140625" style="1" customWidth="1"/>
    <col min="8205" max="8205" width="10.28515625" style="1" customWidth="1"/>
    <col min="8206" max="8207" width="9.7109375" style="1" customWidth="1"/>
    <col min="8208" max="8208" width="10.42578125" style="1" customWidth="1"/>
    <col min="8209" max="8209" width="10.42578125" style="1" bestFit="1" customWidth="1"/>
    <col min="8210" max="8210" width="16.28515625" style="1" customWidth="1"/>
    <col min="8211" max="8211" width="15.140625" style="1" customWidth="1"/>
    <col min="8212" max="8212" width="13.5703125" style="1" customWidth="1"/>
    <col min="8213" max="8213" width="10.5703125" style="1" customWidth="1"/>
    <col min="8214" max="8214" width="10.85546875" style="1" customWidth="1"/>
    <col min="8215" max="8215" width="18" style="1" customWidth="1"/>
    <col min="8216" max="8216" width="20.85546875" style="1" customWidth="1"/>
    <col min="8217" max="8217" width="13.5703125" style="1" customWidth="1"/>
    <col min="8218" max="8218" width="14.140625" style="1" customWidth="1"/>
    <col min="8219" max="8221" width="8.85546875" style="1" customWidth="1"/>
    <col min="8222" max="8222" width="9.28515625" style="1" customWidth="1"/>
    <col min="8223" max="8223" width="14" style="1" customWidth="1"/>
    <col min="8224" max="8225" width="8.85546875" style="1" customWidth="1"/>
    <col min="8226" max="8226" width="10.140625" style="1" customWidth="1"/>
    <col min="8227" max="8228" width="9.5703125" style="1" customWidth="1"/>
    <col min="8229" max="8229" width="9.85546875" style="1" customWidth="1"/>
    <col min="8230" max="8231" width="10.140625" style="1" customWidth="1"/>
    <col min="8232" max="8234" width="9.28515625" style="1" customWidth="1"/>
    <col min="8235" max="8235" width="9.85546875" style="1" customWidth="1"/>
    <col min="8236" max="8237" width="8.5703125" style="1" customWidth="1"/>
    <col min="8238" max="8240" width="8.85546875" style="1" customWidth="1"/>
    <col min="8241" max="8241" width="9.28515625" style="1" customWidth="1"/>
    <col min="8242" max="8243" width="8.85546875" style="1" customWidth="1"/>
    <col min="8244" max="8244" width="10" style="1" customWidth="1"/>
    <col min="8245" max="8246" width="8.85546875" style="1" customWidth="1"/>
    <col min="8247" max="8247" width="11" style="1" customWidth="1"/>
    <col min="8248" max="8249" width="9.5703125" style="1" customWidth="1"/>
    <col min="8250" max="8252" width="8.85546875" style="1" customWidth="1"/>
    <col min="8253" max="8253" width="10.42578125" style="1" customWidth="1"/>
    <col min="8254" max="8255" width="8.85546875" style="1" customWidth="1"/>
    <col min="8256" max="8256" width="9.7109375" style="1" customWidth="1"/>
    <col min="8257" max="8258" width="8.85546875" style="1" customWidth="1"/>
    <col min="8259" max="8259" width="9.28515625" style="1" customWidth="1"/>
    <col min="8260" max="8280" width="8.85546875" style="1" customWidth="1"/>
    <col min="8281" max="8281" width="9.85546875" style="1" customWidth="1"/>
    <col min="8282" max="8282" width="8.85546875" style="1" customWidth="1"/>
    <col min="8283" max="8283" width="10" style="1" customWidth="1"/>
    <col min="8284" max="8300" width="8.85546875" style="1" customWidth="1"/>
    <col min="8301" max="8301" width="9.42578125" style="1" customWidth="1"/>
    <col min="8302" max="8302" width="8.85546875" style="1" customWidth="1"/>
    <col min="8303" max="8303" width="12" style="1" customWidth="1"/>
    <col min="8304" max="8304" width="11.140625" style="1" customWidth="1"/>
    <col min="8305" max="8305" width="28.7109375" style="1" customWidth="1"/>
    <col min="8306" max="8306" width="5.85546875" style="1" customWidth="1"/>
    <col min="8307" max="8456" width="9.140625" style="1"/>
    <col min="8457" max="8457" width="3.42578125" style="1" customWidth="1"/>
    <col min="8458" max="8458" width="27.85546875" style="1" customWidth="1"/>
    <col min="8459" max="8459" width="11.85546875" style="1" customWidth="1"/>
    <col min="8460" max="8460" width="15.140625" style="1" customWidth="1"/>
    <col min="8461" max="8461" width="10.28515625" style="1" customWidth="1"/>
    <col min="8462" max="8463" width="9.7109375" style="1" customWidth="1"/>
    <col min="8464" max="8464" width="10.42578125" style="1" customWidth="1"/>
    <col min="8465" max="8465" width="10.42578125" style="1" bestFit="1" customWidth="1"/>
    <col min="8466" max="8466" width="16.28515625" style="1" customWidth="1"/>
    <col min="8467" max="8467" width="15.140625" style="1" customWidth="1"/>
    <col min="8468" max="8468" width="13.5703125" style="1" customWidth="1"/>
    <col min="8469" max="8469" width="10.5703125" style="1" customWidth="1"/>
    <col min="8470" max="8470" width="10.85546875" style="1" customWidth="1"/>
    <col min="8471" max="8471" width="18" style="1" customWidth="1"/>
    <col min="8472" max="8472" width="20.85546875" style="1" customWidth="1"/>
    <col min="8473" max="8473" width="13.5703125" style="1" customWidth="1"/>
    <col min="8474" max="8474" width="14.140625" style="1" customWidth="1"/>
    <col min="8475" max="8477" width="8.85546875" style="1" customWidth="1"/>
    <col min="8478" max="8478" width="9.28515625" style="1" customWidth="1"/>
    <col min="8479" max="8479" width="14" style="1" customWidth="1"/>
    <col min="8480" max="8481" width="8.85546875" style="1" customWidth="1"/>
    <col min="8482" max="8482" width="10.140625" style="1" customWidth="1"/>
    <col min="8483" max="8484" width="9.5703125" style="1" customWidth="1"/>
    <col min="8485" max="8485" width="9.85546875" style="1" customWidth="1"/>
    <col min="8486" max="8487" width="10.140625" style="1" customWidth="1"/>
    <col min="8488" max="8490" width="9.28515625" style="1" customWidth="1"/>
    <col min="8491" max="8491" width="9.85546875" style="1" customWidth="1"/>
    <col min="8492" max="8493" width="8.5703125" style="1" customWidth="1"/>
    <col min="8494" max="8496" width="8.85546875" style="1" customWidth="1"/>
    <col min="8497" max="8497" width="9.28515625" style="1" customWidth="1"/>
    <col min="8498" max="8499" width="8.85546875" style="1" customWidth="1"/>
    <col min="8500" max="8500" width="10" style="1" customWidth="1"/>
    <col min="8501" max="8502" width="8.85546875" style="1" customWidth="1"/>
    <col min="8503" max="8503" width="11" style="1" customWidth="1"/>
    <col min="8504" max="8505" width="9.5703125" style="1" customWidth="1"/>
    <col min="8506" max="8508" width="8.85546875" style="1" customWidth="1"/>
    <col min="8509" max="8509" width="10.42578125" style="1" customWidth="1"/>
    <col min="8510" max="8511" width="8.85546875" style="1" customWidth="1"/>
    <col min="8512" max="8512" width="9.7109375" style="1" customWidth="1"/>
    <col min="8513" max="8514" width="8.85546875" style="1" customWidth="1"/>
    <col min="8515" max="8515" width="9.28515625" style="1" customWidth="1"/>
    <col min="8516" max="8536" width="8.85546875" style="1" customWidth="1"/>
    <col min="8537" max="8537" width="9.85546875" style="1" customWidth="1"/>
    <col min="8538" max="8538" width="8.85546875" style="1" customWidth="1"/>
    <col min="8539" max="8539" width="10" style="1" customWidth="1"/>
    <col min="8540" max="8556" width="8.85546875" style="1" customWidth="1"/>
    <col min="8557" max="8557" width="9.42578125" style="1" customWidth="1"/>
    <col min="8558" max="8558" width="8.85546875" style="1" customWidth="1"/>
    <col min="8559" max="8559" width="12" style="1" customWidth="1"/>
    <col min="8560" max="8560" width="11.140625" style="1" customWidth="1"/>
    <col min="8561" max="8561" width="28.7109375" style="1" customWidth="1"/>
    <col min="8562" max="8562" width="5.85546875" style="1" customWidth="1"/>
    <col min="8563" max="8712" width="9.140625" style="1"/>
    <col min="8713" max="8713" width="3.42578125" style="1" customWidth="1"/>
    <col min="8714" max="8714" width="27.85546875" style="1" customWidth="1"/>
    <col min="8715" max="8715" width="11.85546875" style="1" customWidth="1"/>
    <col min="8716" max="8716" width="15.140625" style="1" customWidth="1"/>
    <col min="8717" max="8717" width="10.28515625" style="1" customWidth="1"/>
    <col min="8718" max="8719" width="9.7109375" style="1" customWidth="1"/>
    <col min="8720" max="8720" width="10.42578125" style="1" customWidth="1"/>
    <col min="8721" max="8721" width="10.42578125" style="1" bestFit="1" customWidth="1"/>
    <col min="8722" max="8722" width="16.28515625" style="1" customWidth="1"/>
    <col min="8723" max="8723" width="15.140625" style="1" customWidth="1"/>
    <col min="8724" max="8724" width="13.5703125" style="1" customWidth="1"/>
    <col min="8725" max="8725" width="10.5703125" style="1" customWidth="1"/>
    <col min="8726" max="8726" width="10.85546875" style="1" customWidth="1"/>
    <col min="8727" max="8727" width="18" style="1" customWidth="1"/>
    <col min="8728" max="8728" width="20.85546875" style="1" customWidth="1"/>
    <col min="8729" max="8729" width="13.5703125" style="1" customWidth="1"/>
    <col min="8730" max="8730" width="14.140625" style="1" customWidth="1"/>
    <col min="8731" max="8733" width="8.85546875" style="1" customWidth="1"/>
    <col min="8734" max="8734" width="9.28515625" style="1" customWidth="1"/>
    <col min="8735" max="8735" width="14" style="1" customWidth="1"/>
    <col min="8736" max="8737" width="8.85546875" style="1" customWidth="1"/>
    <col min="8738" max="8738" width="10.140625" style="1" customWidth="1"/>
    <col min="8739" max="8740" width="9.5703125" style="1" customWidth="1"/>
    <col min="8741" max="8741" width="9.85546875" style="1" customWidth="1"/>
    <col min="8742" max="8743" width="10.140625" style="1" customWidth="1"/>
    <col min="8744" max="8746" width="9.28515625" style="1" customWidth="1"/>
    <col min="8747" max="8747" width="9.85546875" style="1" customWidth="1"/>
    <col min="8748" max="8749" width="8.5703125" style="1" customWidth="1"/>
    <col min="8750" max="8752" width="8.85546875" style="1" customWidth="1"/>
    <col min="8753" max="8753" width="9.28515625" style="1" customWidth="1"/>
    <col min="8754" max="8755" width="8.85546875" style="1" customWidth="1"/>
    <col min="8756" max="8756" width="10" style="1" customWidth="1"/>
    <col min="8757" max="8758" width="8.85546875" style="1" customWidth="1"/>
    <col min="8759" max="8759" width="11" style="1" customWidth="1"/>
    <col min="8760" max="8761" width="9.5703125" style="1" customWidth="1"/>
    <col min="8762" max="8764" width="8.85546875" style="1" customWidth="1"/>
    <col min="8765" max="8765" width="10.42578125" style="1" customWidth="1"/>
    <col min="8766" max="8767" width="8.85546875" style="1" customWidth="1"/>
    <col min="8768" max="8768" width="9.7109375" style="1" customWidth="1"/>
    <col min="8769" max="8770" width="8.85546875" style="1" customWidth="1"/>
    <col min="8771" max="8771" width="9.28515625" style="1" customWidth="1"/>
    <col min="8772" max="8792" width="8.85546875" style="1" customWidth="1"/>
    <col min="8793" max="8793" width="9.85546875" style="1" customWidth="1"/>
    <col min="8794" max="8794" width="8.85546875" style="1" customWidth="1"/>
    <col min="8795" max="8795" width="10" style="1" customWidth="1"/>
    <col min="8796" max="8812" width="8.85546875" style="1" customWidth="1"/>
    <col min="8813" max="8813" width="9.42578125" style="1" customWidth="1"/>
    <col min="8814" max="8814" width="8.85546875" style="1" customWidth="1"/>
    <col min="8815" max="8815" width="12" style="1" customWidth="1"/>
    <col min="8816" max="8816" width="11.140625" style="1" customWidth="1"/>
    <col min="8817" max="8817" width="28.7109375" style="1" customWidth="1"/>
    <col min="8818" max="8818" width="5.85546875" style="1" customWidth="1"/>
    <col min="8819" max="8968" width="9.140625" style="1"/>
    <col min="8969" max="8969" width="3.42578125" style="1" customWidth="1"/>
    <col min="8970" max="8970" width="27.85546875" style="1" customWidth="1"/>
    <col min="8971" max="8971" width="11.85546875" style="1" customWidth="1"/>
    <col min="8972" max="8972" width="15.140625" style="1" customWidth="1"/>
    <col min="8973" max="8973" width="10.28515625" style="1" customWidth="1"/>
    <col min="8974" max="8975" width="9.7109375" style="1" customWidth="1"/>
    <col min="8976" max="8976" width="10.42578125" style="1" customWidth="1"/>
    <col min="8977" max="8977" width="10.42578125" style="1" bestFit="1" customWidth="1"/>
    <col min="8978" max="8978" width="16.28515625" style="1" customWidth="1"/>
    <col min="8979" max="8979" width="15.140625" style="1" customWidth="1"/>
    <col min="8980" max="8980" width="13.5703125" style="1" customWidth="1"/>
    <col min="8981" max="8981" width="10.5703125" style="1" customWidth="1"/>
    <col min="8982" max="8982" width="10.85546875" style="1" customWidth="1"/>
    <col min="8983" max="8983" width="18" style="1" customWidth="1"/>
    <col min="8984" max="8984" width="20.85546875" style="1" customWidth="1"/>
    <col min="8985" max="8985" width="13.5703125" style="1" customWidth="1"/>
    <col min="8986" max="8986" width="14.140625" style="1" customWidth="1"/>
    <col min="8987" max="8989" width="8.85546875" style="1" customWidth="1"/>
    <col min="8990" max="8990" width="9.28515625" style="1" customWidth="1"/>
    <col min="8991" max="8991" width="14" style="1" customWidth="1"/>
    <col min="8992" max="8993" width="8.85546875" style="1" customWidth="1"/>
    <col min="8994" max="8994" width="10.140625" style="1" customWidth="1"/>
    <col min="8995" max="8996" width="9.5703125" style="1" customWidth="1"/>
    <col min="8997" max="8997" width="9.85546875" style="1" customWidth="1"/>
    <col min="8998" max="8999" width="10.140625" style="1" customWidth="1"/>
    <col min="9000" max="9002" width="9.28515625" style="1" customWidth="1"/>
    <col min="9003" max="9003" width="9.85546875" style="1" customWidth="1"/>
    <col min="9004" max="9005" width="8.5703125" style="1" customWidth="1"/>
    <col min="9006" max="9008" width="8.85546875" style="1" customWidth="1"/>
    <col min="9009" max="9009" width="9.28515625" style="1" customWidth="1"/>
    <col min="9010" max="9011" width="8.85546875" style="1" customWidth="1"/>
    <col min="9012" max="9012" width="10" style="1" customWidth="1"/>
    <col min="9013" max="9014" width="8.85546875" style="1" customWidth="1"/>
    <col min="9015" max="9015" width="11" style="1" customWidth="1"/>
    <col min="9016" max="9017" width="9.5703125" style="1" customWidth="1"/>
    <col min="9018" max="9020" width="8.85546875" style="1" customWidth="1"/>
    <col min="9021" max="9021" width="10.42578125" style="1" customWidth="1"/>
    <col min="9022" max="9023" width="8.85546875" style="1" customWidth="1"/>
    <col min="9024" max="9024" width="9.7109375" style="1" customWidth="1"/>
    <col min="9025" max="9026" width="8.85546875" style="1" customWidth="1"/>
    <col min="9027" max="9027" width="9.28515625" style="1" customWidth="1"/>
    <col min="9028" max="9048" width="8.85546875" style="1" customWidth="1"/>
    <col min="9049" max="9049" width="9.85546875" style="1" customWidth="1"/>
    <col min="9050" max="9050" width="8.85546875" style="1" customWidth="1"/>
    <col min="9051" max="9051" width="10" style="1" customWidth="1"/>
    <col min="9052" max="9068" width="8.85546875" style="1" customWidth="1"/>
    <col min="9069" max="9069" width="9.42578125" style="1" customWidth="1"/>
    <col min="9070" max="9070" width="8.85546875" style="1" customWidth="1"/>
    <col min="9071" max="9071" width="12" style="1" customWidth="1"/>
    <col min="9072" max="9072" width="11.140625" style="1" customWidth="1"/>
    <col min="9073" max="9073" width="28.7109375" style="1" customWidth="1"/>
    <col min="9074" max="9074" width="5.85546875" style="1" customWidth="1"/>
    <col min="9075" max="9224" width="9.140625" style="1"/>
    <col min="9225" max="9225" width="3.42578125" style="1" customWidth="1"/>
    <col min="9226" max="9226" width="27.85546875" style="1" customWidth="1"/>
    <col min="9227" max="9227" width="11.85546875" style="1" customWidth="1"/>
    <col min="9228" max="9228" width="15.140625" style="1" customWidth="1"/>
    <col min="9229" max="9229" width="10.28515625" style="1" customWidth="1"/>
    <col min="9230" max="9231" width="9.7109375" style="1" customWidth="1"/>
    <col min="9232" max="9232" width="10.42578125" style="1" customWidth="1"/>
    <col min="9233" max="9233" width="10.42578125" style="1" bestFit="1" customWidth="1"/>
    <col min="9234" max="9234" width="16.28515625" style="1" customWidth="1"/>
    <col min="9235" max="9235" width="15.140625" style="1" customWidth="1"/>
    <col min="9236" max="9236" width="13.5703125" style="1" customWidth="1"/>
    <col min="9237" max="9237" width="10.5703125" style="1" customWidth="1"/>
    <col min="9238" max="9238" width="10.85546875" style="1" customWidth="1"/>
    <col min="9239" max="9239" width="18" style="1" customWidth="1"/>
    <col min="9240" max="9240" width="20.85546875" style="1" customWidth="1"/>
    <col min="9241" max="9241" width="13.5703125" style="1" customWidth="1"/>
    <col min="9242" max="9242" width="14.140625" style="1" customWidth="1"/>
    <col min="9243" max="9245" width="8.85546875" style="1" customWidth="1"/>
    <col min="9246" max="9246" width="9.28515625" style="1" customWidth="1"/>
    <col min="9247" max="9247" width="14" style="1" customWidth="1"/>
    <col min="9248" max="9249" width="8.85546875" style="1" customWidth="1"/>
    <col min="9250" max="9250" width="10.140625" style="1" customWidth="1"/>
    <col min="9251" max="9252" width="9.5703125" style="1" customWidth="1"/>
    <col min="9253" max="9253" width="9.85546875" style="1" customWidth="1"/>
    <col min="9254" max="9255" width="10.140625" style="1" customWidth="1"/>
    <col min="9256" max="9258" width="9.28515625" style="1" customWidth="1"/>
    <col min="9259" max="9259" width="9.85546875" style="1" customWidth="1"/>
    <col min="9260" max="9261" width="8.5703125" style="1" customWidth="1"/>
    <col min="9262" max="9264" width="8.85546875" style="1" customWidth="1"/>
    <col min="9265" max="9265" width="9.28515625" style="1" customWidth="1"/>
    <col min="9266" max="9267" width="8.85546875" style="1" customWidth="1"/>
    <col min="9268" max="9268" width="10" style="1" customWidth="1"/>
    <col min="9269" max="9270" width="8.85546875" style="1" customWidth="1"/>
    <col min="9271" max="9271" width="11" style="1" customWidth="1"/>
    <col min="9272" max="9273" width="9.5703125" style="1" customWidth="1"/>
    <col min="9274" max="9276" width="8.85546875" style="1" customWidth="1"/>
    <col min="9277" max="9277" width="10.42578125" style="1" customWidth="1"/>
    <col min="9278" max="9279" width="8.85546875" style="1" customWidth="1"/>
    <col min="9280" max="9280" width="9.7109375" style="1" customWidth="1"/>
    <col min="9281" max="9282" width="8.85546875" style="1" customWidth="1"/>
    <col min="9283" max="9283" width="9.28515625" style="1" customWidth="1"/>
    <col min="9284" max="9304" width="8.85546875" style="1" customWidth="1"/>
    <col min="9305" max="9305" width="9.85546875" style="1" customWidth="1"/>
    <col min="9306" max="9306" width="8.85546875" style="1" customWidth="1"/>
    <col min="9307" max="9307" width="10" style="1" customWidth="1"/>
    <col min="9308" max="9324" width="8.85546875" style="1" customWidth="1"/>
    <col min="9325" max="9325" width="9.42578125" style="1" customWidth="1"/>
    <col min="9326" max="9326" width="8.85546875" style="1" customWidth="1"/>
    <col min="9327" max="9327" width="12" style="1" customWidth="1"/>
    <col min="9328" max="9328" width="11.140625" style="1" customWidth="1"/>
    <col min="9329" max="9329" width="28.7109375" style="1" customWidth="1"/>
    <col min="9330" max="9330" width="5.85546875" style="1" customWidth="1"/>
    <col min="9331" max="9480" width="9.140625" style="1"/>
    <col min="9481" max="9481" width="3.42578125" style="1" customWidth="1"/>
    <col min="9482" max="9482" width="27.85546875" style="1" customWidth="1"/>
    <col min="9483" max="9483" width="11.85546875" style="1" customWidth="1"/>
    <col min="9484" max="9484" width="15.140625" style="1" customWidth="1"/>
    <col min="9485" max="9485" width="10.28515625" style="1" customWidth="1"/>
    <col min="9486" max="9487" width="9.7109375" style="1" customWidth="1"/>
    <col min="9488" max="9488" width="10.42578125" style="1" customWidth="1"/>
    <col min="9489" max="9489" width="10.42578125" style="1" bestFit="1" customWidth="1"/>
    <col min="9490" max="9490" width="16.28515625" style="1" customWidth="1"/>
    <col min="9491" max="9491" width="15.140625" style="1" customWidth="1"/>
    <col min="9492" max="9492" width="13.5703125" style="1" customWidth="1"/>
    <col min="9493" max="9493" width="10.5703125" style="1" customWidth="1"/>
    <col min="9494" max="9494" width="10.85546875" style="1" customWidth="1"/>
    <col min="9495" max="9495" width="18" style="1" customWidth="1"/>
    <col min="9496" max="9496" width="20.85546875" style="1" customWidth="1"/>
    <col min="9497" max="9497" width="13.5703125" style="1" customWidth="1"/>
    <col min="9498" max="9498" width="14.140625" style="1" customWidth="1"/>
    <col min="9499" max="9501" width="8.85546875" style="1" customWidth="1"/>
    <col min="9502" max="9502" width="9.28515625" style="1" customWidth="1"/>
    <col min="9503" max="9503" width="14" style="1" customWidth="1"/>
    <col min="9504" max="9505" width="8.85546875" style="1" customWidth="1"/>
    <col min="9506" max="9506" width="10.140625" style="1" customWidth="1"/>
    <col min="9507" max="9508" width="9.5703125" style="1" customWidth="1"/>
    <col min="9509" max="9509" width="9.85546875" style="1" customWidth="1"/>
    <col min="9510" max="9511" width="10.140625" style="1" customWidth="1"/>
    <col min="9512" max="9514" width="9.28515625" style="1" customWidth="1"/>
    <col min="9515" max="9515" width="9.85546875" style="1" customWidth="1"/>
    <col min="9516" max="9517" width="8.5703125" style="1" customWidth="1"/>
    <col min="9518" max="9520" width="8.85546875" style="1" customWidth="1"/>
    <col min="9521" max="9521" width="9.28515625" style="1" customWidth="1"/>
    <col min="9522" max="9523" width="8.85546875" style="1" customWidth="1"/>
    <col min="9524" max="9524" width="10" style="1" customWidth="1"/>
    <col min="9525" max="9526" width="8.85546875" style="1" customWidth="1"/>
    <col min="9527" max="9527" width="11" style="1" customWidth="1"/>
    <col min="9528" max="9529" width="9.5703125" style="1" customWidth="1"/>
    <col min="9530" max="9532" width="8.85546875" style="1" customWidth="1"/>
    <col min="9533" max="9533" width="10.42578125" style="1" customWidth="1"/>
    <col min="9534" max="9535" width="8.85546875" style="1" customWidth="1"/>
    <col min="9536" max="9536" width="9.7109375" style="1" customWidth="1"/>
    <col min="9537" max="9538" width="8.85546875" style="1" customWidth="1"/>
    <col min="9539" max="9539" width="9.28515625" style="1" customWidth="1"/>
    <col min="9540" max="9560" width="8.85546875" style="1" customWidth="1"/>
    <col min="9561" max="9561" width="9.85546875" style="1" customWidth="1"/>
    <col min="9562" max="9562" width="8.85546875" style="1" customWidth="1"/>
    <col min="9563" max="9563" width="10" style="1" customWidth="1"/>
    <col min="9564" max="9580" width="8.85546875" style="1" customWidth="1"/>
    <col min="9581" max="9581" width="9.42578125" style="1" customWidth="1"/>
    <col min="9582" max="9582" width="8.85546875" style="1" customWidth="1"/>
    <col min="9583" max="9583" width="12" style="1" customWidth="1"/>
    <col min="9584" max="9584" width="11.140625" style="1" customWidth="1"/>
    <col min="9585" max="9585" width="28.7109375" style="1" customWidth="1"/>
    <col min="9586" max="9586" width="5.85546875" style="1" customWidth="1"/>
    <col min="9587" max="9736" width="9.140625" style="1"/>
    <col min="9737" max="9737" width="3.42578125" style="1" customWidth="1"/>
    <col min="9738" max="9738" width="27.85546875" style="1" customWidth="1"/>
    <col min="9739" max="9739" width="11.85546875" style="1" customWidth="1"/>
    <col min="9740" max="9740" width="15.140625" style="1" customWidth="1"/>
    <col min="9741" max="9741" width="10.28515625" style="1" customWidth="1"/>
    <col min="9742" max="9743" width="9.7109375" style="1" customWidth="1"/>
    <col min="9744" max="9744" width="10.42578125" style="1" customWidth="1"/>
    <col min="9745" max="9745" width="10.42578125" style="1" bestFit="1" customWidth="1"/>
    <col min="9746" max="9746" width="16.28515625" style="1" customWidth="1"/>
    <col min="9747" max="9747" width="15.140625" style="1" customWidth="1"/>
    <col min="9748" max="9748" width="13.5703125" style="1" customWidth="1"/>
    <col min="9749" max="9749" width="10.5703125" style="1" customWidth="1"/>
    <col min="9750" max="9750" width="10.85546875" style="1" customWidth="1"/>
    <col min="9751" max="9751" width="18" style="1" customWidth="1"/>
    <col min="9752" max="9752" width="20.85546875" style="1" customWidth="1"/>
    <col min="9753" max="9753" width="13.5703125" style="1" customWidth="1"/>
    <col min="9754" max="9754" width="14.140625" style="1" customWidth="1"/>
    <col min="9755" max="9757" width="8.85546875" style="1" customWidth="1"/>
    <col min="9758" max="9758" width="9.28515625" style="1" customWidth="1"/>
    <col min="9759" max="9759" width="14" style="1" customWidth="1"/>
    <col min="9760" max="9761" width="8.85546875" style="1" customWidth="1"/>
    <col min="9762" max="9762" width="10.140625" style="1" customWidth="1"/>
    <col min="9763" max="9764" width="9.5703125" style="1" customWidth="1"/>
    <col min="9765" max="9765" width="9.85546875" style="1" customWidth="1"/>
    <col min="9766" max="9767" width="10.140625" style="1" customWidth="1"/>
    <col min="9768" max="9770" width="9.28515625" style="1" customWidth="1"/>
    <col min="9771" max="9771" width="9.85546875" style="1" customWidth="1"/>
    <col min="9772" max="9773" width="8.5703125" style="1" customWidth="1"/>
    <col min="9774" max="9776" width="8.85546875" style="1" customWidth="1"/>
    <col min="9777" max="9777" width="9.28515625" style="1" customWidth="1"/>
    <col min="9778" max="9779" width="8.85546875" style="1" customWidth="1"/>
    <col min="9780" max="9780" width="10" style="1" customWidth="1"/>
    <col min="9781" max="9782" width="8.85546875" style="1" customWidth="1"/>
    <col min="9783" max="9783" width="11" style="1" customWidth="1"/>
    <col min="9784" max="9785" width="9.5703125" style="1" customWidth="1"/>
    <col min="9786" max="9788" width="8.85546875" style="1" customWidth="1"/>
    <col min="9789" max="9789" width="10.42578125" style="1" customWidth="1"/>
    <col min="9790" max="9791" width="8.85546875" style="1" customWidth="1"/>
    <col min="9792" max="9792" width="9.7109375" style="1" customWidth="1"/>
    <col min="9793" max="9794" width="8.85546875" style="1" customWidth="1"/>
    <col min="9795" max="9795" width="9.28515625" style="1" customWidth="1"/>
    <col min="9796" max="9816" width="8.85546875" style="1" customWidth="1"/>
    <col min="9817" max="9817" width="9.85546875" style="1" customWidth="1"/>
    <col min="9818" max="9818" width="8.85546875" style="1" customWidth="1"/>
    <col min="9819" max="9819" width="10" style="1" customWidth="1"/>
    <col min="9820" max="9836" width="8.85546875" style="1" customWidth="1"/>
    <col min="9837" max="9837" width="9.42578125" style="1" customWidth="1"/>
    <col min="9838" max="9838" width="8.85546875" style="1" customWidth="1"/>
    <col min="9839" max="9839" width="12" style="1" customWidth="1"/>
    <col min="9840" max="9840" width="11.140625" style="1" customWidth="1"/>
    <col min="9841" max="9841" width="28.7109375" style="1" customWidth="1"/>
    <col min="9842" max="9842" width="5.85546875" style="1" customWidth="1"/>
    <col min="9843" max="9992" width="9.140625" style="1"/>
    <col min="9993" max="9993" width="3.42578125" style="1" customWidth="1"/>
    <col min="9994" max="9994" width="27.85546875" style="1" customWidth="1"/>
    <col min="9995" max="9995" width="11.85546875" style="1" customWidth="1"/>
    <col min="9996" max="9996" width="15.140625" style="1" customWidth="1"/>
    <col min="9997" max="9997" width="10.28515625" style="1" customWidth="1"/>
    <col min="9998" max="9999" width="9.7109375" style="1" customWidth="1"/>
    <col min="10000" max="10000" width="10.42578125" style="1" customWidth="1"/>
    <col min="10001" max="10001" width="10.42578125" style="1" bestFit="1" customWidth="1"/>
    <col min="10002" max="10002" width="16.28515625" style="1" customWidth="1"/>
    <col min="10003" max="10003" width="15.140625" style="1" customWidth="1"/>
    <col min="10004" max="10004" width="13.5703125" style="1" customWidth="1"/>
    <col min="10005" max="10005" width="10.5703125" style="1" customWidth="1"/>
    <col min="10006" max="10006" width="10.85546875" style="1" customWidth="1"/>
    <col min="10007" max="10007" width="18" style="1" customWidth="1"/>
    <col min="10008" max="10008" width="20.85546875" style="1" customWidth="1"/>
    <col min="10009" max="10009" width="13.5703125" style="1" customWidth="1"/>
    <col min="10010" max="10010" width="14.140625" style="1" customWidth="1"/>
    <col min="10011" max="10013" width="8.85546875" style="1" customWidth="1"/>
    <col min="10014" max="10014" width="9.28515625" style="1" customWidth="1"/>
    <col min="10015" max="10015" width="14" style="1" customWidth="1"/>
    <col min="10016" max="10017" width="8.85546875" style="1" customWidth="1"/>
    <col min="10018" max="10018" width="10.140625" style="1" customWidth="1"/>
    <col min="10019" max="10020" width="9.5703125" style="1" customWidth="1"/>
    <col min="10021" max="10021" width="9.85546875" style="1" customWidth="1"/>
    <col min="10022" max="10023" width="10.140625" style="1" customWidth="1"/>
    <col min="10024" max="10026" width="9.28515625" style="1" customWidth="1"/>
    <col min="10027" max="10027" width="9.85546875" style="1" customWidth="1"/>
    <col min="10028" max="10029" width="8.5703125" style="1" customWidth="1"/>
    <col min="10030" max="10032" width="8.85546875" style="1" customWidth="1"/>
    <col min="10033" max="10033" width="9.28515625" style="1" customWidth="1"/>
    <col min="10034" max="10035" width="8.85546875" style="1" customWidth="1"/>
    <col min="10036" max="10036" width="10" style="1" customWidth="1"/>
    <col min="10037" max="10038" width="8.85546875" style="1" customWidth="1"/>
    <col min="10039" max="10039" width="11" style="1" customWidth="1"/>
    <col min="10040" max="10041" width="9.5703125" style="1" customWidth="1"/>
    <col min="10042" max="10044" width="8.85546875" style="1" customWidth="1"/>
    <col min="10045" max="10045" width="10.42578125" style="1" customWidth="1"/>
    <col min="10046" max="10047" width="8.85546875" style="1" customWidth="1"/>
    <col min="10048" max="10048" width="9.7109375" style="1" customWidth="1"/>
    <col min="10049" max="10050" width="8.85546875" style="1" customWidth="1"/>
    <col min="10051" max="10051" width="9.28515625" style="1" customWidth="1"/>
    <col min="10052" max="10072" width="8.85546875" style="1" customWidth="1"/>
    <col min="10073" max="10073" width="9.85546875" style="1" customWidth="1"/>
    <col min="10074" max="10074" width="8.85546875" style="1" customWidth="1"/>
    <col min="10075" max="10075" width="10" style="1" customWidth="1"/>
    <col min="10076" max="10092" width="8.85546875" style="1" customWidth="1"/>
    <col min="10093" max="10093" width="9.42578125" style="1" customWidth="1"/>
    <col min="10094" max="10094" width="8.85546875" style="1" customWidth="1"/>
    <col min="10095" max="10095" width="12" style="1" customWidth="1"/>
    <col min="10096" max="10096" width="11.140625" style="1" customWidth="1"/>
    <col min="10097" max="10097" width="28.7109375" style="1" customWidth="1"/>
    <col min="10098" max="10098" width="5.85546875" style="1" customWidth="1"/>
    <col min="10099" max="10248" width="9.140625" style="1"/>
    <col min="10249" max="10249" width="3.42578125" style="1" customWidth="1"/>
    <col min="10250" max="10250" width="27.85546875" style="1" customWidth="1"/>
    <col min="10251" max="10251" width="11.85546875" style="1" customWidth="1"/>
    <col min="10252" max="10252" width="15.140625" style="1" customWidth="1"/>
    <col min="10253" max="10253" width="10.28515625" style="1" customWidth="1"/>
    <col min="10254" max="10255" width="9.7109375" style="1" customWidth="1"/>
    <col min="10256" max="10256" width="10.42578125" style="1" customWidth="1"/>
    <col min="10257" max="10257" width="10.42578125" style="1" bestFit="1" customWidth="1"/>
    <col min="10258" max="10258" width="16.28515625" style="1" customWidth="1"/>
    <col min="10259" max="10259" width="15.140625" style="1" customWidth="1"/>
    <col min="10260" max="10260" width="13.5703125" style="1" customWidth="1"/>
    <col min="10261" max="10261" width="10.5703125" style="1" customWidth="1"/>
    <col min="10262" max="10262" width="10.85546875" style="1" customWidth="1"/>
    <col min="10263" max="10263" width="18" style="1" customWidth="1"/>
    <col min="10264" max="10264" width="20.85546875" style="1" customWidth="1"/>
    <col min="10265" max="10265" width="13.5703125" style="1" customWidth="1"/>
    <col min="10266" max="10266" width="14.140625" style="1" customWidth="1"/>
    <col min="10267" max="10269" width="8.85546875" style="1" customWidth="1"/>
    <col min="10270" max="10270" width="9.28515625" style="1" customWidth="1"/>
    <col min="10271" max="10271" width="14" style="1" customWidth="1"/>
    <col min="10272" max="10273" width="8.85546875" style="1" customWidth="1"/>
    <col min="10274" max="10274" width="10.140625" style="1" customWidth="1"/>
    <col min="10275" max="10276" width="9.5703125" style="1" customWidth="1"/>
    <col min="10277" max="10277" width="9.85546875" style="1" customWidth="1"/>
    <col min="10278" max="10279" width="10.140625" style="1" customWidth="1"/>
    <col min="10280" max="10282" width="9.28515625" style="1" customWidth="1"/>
    <col min="10283" max="10283" width="9.85546875" style="1" customWidth="1"/>
    <col min="10284" max="10285" width="8.5703125" style="1" customWidth="1"/>
    <col min="10286" max="10288" width="8.85546875" style="1" customWidth="1"/>
    <col min="10289" max="10289" width="9.28515625" style="1" customWidth="1"/>
    <col min="10290" max="10291" width="8.85546875" style="1" customWidth="1"/>
    <col min="10292" max="10292" width="10" style="1" customWidth="1"/>
    <col min="10293" max="10294" width="8.85546875" style="1" customWidth="1"/>
    <col min="10295" max="10295" width="11" style="1" customWidth="1"/>
    <col min="10296" max="10297" width="9.5703125" style="1" customWidth="1"/>
    <col min="10298" max="10300" width="8.85546875" style="1" customWidth="1"/>
    <col min="10301" max="10301" width="10.42578125" style="1" customWidth="1"/>
    <col min="10302" max="10303" width="8.85546875" style="1" customWidth="1"/>
    <col min="10304" max="10304" width="9.7109375" style="1" customWidth="1"/>
    <col min="10305" max="10306" width="8.85546875" style="1" customWidth="1"/>
    <col min="10307" max="10307" width="9.28515625" style="1" customWidth="1"/>
    <col min="10308" max="10328" width="8.85546875" style="1" customWidth="1"/>
    <col min="10329" max="10329" width="9.85546875" style="1" customWidth="1"/>
    <col min="10330" max="10330" width="8.85546875" style="1" customWidth="1"/>
    <col min="10331" max="10331" width="10" style="1" customWidth="1"/>
    <col min="10332" max="10348" width="8.85546875" style="1" customWidth="1"/>
    <col min="10349" max="10349" width="9.42578125" style="1" customWidth="1"/>
    <col min="10350" max="10350" width="8.85546875" style="1" customWidth="1"/>
    <col min="10351" max="10351" width="12" style="1" customWidth="1"/>
    <col min="10352" max="10352" width="11.140625" style="1" customWidth="1"/>
    <col min="10353" max="10353" width="28.7109375" style="1" customWidth="1"/>
    <col min="10354" max="10354" width="5.85546875" style="1" customWidth="1"/>
    <col min="10355" max="10504" width="9.140625" style="1"/>
    <col min="10505" max="10505" width="3.42578125" style="1" customWidth="1"/>
    <col min="10506" max="10506" width="27.85546875" style="1" customWidth="1"/>
    <col min="10507" max="10507" width="11.85546875" style="1" customWidth="1"/>
    <col min="10508" max="10508" width="15.140625" style="1" customWidth="1"/>
    <col min="10509" max="10509" width="10.28515625" style="1" customWidth="1"/>
    <col min="10510" max="10511" width="9.7109375" style="1" customWidth="1"/>
    <col min="10512" max="10512" width="10.42578125" style="1" customWidth="1"/>
    <col min="10513" max="10513" width="10.42578125" style="1" bestFit="1" customWidth="1"/>
    <col min="10514" max="10514" width="16.28515625" style="1" customWidth="1"/>
    <col min="10515" max="10515" width="15.140625" style="1" customWidth="1"/>
    <col min="10516" max="10516" width="13.5703125" style="1" customWidth="1"/>
    <col min="10517" max="10517" width="10.5703125" style="1" customWidth="1"/>
    <col min="10518" max="10518" width="10.85546875" style="1" customWidth="1"/>
    <col min="10519" max="10519" width="18" style="1" customWidth="1"/>
    <col min="10520" max="10520" width="20.85546875" style="1" customWidth="1"/>
    <col min="10521" max="10521" width="13.5703125" style="1" customWidth="1"/>
    <col min="10522" max="10522" width="14.140625" style="1" customWidth="1"/>
    <col min="10523" max="10525" width="8.85546875" style="1" customWidth="1"/>
    <col min="10526" max="10526" width="9.28515625" style="1" customWidth="1"/>
    <col min="10527" max="10527" width="14" style="1" customWidth="1"/>
    <col min="10528" max="10529" width="8.85546875" style="1" customWidth="1"/>
    <col min="10530" max="10530" width="10.140625" style="1" customWidth="1"/>
    <col min="10531" max="10532" width="9.5703125" style="1" customWidth="1"/>
    <col min="10533" max="10533" width="9.85546875" style="1" customWidth="1"/>
    <col min="10534" max="10535" width="10.140625" style="1" customWidth="1"/>
    <col min="10536" max="10538" width="9.28515625" style="1" customWidth="1"/>
    <col min="10539" max="10539" width="9.85546875" style="1" customWidth="1"/>
    <col min="10540" max="10541" width="8.5703125" style="1" customWidth="1"/>
    <col min="10542" max="10544" width="8.85546875" style="1" customWidth="1"/>
    <col min="10545" max="10545" width="9.28515625" style="1" customWidth="1"/>
    <col min="10546" max="10547" width="8.85546875" style="1" customWidth="1"/>
    <col min="10548" max="10548" width="10" style="1" customWidth="1"/>
    <col min="10549" max="10550" width="8.85546875" style="1" customWidth="1"/>
    <col min="10551" max="10551" width="11" style="1" customWidth="1"/>
    <col min="10552" max="10553" width="9.5703125" style="1" customWidth="1"/>
    <col min="10554" max="10556" width="8.85546875" style="1" customWidth="1"/>
    <col min="10557" max="10557" width="10.42578125" style="1" customWidth="1"/>
    <col min="10558" max="10559" width="8.85546875" style="1" customWidth="1"/>
    <col min="10560" max="10560" width="9.7109375" style="1" customWidth="1"/>
    <col min="10561" max="10562" width="8.85546875" style="1" customWidth="1"/>
    <col min="10563" max="10563" width="9.28515625" style="1" customWidth="1"/>
    <col min="10564" max="10584" width="8.85546875" style="1" customWidth="1"/>
    <col min="10585" max="10585" width="9.85546875" style="1" customWidth="1"/>
    <col min="10586" max="10586" width="8.85546875" style="1" customWidth="1"/>
    <col min="10587" max="10587" width="10" style="1" customWidth="1"/>
    <col min="10588" max="10604" width="8.85546875" style="1" customWidth="1"/>
    <col min="10605" max="10605" width="9.42578125" style="1" customWidth="1"/>
    <col min="10606" max="10606" width="8.85546875" style="1" customWidth="1"/>
    <col min="10607" max="10607" width="12" style="1" customWidth="1"/>
    <col min="10608" max="10608" width="11.140625" style="1" customWidth="1"/>
    <col min="10609" max="10609" width="28.7109375" style="1" customWidth="1"/>
    <col min="10610" max="10610" width="5.85546875" style="1" customWidth="1"/>
    <col min="10611" max="10760" width="9.140625" style="1"/>
    <col min="10761" max="10761" width="3.42578125" style="1" customWidth="1"/>
    <col min="10762" max="10762" width="27.85546875" style="1" customWidth="1"/>
    <col min="10763" max="10763" width="11.85546875" style="1" customWidth="1"/>
    <col min="10764" max="10764" width="15.140625" style="1" customWidth="1"/>
    <col min="10765" max="10765" width="10.28515625" style="1" customWidth="1"/>
    <col min="10766" max="10767" width="9.7109375" style="1" customWidth="1"/>
    <col min="10768" max="10768" width="10.42578125" style="1" customWidth="1"/>
    <col min="10769" max="10769" width="10.42578125" style="1" bestFit="1" customWidth="1"/>
    <col min="10770" max="10770" width="16.28515625" style="1" customWidth="1"/>
    <col min="10771" max="10771" width="15.140625" style="1" customWidth="1"/>
    <col min="10772" max="10772" width="13.5703125" style="1" customWidth="1"/>
    <col min="10773" max="10773" width="10.5703125" style="1" customWidth="1"/>
    <col min="10774" max="10774" width="10.85546875" style="1" customWidth="1"/>
    <col min="10775" max="10775" width="18" style="1" customWidth="1"/>
    <col min="10776" max="10776" width="20.85546875" style="1" customWidth="1"/>
    <col min="10777" max="10777" width="13.5703125" style="1" customWidth="1"/>
    <col min="10778" max="10778" width="14.140625" style="1" customWidth="1"/>
    <col min="10779" max="10781" width="8.85546875" style="1" customWidth="1"/>
    <col min="10782" max="10782" width="9.28515625" style="1" customWidth="1"/>
    <col min="10783" max="10783" width="14" style="1" customWidth="1"/>
    <col min="10784" max="10785" width="8.85546875" style="1" customWidth="1"/>
    <col min="10786" max="10786" width="10.140625" style="1" customWidth="1"/>
    <col min="10787" max="10788" width="9.5703125" style="1" customWidth="1"/>
    <col min="10789" max="10789" width="9.85546875" style="1" customWidth="1"/>
    <col min="10790" max="10791" width="10.140625" style="1" customWidth="1"/>
    <col min="10792" max="10794" width="9.28515625" style="1" customWidth="1"/>
    <col min="10795" max="10795" width="9.85546875" style="1" customWidth="1"/>
    <col min="10796" max="10797" width="8.5703125" style="1" customWidth="1"/>
    <col min="10798" max="10800" width="8.85546875" style="1" customWidth="1"/>
    <col min="10801" max="10801" width="9.28515625" style="1" customWidth="1"/>
    <col min="10802" max="10803" width="8.85546875" style="1" customWidth="1"/>
    <col min="10804" max="10804" width="10" style="1" customWidth="1"/>
    <col min="10805" max="10806" width="8.85546875" style="1" customWidth="1"/>
    <col min="10807" max="10807" width="11" style="1" customWidth="1"/>
    <col min="10808" max="10809" width="9.5703125" style="1" customWidth="1"/>
    <col min="10810" max="10812" width="8.85546875" style="1" customWidth="1"/>
    <col min="10813" max="10813" width="10.42578125" style="1" customWidth="1"/>
    <col min="10814" max="10815" width="8.85546875" style="1" customWidth="1"/>
    <col min="10816" max="10816" width="9.7109375" style="1" customWidth="1"/>
    <col min="10817" max="10818" width="8.85546875" style="1" customWidth="1"/>
    <col min="10819" max="10819" width="9.28515625" style="1" customWidth="1"/>
    <col min="10820" max="10840" width="8.85546875" style="1" customWidth="1"/>
    <col min="10841" max="10841" width="9.85546875" style="1" customWidth="1"/>
    <col min="10842" max="10842" width="8.85546875" style="1" customWidth="1"/>
    <col min="10843" max="10843" width="10" style="1" customWidth="1"/>
    <col min="10844" max="10860" width="8.85546875" style="1" customWidth="1"/>
    <col min="10861" max="10861" width="9.42578125" style="1" customWidth="1"/>
    <col min="10862" max="10862" width="8.85546875" style="1" customWidth="1"/>
    <col min="10863" max="10863" width="12" style="1" customWidth="1"/>
    <col min="10864" max="10864" width="11.140625" style="1" customWidth="1"/>
    <col min="10865" max="10865" width="28.7109375" style="1" customWidth="1"/>
    <col min="10866" max="10866" width="5.85546875" style="1" customWidth="1"/>
    <col min="10867" max="11016" width="9.140625" style="1"/>
    <col min="11017" max="11017" width="3.42578125" style="1" customWidth="1"/>
    <col min="11018" max="11018" width="27.85546875" style="1" customWidth="1"/>
    <col min="11019" max="11019" width="11.85546875" style="1" customWidth="1"/>
    <col min="11020" max="11020" width="15.140625" style="1" customWidth="1"/>
    <col min="11021" max="11021" width="10.28515625" style="1" customWidth="1"/>
    <col min="11022" max="11023" width="9.7109375" style="1" customWidth="1"/>
    <col min="11024" max="11024" width="10.42578125" style="1" customWidth="1"/>
    <col min="11025" max="11025" width="10.42578125" style="1" bestFit="1" customWidth="1"/>
    <col min="11026" max="11026" width="16.28515625" style="1" customWidth="1"/>
    <col min="11027" max="11027" width="15.140625" style="1" customWidth="1"/>
    <col min="11028" max="11028" width="13.5703125" style="1" customWidth="1"/>
    <col min="11029" max="11029" width="10.5703125" style="1" customWidth="1"/>
    <col min="11030" max="11030" width="10.85546875" style="1" customWidth="1"/>
    <col min="11031" max="11031" width="18" style="1" customWidth="1"/>
    <col min="11032" max="11032" width="20.85546875" style="1" customWidth="1"/>
    <col min="11033" max="11033" width="13.5703125" style="1" customWidth="1"/>
    <col min="11034" max="11034" width="14.140625" style="1" customWidth="1"/>
    <col min="11035" max="11037" width="8.85546875" style="1" customWidth="1"/>
    <col min="11038" max="11038" width="9.28515625" style="1" customWidth="1"/>
    <col min="11039" max="11039" width="14" style="1" customWidth="1"/>
    <col min="11040" max="11041" width="8.85546875" style="1" customWidth="1"/>
    <col min="11042" max="11042" width="10.140625" style="1" customWidth="1"/>
    <col min="11043" max="11044" width="9.5703125" style="1" customWidth="1"/>
    <col min="11045" max="11045" width="9.85546875" style="1" customWidth="1"/>
    <col min="11046" max="11047" width="10.140625" style="1" customWidth="1"/>
    <col min="11048" max="11050" width="9.28515625" style="1" customWidth="1"/>
    <col min="11051" max="11051" width="9.85546875" style="1" customWidth="1"/>
    <col min="11052" max="11053" width="8.5703125" style="1" customWidth="1"/>
    <col min="11054" max="11056" width="8.85546875" style="1" customWidth="1"/>
    <col min="11057" max="11057" width="9.28515625" style="1" customWidth="1"/>
    <col min="11058" max="11059" width="8.85546875" style="1" customWidth="1"/>
    <col min="11060" max="11060" width="10" style="1" customWidth="1"/>
    <col min="11061" max="11062" width="8.85546875" style="1" customWidth="1"/>
    <col min="11063" max="11063" width="11" style="1" customWidth="1"/>
    <col min="11064" max="11065" width="9.5703125" style="1" customWidth="1"/>
    <col min="11066" max="11068" width="8.85546875" style="1" customWidth="1"/>
    <col min="11069" max="11069" width="10.42578125" style="1" customWidth="1"/>
    <col min="11070" max="11071" width="8.85546875" style="1" customWidth="1"/>
    <col min="11072" max="11072" width="9.7109375" style="1" customWidth="1"/>
    <col min="11073" max="11074" width="8.85546875" style="1" customWidth="1"/>
    <col min="11075" max="11075" width="9.28515625" style="1" customWidth="1"/>
    <col min="11076" max="11096" width="8.85546875" style="1" customWidth="1"/>
    <col min="11097" max="11097" width="9.85546875" style="1" customWidth="1"/>
    <col min="11098" max="11098" width="8.85546875" style="1" customWidth="1"/>
    <col min="11099" max="11099" width="10" style="1" customWidth="1"/>
    <col min="11100" max="11116" width="8.85546875" style="1" customWidth="1"/>
    <col min="11117" max="11117" width="9.42578125" style="1" customWidth="1"/>
    <col min="11118" max="11118" width="8.85546875" style="1" customWidth="1"/>
    <col min="11119" max="11119" width="12" style="1" customWidth="1"/>
    <col min="11120" max="11120" width="11.140625" style="1" customWidth="1"/>
    <col min="11121" max="11121" width="28.7109375" style="1" customWidth="1"/>
    <col min="11122" max="11122" width="5.85546875" style="1" customWidth="1"/>
    <col min="11123" max="11272" width="9.140625" style="1"/>
    <col min="11273" max="11273" width="3.42578125" style="1" customWidth="1"/>
    <col min="11274" max="11274" width="27.85546875" style="1" customWidth="1"/>
    <col min="11275" max="11275" width="11.85546875" style="1" customWidth="1"/>
    <col min="11276" max="11276" width="15.140625" style="1" customWidth="1"/>
    <col min="11277" max="11277" width="10.28515625" style="1" customWidth="1"/>
    <col min="11278" max="11279" width="9.7109375" style="1" customWidth="1"/>
    <col min="11280" max="11280" width="10.42578125" style="1" customWidth="1"/>
    <col min="11281" max="11281" width="10.42578125" style="1" bestFit="1" customWidth="1"/>
    <col min="11282" max="11282" width="16.28515625" style="1" customWidth="1"/>
    <col min="11283" max="11283" width="15.140625" style="1" customWidth="1"/>
    <col min="11284" max="11284" width="13.5703125" style="1" customWidth="1"/>
    <col min="11285" max="11285" width="10.5703125" style="1" customWidth="1"/>
    <col min="11286" max="11286" width="10.85546875" style="1" customWidth="1"/>
    <col min="11287" max="11287" width="18" style="1" customWidth="1"/>
    <col min="11288" max="11288" width="20.85546875" style="1" customWidth="1"/>
    <col min="11289" max="11289" width="13.5703125" style="1" customWidth="1"/>
    <col min="11290" max="11290" width="14.140625" style="1" customWidth="1"/>
    <col min="11291" max="11293" width="8.85546875" style="1" customWidth="1"/>
    <col min="11294" max="11294" width="9.28515625" style="1" customWidth="1"/>
    <col min="11295" max="11295" width="14" style="1" customWidth="1"/>
    <col min="11296" max="11297" width="8.85546875" style="1" customWidth="1"/>
    <col min="11298" max="11298" width="10.140625" style="1" customWidth="1"/>
    <col min="11299" max="11300" width="9.5703125" style="1" customWidth="1"/>
    <col min="11301" max="11301" width="9.85546875" style="1" customWidth="1"/>
    <col min="11302" max="11303" width="10.140625" style="1" customWidth="1"/>
    <col min="11304" max="11306" width="9.28515625" style="1" customWidth="1"/>
    <col min="11307" max="11307" width="9.85546875" style="1" customWidth="1"/>
    <col min="11308" max="11309" width="8.5703125" style="1" customWidth="1"/>
    <col min="11310" max="11312" width="8.85546875" style="1" customWidth="1"/>
    <col min="11313" max="11313" width="9.28515625" style="1" customWidth="1"/>
    <col min="11314" max="11315" width="8.85546875" style="1" customWidth="1"/>
    <col min="11316" max="11316" width="10" style="1" customWidth="1"/>
    <col min="11317" max="11318" width="8.85546875" style="1" customWidth="1"/>
    <col min="11319" max="11319" width="11" style="1" customWidth="1"/>
    <col min="11320" max="11321" width="9.5703125" style="1" customWidth="1"/>
    <col min="11322" max="11324" width="8.85546875" style="1" customWidth="1"/>
    <col min="11325" max="11325" width="10.42578125" style="1" customWidth="1"/>
    <col min="11326" max="11327" width="8.85546875" style="1" customWidth="1"/>
    <col min="11328" max="11328" width="9.7109375" style="1" customWidth="1"/>
    <col min="11329" max="11330" width="8.85546875" style="1" customWidth="1"/>
    <col min="11331" max="11331" width="9.28515625" style="1" customWidth="1"/>
    <col min="11332" max="11352" width="8.85546875" style="1" customWidth="1"/>
    <col min="11353" max="11353" width="9.85546875" style="1" customWidth="1"/>
    <col min="11354" max="11354" width="8.85546875" style="1" customWidth="1"/>
    <col min="11355" max="11355" width="10" style="1" customWidth="1"/>
    <col min="11356" max="11372" width="8.85546875" style="1" customWidth="1"/>
    <col min="11373" max="11373" width="9.42578125" style="1" customWidth="1"/>
    <col min="11374" max="11374" width="8.85546875" style="1" customWidth="1"/>
    <col min="11375" max="11375" width="12" style="1" customWidth="1"/>
    <col min="11376" max="11376" width="11.140625" style="1" customWidth="1"/>
    <col min="11377" max="11377" width="28.7109375" style="1" customWidth="1"/>
    <col min="11378" max="11378" width="5.85546875" style="1" customWidth="1"/>
    <col min="11379" max="11528" width="9.140625" style="1"/>
    <col min="11529" max="11529" width="3.42578125" style="1" customWidth="1"/>
    <col min="11530" max="11530" width="27.85546875" style="1" customWidth="1"/>
    <col min="11531" max="11531" width="11.85546875" style="1" customWidth="1"/>
    <col min="11532" max="11532" width="15.140625" style="1" customWidth="1"/>
    <col min="11533" max="11533" width="10.28515625" style="1" customWidth="1"/>
    <col min="11534" max="11535" width="9.7109375" style="1" customWidth="1"/>
    <col min="11536" max="11536" width="10.42578125" style="1" customWidth="1"/>
    <col min="11537" max="11537" width="10.42578125" style="1" bestFit="1" customWidth="1"/>
    <col min="11538" max="11538" width="16.28515625" style="1" customWidth="1"/>
    <col min="11539" max="11539" width="15.140625" style="1" customWidth="1"/>
    <col min="11540" max="11540" width="13.5703125" style="1" customWidth="1"/>
    <col min="11541" max="11541" width="10.5703125" style="1" customWidth="1"/>
    <col min="11542" max="11542" width="10.85546875" style="1" customWidth="1"/>
    <col min="11543" max="11543" width="18" style="1" customWidth="1"/>
    <col min="11544" max="11544" width="20.85546875" style="1" customWidth="1"/>
    <col min="11545" max="11545" width="13.5703125" style="1" customWidth="1"/>
    <col min="11546" max="11546" width="14.140625" style="1" customWidth="1"/>
    <col min="11547" max="11549" width="8.85546875" style="1" customWidth="1"/>
    <col min="11550" max="11550" width="9.28515625" style="1" customWidth="1"/>
    <col min="11551" max="11551" width="14" style="1" customWidth="1"/>
    <col min="11552" max="11553" width="8.85546875" style="1" customWidth="1"/>
    <col min="11554" max="11554" width="10.140625" style="1" customWidth="1"/>
    <col min="11555" max="11556" width="9.5703125" style="1" customWidth="1"/>
    <col min="11557" max="11557" width="9.85546875" style="1" customWidth="1"/>
    <col min="11558" max="11559" width="10.140625" style="1" customWidth="1"/>
    <col min="11560" max="11562" width="9.28515625" style="1" customWidth="1"/>
    <col min="11563" max="11563" width="9.85546875" style="1" customWidth="1"/>
    <col min="11564" max="11565" width="8.5703125" style="1" customWidth="1"/>
    <col min="11566" max="11568" width="8.85546875" style="1" customWidth="1"/>
    <col min="11569" max="11569" width="9.28515625" style="1" customWidth="1"/>
    <col min="11570" max="11571" width="8.85546875" style="1" customWidth="1"/>
    <col min="11572" max="11572" width="10" style="1" customWidth="1"/>
    <col min="11573" max="11574" width="8.85546875" style="1" customWidth="1"/>
    <col min="11575" max="11575" width="11" style="1" customWidth="1"/>
    <col min="11576" max="11577" width="9.5703125" style="1" customWidth="1"/>
    <col min="11578" max="11580" width="8.85546875" style="1" customWidth="1"/>
    <col min="11581" max="11581" width="10.42578125" style="1" customWidth="1"/>
    <col min="11582" max="11583" width="8.85546875" style="1" customWidth="1"/>
    <col min="11584" max="11584" width="9.7109375" style="1" customWidth="1"/>
    <col min="11585" max="11586" width="8.85546875" style="1" customWidth="1"/>
    <col min="11587" max="11587" width="9.28515625" style="1" customWidth="1"/>
    <col min="11588" max="11608" width="8.85546875" style="1" customWidth="1"/>
    <col min="11609" max="11609" width="9.85546875" style="1" customWidth="1"/>
    <col min="11610" max="11610" width="8.85546875" style="1" customWidth="1"/>
    <col min="11611" max="11611" width="10" style="1" customWidth="1"/>
    <col min="11612" max="11628" width="8.85546875" style="1" customWidth="1"/>
    <col min="11629" max="11629" width="9.42578125" style="1" customWidth="1"/>
    <col min="11630" max="11630" width="8.85546875" style="1" customWidth="1"/>
    <col min="11631" max="11631" width="12" style="1" customWidth="1"/>
    <col min="11632" max="11632" width="11.140625" style="1" customWidth="1"/>
    <col min="11633" max="11633" width="28.7109375" style="1" customWidth="1"/>
    <col min="11634" max="11634" width="5.85546875" style="1" customWidth="1"/>
    <col min="11635" max="11784" width="9.140625" style="1"/>
    <col min="11785" max="11785" width="3.42578125" style="1" customWidth="1"/>
    <col min="11786" max="11786" width="27.85546875" style="1" customWidth="1"/>
    <col min="11787" max="11787" width="11.85546875" style="1" customWidth="1"/>
    <col min="11788" max="11788" width="15.140625" style="1" customWidth="1"/>
    <col min="11789" max="11789" width="10.28515625" style="1" customWidth="1"/>
    <col min="11790" max="11791" width="9.7109375" style="1" customWidth="1"/>
    <col min="11792" max="11792" width="10.42578125" style="1" customWidth="1"/>
    <col min="11793" max="11793" width="10.42578125" style="1" bestFit="1" customWidth="1"/>
    <col min="11794" max="11794" width="16.28515625" style="1" customWidth="1"/>
    <col min="11795" max="11795" width="15.140625" style="1" customWidth="1"/>
    <col min="11796" max="11796" width="13.5703125" style="1" customWidth="1"/>
    <col min="11797" max="11797" width="10.5703125" style="1" customWidth="1"/>
    <col min="11798" max="11798" width="10.85546875" style="1" customWidth="1"/>
    <col min="11799" max="11799" width="18" style="1" customWidth="1"/>
    <col min="11800" max="11800" width="20.85546875" style="1" customWidth="1"/>
    <col min="11801" max="11801" width="13.5703125" style="1" customWidth="1"/>
    <col min="11802" max="11802" width="14.140625" style="1" customWidth="1"/>
    <col min="11803" max="11805" width="8.85546875" style="1" customWidth="1"/>
    <col min="11806" max="11806" width="9.28515625" style="1" customWidth="1"/>
    <col min="11807" max="11807" width="14" style="1" customWidth="1"/>
    <col min="11808" max="11809" width="8.85546875" style="1" customWidth="1"/>
    <col min="11810" max="11810" width="10.140625" style="1" customWidth="1"/>
    <col min="11811" max="11812" width="9.5703125" style="1" customWidth="1"/>
    <col min="11813" max="11813" width="9.85546875" style="1" customWidth="1"/>
    <col min="11814" max="11815" width="10.140625" style="1" customWidth="1"/>
    <col min="11816" max="11818" width="9.28515625" style="1" customWidth="1"/>
    <col min="11819" max="11819" width="9.85546875" style="1" customWidth="1"/>
    <col min="11820" max="11821" width="8.5703125" style="1" customWidth="1"/>
    <col min="11822" max="11824" width="8.85546875" style="1" customWidth="1"/>
    <col min="11825" max="11825" width="9.28515625" style="1" customWidth="1"/>
    <col min="11826" max="11827" width="8.85546875" style="1" customWidth="1"/>
    <col min="11828" max="11828" width="10" style="1" customWidth="1"/>
    <col min="11829" max="11830" width="8.85546875" style="1" customWidth="1"/>
    <col min="11831" max="11831" width="11" style="1" customWidth="1"/>
    <col min="11832" max="11833" width="9.5703125" style="1" customWidth="1"/>
    <col min="11834" max="11836" width="8.85546875" style="1" customWidth="1"/>
    <col min="11837" max="11837" width="10.42578125" style="1" customWidth="1"/>
    <col min="11838" max="11839" width="8.85546875" style="1" customWidth="1"/>
    <col min="11840" max="11840" width="9.7109375" style="1" customWidth="1"/>
    <col min="11841" max="11842" width="8.85546875" style="1" customWidth="1"/>
    <col min="11843" max="11843" width="9.28515625" style="1" customWidth="1"/>
    <col min="11844" max="11864" width="8.85546875" style="1" customWidth="1"/>
    <col min="11865" max="11865" width="9.85546875" style="1" customWidth="1"/>
    <col min="11866" max="11866" width="8.85546875" style="1" customWidth="1"/>
    <col min="11867" max="11867" width="10" style="1" customWidth="1"/>
    <col min="11868" max="11884" width="8.85546875" style="1" customWidth="1"/>
    <col min="11885" max="11885" width="9.42578125" style="1" customWidth="1"/>
    <col min="11886" max="11886" width="8.85546875" style="1" customWidth="1"/>
    <col min="11887" max="11887" width="12" style="1" customWidth="1"/>
    <col min="11888" max="11888" width="11.140625" style="1" customWidth="1"/>
    <col min="11889" max="11889" width="28.7109375" style="1" customWidth="1"/>
    <col min="11890" max="11890" width="5.85546875" style="1" customWidth="1"/>
    <col min="11891" max="12040" width="9.140625" style="1"/>
    <col min="12041" max="12041" width="3.42578125" style="1" customWidth="1"/>
    <col min="12042" max="12042" width="27.85546875" style="1" customWidth="1"/>
    <col min="12043" max="12043" width="11.85546875" style="1" customWidth="1"/>
    <col min="12044" max="12044" width="15.140625" style="1" customWidth="1"/>
    <col min="12045" max="12045" width="10.28515625" style="1" customWidth="1"/>
    <col min="12046" max="12047" width="9.7109375" style="1" customWidth="1"/>
    <col min="12048" max="12048" width="10.42578125" style="1" customWidth="1"/>
    <col min="12049" max="12049" width="10.42578125" style="1" bestFit="1" customWidth="1"/>
    <col min="12050" max="12050" width="16.28515625" style="1" customWidth="1"/>
    <col min="12051" max="12051" width="15.140625" style="1" customWidth="1"/>
    <col min="12052" max="12052" width="13.5703125" style="1" customWidth="1"/>
    <col min="12053" max="12053" width="10.5703125" style="1" customWidth="1"/>
    <col min="12054" max="12054" width="10.85546875" style="1" customWidth="1"/>
    <col min="12055" max="12055" width="18" style="1" customWidth="1"/>
    <col min="12056" max="12056" width="20.85546875" style="1" customWidth="1"/>
    <col min="12057" max="12057" width="13.5703125" style="1" customWidth="1"/>
    <col min="12058" max="12058" width="14.140625" style="1" customWidth="1"/>
    <col min="12059" max="12061" width="8.85546875" style="1" customWidth="1"/>
    <col min="12062" max="12062" width="9.28515625" style="1" customWidth="1"/>
    <col min="12063" max="12063" width="14" style="1" customWidth="1"/>
    <col min="12064" max="12065" width="8.85546875" style="1" customWidth="1"/>
    <col min="12066" max="12066" width="10.140625" style="1" customWidth="1"/>
    <col min="12067" max="12068" width="9.5703125" style="1" customWidth="1"/>
    <col min="12069" max="12069" width="9.85546875" style="1" customWidth="1"/>
    <col min="12070" max="12071" width="10.140625" style="1" customWidth="1"/>
    <col min="12072" max="12074" width="9.28515625" style="1" customWidth="1"/>
    <col min="12075" max="12075" width="9.85546875" style="1" customWidth="1"/>
    <col min="12076" max="12077" width="8.5703125" style="1" customWidth="1"/>
    <col min="12078" max="12080" width="8.85546875" style="1" customWidth="1"/>
    <col min="12081" max="12081" width="9.28515625" style="1" customWidth="1"/>
    <col min="12082" max="12083" width="8.85546875" style="1" customWidth="1"/>
    <col min="12084" max="12084" width="10" style="1" customWidth="1"/>
    <col min="12085" max="12086" width="8.85546875" style="1" customWidth="1"/>
    <col min="12087" max="12087" width="11" style="1" customWidth="1"/>
    <col min="12088" max="12089" width="9.5703125" style="1" customWidth="1"/>
    <col min="12090" max="12092" width="8.85546875" style="1" customWidth="1"/>
    <col min="12093" max="12093" width="10.42578125" style="1" customWidth="1"/>
    <col min="12094" max="12095" width="8.85546875" style="1" customWidth="1"/>
    <col min="12096" max="12096" width="9.7109375" style="1" customWidth="1"/>
    <col min="12097" max="12098" width="8.85546875" style="1" customWidth="1"/>
    <col min="12099" max="12099" width="9.28515625" style="1" customWidth="1"/>
    <col min="12100" max="12120" width="8.85546875" style="1" customWidth="1"/>
    <col min="12121" max="12121" width="9.85546875" style="1" customWidth="1"/>
    <col min="12122" max="12122" width="8.85546875" style="1" customWidth="1"/>
    <col min="12123" max="12123" width="10" style="1" customWidth="1"/>
    <col min="12124" max="12140" width="8.85546875" style="1" customWidth="1"/>
    <col min="12141" max="12141" width="9.42578125" style="1" customWidth="1"/>
    <col min="12142" max="12142" width="8.85546875" style="1" customWidth="1"/>
    <col min="12143" max="12143" width="12" style="1" customWidth="1"/>
    <col min="12144" max="12144" width="11.140625" style="1" customWidth="1"/>
    <col min="12145" max="12145" width="28.7109375" style="1" customWidth="1"/>
    <col min="12146" max="12146" width="5.85546875" style="1" customWidth="1"/>
    <col min="12147" max="12296" width="9.140625" style="1"/>
    <col min="12297" max="12297" width="3.42578125" style="1" customWidth="1"/>
    <col min="12298" max="12298" width="27.85546875" style="1" customWidth="1"/>
    <col min="12299" max="12299" width="11.85546875" style="1" customWidth="1"/>
    <col min="12300" max="12300" width="15.140625" style="1" customWidth="1"/>
    <col min="12301" max="12301" width="10.28515625" style="1" customWidth="1"/>
    <col min="12302" max="12303" width="9.7109375" style="1" customWidth="1"/>
    <col min="12304" max="12304" width="10.42578125" style="1" customWidth="1"/>
    <col min="12305" max="12305" width="10.42578125" style="1" bestFit="1" customWidth="1"/>
    <col min="12306" max="12306" width="16.28515625" style="1" customWidth="1"/>
    <col min="12307" max="12307" width="15.140625" style="1" customWidth="1"/>
    <col min="12308" max="12308" width="13.5703125" style="1" customWidth="1"/>
    <col min="12309" max="12309" width="10.5703125" style="1" customWidth="1"/>
    <col min="12310" max="12310" width="10.85546875" style="1" customWidth="1"/>
    <col min="12311" max="12311" width="18" style="1" customWidth="1"/>
    <col min="12312" max="12312" width="20.85546875" style="1" customWidth="1"/>
    <col min="12313" max="12313" width="13.5703125" style="1" customWidth="1"/>
    <col min="12314" max="12314" width="14.140625" style="1" customWidth="1"/>
    <col min="12315" max="12317" width="8.85546875" style="1" customWidth="1"/>
    <col min="12318" max="12318" width="9.28515625" style="1" customWidth="1"/>
    <col min="12319" max="12319" width="14" style="1" customWidth="1"/>
    <col min="12320" max="12321" width="8.85546875" style="1" customWidth="1"/>
    <col min="12322" max="12322" width="10.140625" style="1" customWidth="1"/>
    <col min="12323" max="12324" width="9.5703125" style="1" customWidth="1"/>
    <col min="12325" max="12325" width="9.85546875" style="1" customWidth="1"/>
    <col min="12326" max="12327" width="10.140625" style="1" customWidth="1"/>
    <col min="12328" max="12330" width="9.28515625" style="1" customWidth="1"/>
    <col min="12331" max="12331" width="9.85546875" style="1" customWidth="1"/>
    <col min="12332" max="12333" width="8.5703125" style="1" customWidth="1"/>
    <col min="12334" max="12336" width="8.85546875" style="1" customWidth="1"/>
    <col min="12337" max="12337" width="9.28515625" style="1" customWidth="1"/>
    <col min="12338" max="12339" width="8.85546875" style="1" customWidth="1"/>
    <col min="12340" max="12340" width="10" style="1" customWidth="1"/>
    <col min="12341" max="12342" width="8.85546875" style="1" customWidth="1"/>
    <col min="12343" max="12343" width="11" style="1" customWidth="1"/>
    <col min="12344" max="12345" width="9.5703125" style="1" customWidth="1"/>
    <col min="12346" max="12348" width="8.85546875" style="1" customWidth="1"/>
    <col min="12349" max="12349" width="10.42578125" style="1" customWidth="1"/>
    <col min="12350" max="12351" width="8.85546875" style="1" customWidth="1"/>
    <col min="12352" max="12352" width="9.7109375" style="1" customWidth="1"/>
    <col min="12353" max="12354" width="8.85546875" style="1" customWidth="1"/>
    <col min="12355" max="12355" width="9.28515625" style="1" customWidth="1"/>
    <col min="12356" max="12376" width="8.85546875" style="1" customWidth="1"/>
    <col min="12377" max="12377" width="9.85546875" style="1" customWidth="1"/>
    <col min="12378" max="12378" width="8.85546875" style="1" customWidth="1"/>
    <col min="12379" max="12379" width="10" style="1" customWidth="1"/>
    <col min="12380" max="12396" width="8.85546875" style="1" customWidth="1"/>
    <col min="12397" max="12397" width="9.42578125" style="1" customWidth="1"/>
    <col min="12398" max="12398" width="8.85546875" style="1" customWidth="1"/>
    <col min="12399" max="12399" width="12" style="1" customWidth="1"/>
    <col min="12400" max="12400" width="11.140625" style="1" customWidth="1"/>
    <col min="12401" max="12401" width="28.7109375" style="1" customWidth="1"/>
    <col min="12402" max="12402" width="5.85546875" style="1" customWidth="1"/>
    <col min="12403" max="12552" width="9.140625" style="1"/>
    <col min="12553" max="12553" width="3.42578125" style="1" customWidth="1"/>
    <col min="12554" max="12554" width="27.85546875" style="1" customWidth="1"/>
    <col min="12555" max="12555" width="11.85546875" style="1" customWidth="1"/>
    <col min="12556" max="12556" width="15.140625" style="1" customWidth="1"/>
    <col min="12557" max="12557" width="10.28515625" style="1" customWidth="1"/>
    <col min="12558" max="12559" width="9.7109375" style="1" customWidth="1"/>
    <col min="12560" max="12560" width="10.42578125" style="1" customWidth="1"/>
    <col min="12561" max="12561" width="10.42578125" style="1" bestFit="1" customWidth="1"/>
    <col min="12562" max="12562" width="16.28515625" style="1" customWidth="1"/>
    <col min="12563" max="12563" width="15.140625" style="1" customWidth="1"/>
    <col min="12564" max="12564" width="13.5703125" style="1" customWidth="1"/>
    <col min="12565" max="12565" width="10.5703125" style="1" customWidth="1"/>
    <col min="12566" max="12566" width="10.85546875" style="1" customWidth="1"/>
    <col min="12567" max="12567" width="18" style="1" customWidth="1"/>
    <col min="12568" max="12568" width="20.85546875" style="1" customWidth="1"/>
    <col min="12569" max="12569" width="13.5703125" style="1" customWidth="1"/>
    <col min="12570" max="12570" width="14.140625" style="1" customWidth="1"/>
    <col min="12571" max="12573" width="8.85546875" style="1" customWidth="1"/>
    <col min="12574" max="12574" width="9.28515625" style="1" customWidth="1"/>
    <col min="12575" max="12575" width="14" style="1" customWidth="1"/>
    <col min="12576" max="12577" width="8.85546875" style="1" customWidth="1"/>
    <col min="12578" max="12578" width="10.140625" style="1" customWidth="1"/>
    <col min="12579" max="12580" width="9.5703125" style="1" customWidth="1"/>
    <col min="12581" max="12581" width="9.85546875" style="1" customWidth="1"/>
    <col min="12582" max="12583" width="10.140625" style="1" customWidth="1"/>
    <col min="12584" max="12586" width="9.28515625" style="1" customWidth="1"/>
    <col min="12587" max="12587" width="9.85546875" style="1" customWidth="1"/>
    <col min="12588" max="12589" width="8.5703125" style="1" customWidth="1"/>
    <col min="12590" max="12592" width="8.85546875" style="1" customWidth="1"/>
    <col min="12593" max="12593" width="9.28515625" style="1" customWidth="1"/>
    <col min="12594" max="12595" width="8.85546875" style="1" customWidth="1"/>
    <col min="12596" max="12596" width="10" style="1" customWidth="1"/>
    <col min="12597" max="12598" width="8.85546875" style="1" customWidth="1"/>
    <col min="12599" max="12599" width="11" style="1" customWidth="1"/>
    <col min="12600" max="12601" width="9.5703125" style="1" customWidth="1"/>
    <col min="12602" max="12604" width="8.85546875" style="1" customWidth="1"/>
    <col min="12605" max="12605" width="10.42578125" style="1" customWidth="1"/>
    <col min="12606" max="12607" width="8.85546875" style="1" customWidth="1"/>
    <col min="12608" max="12608" width="9.7109375" style="1" customWidth="1"/>
    <col min="12609" max="12610" width="8.85546875" style="1" customWidth="1"/>
    <col min="12611" max="12611" width="9.28515625" style="1" customWidth="1"/>
    <col min="12612" max="12632" width="8.85546875" style="1" customWidth="1"/>
    <col min="12633" max="12633" width="9.85546875" style="1" customWidth="1"/>
    <col min="12634" max="12634" width="8.85546875" style="1" customWidth="1"/>
    <col min="12635" max="12635" width="10" style="1" customWidth="1"/>
    <col min="12636" max="12652" width="8.85546875" style="1" customWidth="1"/>
    <col min="12653" max="12653" width="9.42578125" style="1" customWidth="1"/>
    <col min="12654" max="12654" width="8.85546875" style="1" customWidth="1"/>
    <col min="12655" max="12655" width="12" style="1" customWidth="1"/>
    <col min="12656" max="12656" width="11.140625" style="1" customWidth="1"/>
    <col min="12657" max="12657" width="28.7109375" style="1" customWidth="1"/>
    <col min="12658" max="12658" width="5.85546875" style="1" customWidth="1"/>
    <col min="12659" max="12808" width="9.140625" style="1"/>
    <col min="12809" max="12809" width="3.42578125" style="1" customWidth="1"/>
    <col min="12810" max="12810" width="27.85546875" style="1" customWidth="1"/>
    <col min="12811" max="12811" width="11.85546875" style="1" customWidth="1"/>
    <col min="12812" max="12812" width="15.140625" style="1" customWidth="1"/>
    <col min="12813" max="12813" width="10.28515625" style="1" customWidth="1"/>
    <col min="12814" max="12815" width="9.7109375" style="1" customWidth="1"/>
    <col min="12816" max="12816" width="10.42578125" style="1" customWidth="1"/>
    <col min="12817" max="12817" width="10.42578125" style="1" bestFit="1" customWidth="1"/>
    <col min="12818" max="12818" width="16.28515625" style="1" customWidth="1"/>
    <col min="12819" max="12819" width="15.140625" style="1" customWidth="1"/>
    <col min="12820" max="12820" width="13.5703125" style="1" customWidth="1"/>
    <col min="12821" max="12821" width="10.5703125" style="1" customWidth="1"/>
    <col min="12822" max="12822" width="10.85546875" style="1" customWidth="1"/>
    <col min="12823" max="12823" width="18" style="1" customWidth="1"/>
    <col min="12824" max="12824" width="20.85546875" style="1" customWidth="1"/>
    <col min="12825" max="12825" width="13.5703125" style="1" customWidth="1"/>
    <col min="12826" max="12826" width="14.140625" style="1" customWidth="1"/>
    <col min="12827" max="12829" width="8.85546875" style="1" customWidth="1"/>
    <col min="12830" max="12830" width="9.28515625" style="1" customWidth="1"/>
    <col min="12831" max="12831" width="14" style="1" customWidth="1"/>
    <col min="12832" max="12833" width="8.85546875" style="1" customWidth="1"/>
    <col min="12834" max="12834" width="10.140625" style="1" customWidth="1"/>
    <col min="12835" max="12836" width="9.5703125" style="1" customWidth="1"/>
    <col min="12837" max="12837" width="9.85546875" style="1" customWidth="1"/>
    <col min="12838" max="12839" width="10.140625" style="1" customWidth="1"/>
    <col min="12840" max="12842" width="9.28515625" style="1" customWidth="1"/>
    <col min="12843" max="12843" width="9.85546875" style="1" customWidth="1"/>
    <col min="12844" max="12845" width="8.5703125" style="1" customWidth="1"/>
    <col min="12846" max="12848" width="8.85546875" style="1" customWidth="1"/>
    <col min="12849" max="12849" width="9.28515625" style="1" customWidth="1"/>
    <col min="12850" max="12851" width="8.85546875" style="1" customWidth="1"/>
    <col min="12852" max="12852" width="10" style="1" customWidth="1"/>
    <col min="12853" max="12854" width="8.85546875" style="1" customWidth="1"/>
    <col min="12855" max="12855" width="11" style="1" customWidth="1"/>
    <col min="12856" max="12857" width="9.5703125" style="1" customWidth="1"/>
    <col min="12858" max="12860" width="8.85546875" style="1" customWidth="1"/>
    <col min="12861" max="12861" width="10.42578125" style="1" customWidth="1"/>
    <col min="12862" max="12863" width="8.85546875" style="1" customWidth="1"/>
    <col min="12864" max="12864" width="9.7109375" style="1" customWidth="1"/>
    <col min="12865" max="12866" width="8.85546875" style="1" customWidth="1"/>
    <col min="12867" max="12867" width="9.28515625" style="1" customWidth="1"/>
    <col min="12868" max="12888" width="8.85546875" style="1" customWidth="1"/>
    <col min="12889" max="12889" width="9.85546875" style="1" customWidth="1"/>
    <col min="12890" max="12890" width="8.85546875" style="1" customWidth="1"/>
    <col min="12891" max="12891" width="10" style="1" customWidth="1"/>
    <col min="12892" max="12908" width="8.85546875" style="1" customWidth="1"/>
    <col min="12909" max="12909" width="9.42578125" style="1" customWidth="1"/>
    <col min="12910" max="12910" width="8.85546875" style="1" customWidth="1"/>
    <col min="12911" max="12911" width="12" style="1" customWidth="1"/>
    <col min="12912" max="12912" width="11.140625" style="1" customWidth="1"/>
    <col min="12913" max="12913" width="28.7109375" style="1" customWidth="1"/>
    <col min="12914" max="12914" width="5.85546875" style="1" customWidth="1"/>
    <col min="12915" max="13064" width="9.140625" style="1"/>
    <col min="13065" max="13065" width="3.42578125" style="1" customWidth="1"/>
    <col min="13066" max="13066" width="27.85546875" style="1" customWidth="1"/>
    <col min="13067" max="13067" width="11.85546875" style="1" customWidth="1"/>
    <col min="13068" max="13068" width="15.140625" style="1" customWidth="1"/>
    <col min="13069" max="13069" width="10.28515625" style="1" customWidth="1"/>
    <col min="13070" max="13071" width="9.7109375" style="1" customWidth="1"/>
    <col min="13072" max="13072" width="10.42578125" style="1" customWidth="1"/>
    <col min="13073" max="13073" width="10.42578125" style="1" bestFit="1" customWidth="1"/>
    <col min="13074" max="13074" width="16.28515625" style="1" customWidth="1"/>
    <col min="13075" max="13075" width="15.140625" style="1" customWidth="1"/>
    <col min="13076" max="13076" width="13.5703125" style="1" customWidth="1"/>
    <col min="13077" max="13077" width="10.5703125" style="1" customWidth="1"/>
    <col min="13078" max="13078" width="10.85546875" style="1" customWidth="1"/>
    <col min="13079" max="13079" width="18" style="1" customWidth="1"/>
    <col min="13080" max="13080" width="20.85546875" style="1" customWidth="1"/>
    <col min="13081" max="13081" width="13.5703125" style="1" customWidth="1"/>
    <col min="13082" max="13082" width="14.140625" style="1" customWidth="1"/>
    <col min="13083" max="13085" width="8.85546875" style="1" customWidth="1"/>
    <col min="13086" max="13086" width="9.28515625" style="1" customWidth="1"/>
    <col min="13087" max="13087" width="14" style="1" customWidth="1"/>
    <col min="13088" max="13089" width="8.85546875" style="1" customWidth="1"/>
    <col min="13090" max="13090" width="10.140625" style="1" customWidth="1"/>
    <col min="13091" max="13092" width="9.5703125" style="1" customWidth="1"/>
    <col min="13093" max="13093" width="9.85546875" style="1" customWidth="1"/>
    <col min="13094" max="13095" width="10.140625" style="1" customWidth="1"/>
    <col min="13096" max="13098" width="9.28515625" style="1" customWidth="1"/>
    <col min="13099" max="13099" width="9.85546875" style="1" customWidth="1"/>
    <col min="13100" max="13101" width="8.5703125" style="1" customWidth="1"/>
    <col min="13102" max="13104" width="8.85546875" style="1" customWidth="1"/>
    <col min="13105" max="13105" width="9.28515625" style="1" customWidth="1"/>
    <col min="13106" max="13107" width="8.85546875" style="1" customWidth="1"/>
    <col min="13108" max="13108" width="10" style="1" customWidth="1"/>
    <col min="13109" max="13110" width="8.85546875" style="1" customWidth="1"/>
    <col min="13111" max="13111" width="11" style="1" customWidth="1"/>
    <col min="13112" max="13113" width="9.5703125" style="1" customWidth="1"/>
    <col min="13114" max="13116" width="8.85546875" style="1" customWidth="1"/>
    <col min="13117" max="13117" width="10.42578125" style="1" customWidth="1"/>
    <col min="13118" max="13119" width="8.85546875" style="1" customWidth="1"/>
    <col min="13120" max="13120" width="9.7109375" style="1" customWidth="1"/>
    <col min="13121" max="13122" width="8.85546875" style="1" customWidth="1"/>
    <col min="13123" max="13123" width="9.28515625" style="1" customWidth="1"/>
    <col min="13124" max="13144" width="8.85546875" style="1" customWidth="1"/>
    <col min="13145" max="13145" width="9.85546875" style="1" customWidth="1"/>
    <col min="13146" max="13146" width="8.85546875" style="1" customWidth="1"/>
    <col min="13147" max="13147" width="10" style="1" customWidth="1"/>
    <col min="13148" max="13164" width="8.85546875" style="1" customWidth="1"/>
    <col min="13165" max="13165" width="9.42578125" style="1" customWidth="1"/>
    <col min="13166" max="13166" width="8.85546875" style="1" customWidth="1"/>
    <col min="13167" max="13167" width="12" style="1" customWidth="1"/>
    <col min="13168" max="13168" width="11.140625" style="1" customWidth="1"/>
    <col min="13169" max="13169" width="28.7109375" style="1" customWidth="1"/>
    <col min="13170" max="13170" width="5.85546875" style="1" customWidth="1"/>
    <col min="13171" max="13320" width="9.140625" style="1"/>
    <col min="13321" max="13321" width="3.42578125" style="1" customWidth="1"/>
    <col min="13322" max="13322" width="27.85546875" style="1" customWidth="1"/>
    <col min="13323" max="13323" width="11.85546875" style="1" customWidth="1"/>
    <col min="13324" max="13324" width="15.140625" style="1" customWidth="1"/>
    <col min="13325" max="13325" width="10.28515625" style="1" customWidth="1"/>
    <col min="13326" max="13327" width="9.7109375" style="1" customWidth="1"/>
    <col min="13328" max="13328" width="10.42578125" style="1" customWidth="1"/>
    <col min="13329" max="13329" width="10.42578125" style="1" bestFit="1" customWidth="1"/>
    <col min="13330" max="13330" width="16.28515625" style="1" customWidth="1"/>
    <col min="13331" max="13331" width="15.140625" style="1" customWidth="1"/>
    <col min="13332" max="13332" width="13.5703125" style="1" customWidth="1"/>
    <col min="13333" max="13333" width="10.5703125" style="1" customWidth="1"/>
    <col min="13334" max="13334" width="10.85546875" style="1" customWidth="1"/>
    <col min="13335" max="13335" width="18" style="1" customWidth="1"/>
    <col min="13336" max="13336" width="20.85546875" style="1" customWidth="1"/>
    <col min="13337" max="13337" width="13.5703125" style="1" customWidth="1"/>
    <col min="13338" max="13338" width="14.140625" style="1" customWidth="1"/>
    <col min="13339" max="13341" width="8.85546875" style="1" customWidth="1"/>
    <col min="13342" max="13342" width="9.28515625" style="1" customWidth="1"/>
    <col min="13343" max="13343" width="14" style="1" customWidth="1"/>
    <col min="13344" max="13345" width="8.85546875" style="1" customWidth="1"/>
    <col min="13346" max="13346" width="10.140625" style="1" customWidth="1"/>
    <col min="13347" max="13348" width="9.5703125" style="1" customWidth="1"/>
    <col min="13349" max="13349" width="9.85546875" style="1" customWidth="1"/>
    <col min="13350" max="13351" width="10.140625" style="1" customWidth="1"/>
    <col min="13352" max="13354" width="9.28515625" style="1" customWidth="1"/>
    <col min="13355" max="13355" width="9.85546875" style="1" customWidth="1"/>
    <col min="13356" max="13357" width="8.5703125" style="1" customWidth="1"/>
    <col min="13358" max="13360" width="8.85546875" style="1" customWidth="1"/>
    <col min="13361" max="13361" width="9.28515625" style="1" customWidth="1"/>
    <col min="13362" max="13363" width="8.85546875" style="1" customWidth="1"/>
    <col min="13364" max="13364" width="10" style="1" customWidth="1"/>
    <col min="13365" max="13366" width="8.85546875" style="1" customWidth="1"/>
    <col min="13367" max="13367" width="11" style="1" customWidth="1"/>
    <col min="13368" max="13369" width="9.5703125" style="1" customWidth="1"/>
    <col min="13370" max="13372" width="8.85546875" style="1" customWidth="1"/>
    <col min="13373" max="13373" width="10.42578125" style="1" customWidth="1"/>
    <col min="13374" max="13375" width="8.85546875" style="1" customWidth="1"/>
    <col min="13376" max="13376" width="9.7109375" style="1" customWidth="1"/>
    <col min="13377" max="13378" width="8.85546875" style="1" customWidth="1"/>
    <col min="13379" max="13379" width="9.28515625" style="1" customWidth="1"/>
    <col min="13380" max="13400" width="8.85546875" style="1" customWidth="1"/>
    <col min="13401" max="13401" width="9.85546875" style="1" customWidth="1"/>
    <col min="13402" max="13402" width="8.85546875" style="1" customWidth="1"/>
    <col min="13403" max="13403" width="10" style="1" customWidth="1"/>
    <col min="13404" max="13420" width="8.85546875" style="1" customWidth="1"/>
    <col min="13421" max="13421" width="9.42578125" style="1" customWidth="1"/>
    <col min="13422" max="13422" width="8.85546875" style="1" customWidth="1"/>
    <col min="13423" max="13423" width="12" style="1" customWidth="1"/>
    <col min="13424" max="13424" width="11.140625" style="1" customWidth="1"/>
    <col min="13425" max="13425" width="28.7109375" style="1" customWidth="1"/>
    <col min="13426" max="13426" width="5.85546875" style="1" customWidth="1"/>
    <col min="13427" max="13576" width="9.140625" style="1"/>
    <col min="13577" max="13577" width="3.42578125" style="1" customWidth="1"/>
    <col min="13578" max="13578" width="27.85546875" style="1" customWidth="1"/>
    <col min="13579" max="13579" width="11.85546875" style="1" customWidth="1"/>
    <col min="13580" max="13580" width="15.140625" style="1" customWidth="1"/>
    <col min="13581" max="13581" width="10.28515625" style="1" customWidth="1"/>
    <col min="13582" max="13583" width="9.7109375" style="1" customWidth="1"/>
    <col min="13584" max="13584" width="10.42578125" style="1" customWidth="1"/>
    <col min="13585" max="13585" width="10.42578125" style="1" bestFit="1" customWidth="1"/>
    <col min="13586" max="13586" width="16.28515625" style="1" customWidth="1"/>
    <col min="13587" max="13587" width="15.140625" style="1" customWidth="1"/>
    <col min="13588" max="13588" width="13.5703125" style="1" customWidth="1"/>
    <col min="13589" max="13589" width="10.5703125" style="1" customWidth="1"/>
    <col min="13590" max="13590" width="10.85546875" style="1" customWidth="1"/>
    <col min="13591" max="13591" width="18" style="1" customWidth="1"/>
    <col min="13592" max="13592" width="20.85546875" style="1" customWidth="1"/>
    <col min="13593" max="13593" width="13.5703125" style="1" customWidth="1"/>
    <col min="13594" max="13594" width="14.140625" style="1" customWidth="1"/>
    <col min="13595" max="13597" width="8.85546875" style="1" customWidth="1"/>
    <col min="13598" max="13598" width="9.28515625" style="1" customWidth="1"/>
    <col min="13599" max="13599" width="14" style="1" customWidth="1"/>
    <col min="13600" max="13601" width="8.85546875" style="1" customWidth="1"/>
    <col min="13602" max="13602" width="10.140625" style="1" customWidth="1"/>
    <col min="13603" max="13604" width="9.5703125" style="1" customWidth="1"/>
    <col min="13605" max="13605" width="9.85546875" style="1" customWidth="1"/>
    <col min="13606" max="13607" width="10.140625" style="1" customWidth="1"/>
    <col min="13608" max="13610" width="9.28515625" style="1" customWidth="1"/>
    <col min="13611" max="13611" width="9.85546875" style="1" customWidth="1"/>
    <col min="13612" max="13613" width="8.5703125" style="1" customWidth="1"/>
    <col min="13614" max="13616" width="8.85546875" style="1" customWidth="1"/>
    <col min="13617" max="13617" width="9.28515625" style="1" customWidth="1"/>
    <col min="13618" max="13619" width="8.85546875" style="1" customWidth="1"/>
    <col min="13620" max="13620" width="10" style="1" customWidth="1"/>
    <col min="13621" max="13622" width="8.85546875" style="1" customWidth="1"/>
    <col min="13623" max="13623" width="11" style="1" customWidth="1"/>
    <col min="13624" max="13625" width="9.5703125" style="1" customWidth="1"/>
    <col min="13626" max="13628" width="8.85546875" style="1" customWidth="1"/>
    <col min="13629" max="13629" width="10.42578125" style="1" customWidth="1"/>
    <col min="13630" max="13631" width="8.85546875" style="1" customWidth="1"/>
    <col min="13632" max="13632" width="9.7109375" style="1" customWidth="1"/>
    <col min="13633" max="13634" width="8.85546875" style="1" customWidth="1"/>
    <col min="13635" max="13635" width="9.28515625" style="1" customWidth="1"/>
    <col min="13636" max="13656" width="8.85546875" style="1" customWidth="1"/>
    <col min="13657" max="13657" width="9.85546875" style="1" customWidth="1"/>
    <col min="13658" max="13658" width="8.85546875" style="1" customWidth="1"/>
    <col min="13659" max="13659" width="10" style="1" customWidth="1"/>
    <col min="13660" max="13676" width="8.85546875" style="1" customWidth="1"/>
    <col min="13677" max="13677" width="9.42578125" style="1" customWidth="1"/>
    <col min="13678" max="13678" width="8.85546875" style="1" customWidth="1"/>
    <col min="13679" max="13679" width="12" style="1" customWidth="1"/>
    <col min="13680" max="13680" width="11.140625" style="1" customWidth="1"/>
    <col min="13681" max="13681" width="28.7109375" style="1" customWidth="1"/>
    <col min="13682" max="13682" width="5.85546875" style="1" customWidth="1"/>
    <col min="13683" max="13832" width="9.140625" style="1"/>
    <col min="13833" max="13833" width="3.42578125" style="1" customWidth="1"/>
    <col min="13834" max="13834" width="27.85546875" style="1" customWidth="1"/>
    <col min="13835" max="13835" width="11.85546875" style="1" customWidth="1"/>
    <col min="13836" max="13836" width="15.140625" style="1" customWidth="1"/>
    <col min="13837" max="13837" width="10.28515625" style="1" customWidth="1"/>
    <col min="13838" max="13839" width="9.7109375" style="1" customWidth="1"/>
    <col min="13840" max="13840" width="10.42578125" style="1" customWidth="1"/>
    <col min="13841" max="13841" width="10.42578125" style="1" bestFit="1" customWidth="1"/>
    <col min="13842" max="13842" width="16.28515625" style="1" customWidth="1"/>
    <col min="13843" max="13843" width="15.140625" style="1" customWidth="1"/>
    <col min="13844" max="13844" width="13.5703125" style="1" customWidth="1"/>
    <col min="13845" max="13845" width="10.5703125" style="1" customWidth="1"/>
    <col min="13846" max="13846" width="10.85546875" style="1" customWidth="1"/>
    <col min="13847" max="13847" width="18" style="1" customWidth="1"/>
    <col min="13848" max="13848" width="20.85546875" style="1" customWidth="1"/>
    <col min="13849" max="13849" width="13.5703125" style="1" customWidth="1"/>
    <col min="13850" max="13850" width="14.140625" style="1" customWidth="1"/>
    <col min="13851" max="13853" width="8.85546875" style="1" customWidth="1"/>
    <col min="13854" max="13854" width="9.28515625" style="1" customWidth="1"/>
    <col min="13855" max="13855" width="14" style="1" customWidth="1"/>
    <col min="13856" max="13857" width="8.85546875" style="1" customWidth="1"/>
    <col min="13858" max="13858" width="10.140625" style="1" customWidth="1"/>
    <col min="13859" max="13860" width="9.5703125" style="1" customWidth="1"/>
    <col min="13861" max="13861" width="9.85546875" style="1" customWidth="1"/>
    <col min="13862" max="13863" width="10.140625" style="1" customWidth="1"/>
    <col min="13864" max="13866" width="9.28515625" style="1" customWidth="1"/>
    <col min="13867" max="13867" width="9.85546875" style="1" customWidth="1"/>
    <col min="13868" max="13869" width="8.5703125" style="1" customWidth="1"/>
    <col min="13870" max="13872" width="8.85546875" style="1" customWidth="1"/>
    <col min="13873" max="13873" width="9.28515625" style="1" customWidth="1"/>
    <col min="13874" max="13875" width="8.85546875" style="1" customWidth="1"/>
    <col min="13876" max="13876" width="10" style="1" customWidth="1"/>
    <col min="13877" max="13878" width="8.85546875" style="1" customWidth="1"/>
    <col min="13879" max="13879" width="11" style="1" customWidth="1"/>
    <col min="13880" max="13881" width="9.5703125" style="1" customWidth="1"/>
    <col min="13882" max="13884" width="8.85546875" style="1" customWidth="1"/>
    <col min="13885" max="13885" width="10.42578125" style="1" customWidth="1"/>
    <col min="13886" max="13887" width="8.85546875" style="1" customWidth="1"/>
    <col min="13888" max="13888" width="9.7109375" style="1" customWidth="1"/>
    <col min="13889" max="13890" width="8.85546875" style="1" customWidth="1"/>
    <col min="13891" max="13891" width="9.28515625" style="1" customWidth="1"/>
    <col min="13892" max="13912" width="8.85546875" style="1" customWidth="1"/>
    <col min="13913" max="13913" width="9.85546875" style="1" customWidth="1"/>
    <col min="13914" max="13914" width="8.85546875" style="1" customWidth="1"/>
    <col min="13915" max="13915" width="10" style="1" customWidth="1"/>
    <col min="13916" max="13932" width="8.85546875" style="1" customWidth="1"/>
    <col min="13933" max="13933" width="9.42578125" style="1" customWidth="1"/>
    <col min="13934" max="13934" width="8.85546875" style="1" customWidth="1"/>
    <col min="13935" max="13935" width="12" style="1" customWidth="1"/>
    <col min="13936" max="13936" width="11.140625" style="1" customWidth="1"/>
    <col min="13937" max="13937" width="28.7109375" style="1" customWidth="1"/>
    <col min="13938" max="13938" width="5.85546875" style="1" customWidth="1"/>
    <col min="13939" max="14088" width="9.140625" style="1"/>
    <col min="14089" max="14089" width="3.42578125" style="1" customWidth="1"/>
    <col min="14090" max="14090" width="27.85546875" style="1" customWidth="1"/>
    <col min="14091" max="14091" width="11.85546875" style="1" customWidth="1"/>
    <col min="14092" max="14092" width="15.140625" style="1" customWidth="1"/>
    <col min="14093" max="14093" width="10.28515625" style="1" customWidth="1"/>
    <col min="14094" max="14095" width="9.7109375" style="1" customWidth="1"/>
    <col min="14096" max="14096" width="10.42578125" style="1" customWidth="1"/>
    <col min="14097" max="14097" width="10.42578125" style="1" bestFit="1" customWidth="1"/>
    <col min="14098" max="14098" width="16.28515625" style="1" customWidth="1"/>
    <col min="14099" max="14099" width="15.140625" style="1" customWidth="1"/>
    <col min="14100" max="14100" width="13.5703125" style="1" customWidth="1"/>
    <col min="14101" max="14101" width="10.5703125" style="1" customWidth="1"/>
    <col min="14102" max="14102" width="10.85546875" style="1" customWidth="1"/>
    <col min="14103" max="14103" width="18" style="1" customWidth="1"/>
    <col min="14104" max="14104" width="20.85546875" style="1" customWidth="1"/>
    <col min="14105" max="14105" width="13.5703125" style="1" customWidth="1"/>
    <col min="14106" max="14106" width="14.140625" style="1" customWidth="1"/>
    <col min="14107" max="14109" width="8.85546875" style="1" customWidth="1"/>
    <col min="14110" max="14110" width="9.28515625" style="1" customWidth="1"/>
    <col min="14111" max="14111" width="14" style="1" customWidth="1"/>
    <col min="14112" max="14113" width="8.85546875" style="1" customWidth="1"/>
    <col min="14114" max="14114" width="10.140625" style="1" customWidth="1"/>
    <col min="14115" max="14116" width="9.5703125" style="1" customWidth="1"/>
    <col min="14117" max="14117" width="9.85546875" style="1" customWidth="1"/>
    <col min="14118" max="14119" width="10.140625" style="1" customWidth="1"/>
    <col min="14120" max="14122" width="9.28515625" style="1" customWidth="1"/>
    <col min="14123" max="14123" width="9.85546875" style="1" customWidth="1"/>
    <col min="14124" max="14125" width="8.5703125" style="1" customWidth="1"/>
    <col min="14126" max="14128" width="8.85546875" style="1" customWidth="1"/>
    <col min="14129" max="14129" width="9.28515625" style="1" customWidth="1"/>
    <col min="14130" max="14131" width="8.85546875" style="1" customWidth="1"/>
    <col min="14132" max="14132" width="10" style="1" customWidth="1"/>
    <col min="14133" max="14134" width="8.85546875" style="1" customWidth="1"/>
    <col min="14135" max="14135" width="11" style="1" customWidth="1"/>
    <col min="14136" max="14137" width="9.5703125" style="1" customWidth="1"/>
    <col min="14138" max="14140" width="8.85546875" style="1" customWidth="1"/>
    <col min="14141" max="14141" width="10.42578125" style="1" customWidth="1"/>
    <col min="14142" max="14143" width="8.85546875" style="1" customWidth="1"/>
    <col min="14144" max="14144" width="9.7109375" style="1" customWidth="1"/>
    <col min="14145" max="14146" width="8.85546875" style="1" customWidth="1"/>
    <col min="14147" max="14147" width="9.28515625" style="1" customWidth="1"/>
    <col min="14148" max="14168" width="8.85546875" style="1" customWidth="1"/>
    <col min="14169" max="14169" width="9.85546875" style="1" customWidth="1"/>
    <col min="14170" max="14170" width="8.85546875" style="1" customWidth="1"/>
    <col min="14171" max="14171" width="10" style="1" customWidth="1"/>
    <col min="14172" max="14188" width="8.85546875" style="1" customWidth="1"/>
    <col min="14189" max="14189" width="9.42578125" style="1" customWidth="1"/>
    <col min="14190" max="14190" width="8.85546875" style="1" customWidth="1"/>
    <col min="14191" max="14191" width="12" style="1" customWidth="1"/>
    <col min="14192" max="14192" width="11.140625" style="1" customWidth="1"/>
    <col min="14193" max="14193" width="28.7109375" style="1" customWidth="1"/>
    <col min="14194" max="14194" width="5.85546875" style="1" customWidth="1"/>
    <col min="14195" max="14344" width="9.140625" style="1"/>
    <col min="14345" max="14345" width="3.42578125" style="1" customWidth="1"/>
    <col min="14346" max="14346" width="27.85546875" style="1" customWidth="1"/>
    <col min="14347" max="14347" width="11.85546875" style="1" customWidth="1"/>
    <col min="14348" max="14348" width="15.140625" style="1" customWidth="1"/>
    <col min="14349" max="14349" width="10.28515625" style="1" customWidth="1"/>
    <col min="14350" max="14351" width="9.7109375" style="1" customWidth="1"/>
    <col min="14352" max="14352" width="10.42578125" style="1" customWidth="1"/>
    <col min="14353" max="14353" width="10.42578125" style="1" bestFit="1" customWidth="1"/>
    <col min="14354" max="14354" width="16.28515625" style="1" customWidth="1"/>
    <col min="14355" max="14355" width="15.140625" style="1" customWidth="1"/>
    <col min="14356" max="14356" width="13.5703125" style="1" customWidth="1"/>
    <col min="14357" max="14357" width="10.5703125" style="1" customWidth="1"/>
    <col min="14358" max="14358" width="10.85546875" style="1" customWidth="1"/>
    <col min="14359" max="14359" width="18" style="1" customWidth="1"/>
    <col min="14360" max="14360" width="20.85546875" style="1" customWidth="1"/>
    <col min="14361" max="14361" width="13.5703125" style="1" customWidth="1"/>
    <col min="14362" max="14362" width="14.140625" style="1" customWidth="1"/>
    <col min="14363" max="14365" width="8.85546875" style="1" customWidth="1"/>
    <col min="14366" max="14366" width="9.28515625" style="1" customWidth="1"/>
    <col min="14367" max="14367" width="14" style="1" customWidth="1"/>
    <col min="14368" max="14369" width="8.85546875" style="1" customWidth="1"/>
    <col min="14370" max="14370" width="10.140625" style="1" customWidth="1"/>
    <col min="14371" max="14372" width="9.5703125" style="1" customWidth="1"/>
    <col min="14373" max="14373" width="9.85546875" style="1" customWidth="1"/>
    <col min="14374" max="14375" width="10.140625" style="1" customWidth="1"/>
    <col min="14376" max="14378" width="9.28515625" style="1" customWidth="1"/>
    <col min="14379" max="14379" width="9.85546875" style="1" customWidth="1"/>
    <col min="14380" max="14381" width="8.5703125" style="1" customWidth="1"/>
    <col min="14382" max="14384" width="8.85546875" style="1" customWidth="1"/>
    <col min="14385" max="14385" width="9.28515625" style="1" customWidth="1"/>
    <col min="14386" max="14387" width="8.85546875" style="1" customWidth="1"/>
    <col min="14388" max="14388" width="10" style="1" customWidth="1"/>
    <col min="14389" max="14390" width="8.85546875" style="1" customWidth="1"/>
    <col min="14391" max="14391" width="11" style="1" customWidth="1"/>
    <col min="14392" max="14393" width="9.5703125" style="1" customWidth="1"/>
    <col min="14394" max="14396" width="8.85546875" style="1" customWidth="1"/>
    <col min="14397" max="14397" width="10.42578125" style="1" customWidth="1"/>
    <col min="14398" max="14399" width="8.85546875" style="1" customWidth="1"/>
    <col min="14400" max="14400" width="9.7109375" style="1" customWidth="1"/>
    <col min="14401" max="14402" width="8.85546875" style="1" customWidth="1"/>
    <col min="14403" max="14403" width="9.28515625" style="1" customWidth="1"/>
    <col min="14404" max="14424" width="8.85546875" style="1" customWidth="1"/>
    <col min="14425" max="14425" width="9.85546875" style="1" customWidth="1"/>
    <col min="14426" max="14426" width="8.85546875" style="1" customWidth="1"/>
    <col min="14427" max="14427" width="10" style="1" customWidth="1"/>
    <col min="14428" max="14444" width="8.85546875" style="1" customWidth="1"/>
    <col min="14445" max="14445" width="9.42578125" style="1" customWidth="1"/>
    <col min="14446" max="14446" width="8.85546875" style="1" customWidth="1"/>
    <col min="14447" max="14447" width="12" style="1" customWidth="1"/>
    <col min="14448" max="14448" width="11.140625" style="1" customWidth="1"/>
    <col min="14449" max="14449" width="28.7109375" style="1" customWidth="1"/>
    <col min="14450" max="14450" width="5.85546875" style="1" customWidth="1"/>
    <col min="14451" max="14600" width="9.140625" style="1"/>
    <col min="14601" max="14601" width="3.42578125" style="1" customWidth="1"/>
    <col min="14602" max="14602" width="27.85546875" style="1" customWidth="1"/>
    <col min="14603" max="14603" width="11.85546875" style="1" customWidth="1"/>
    <col min="14604" max="14604" width="15.140625" style="1" customWidth="1"/>
    <col min="14605" max="14605" width="10.28515625" style="1" customWidth="1"/>
    <col min="14606" max="14607" width="9.7109375" style="1" customWidth="1"/>
    <col min="14608" max="14608" width="10.42578125" style="1" customWidth="1"/>
    <col min="14609" max="14609" width="10.42578125" style="1" bestFit="1" customWidth="1"/>
    <col min="14610" max="14610" width="16.28515625" style="1" customWidth="1"/>
    <col min="14611" max="14611" width="15.140625" style="1" customWidth="1"/>
    <col min="14612" max="14612" width="13.5703125" style="1" customWidth="1"/>
    <col min="14613" max="14613" width="10.5703125" style="1" customWidth="1"/>
    <col min="14614" max="14614" width="10.85546875" style="1" customWidth="1"/>
    <col min="14615" max="14615" width="18" style="1" customWidth="1"/>
    <col min="14616" max="14616" width="20.85546875" style="1" customWidth="1"/>
    <col min="14617" max="14617" width="13.5703125" style="1" customWidth="1"/>
    <col min="14618" max="14618" width="14.140625" style="1" customWidth="1"/>
    <col min="14619" max="14621" width="8.85546875" style="1" customWidth="1"/>
    <col min="14622" max="14622" width="9.28515625" style="1" customWidth="1"/>
    <col min="14623" max="14623" width="14" style="1" customWidth="1"/>
    <col min="14624" max="14625" width="8.85546875" style="1" customWidth="1"/>
    <col min="14626" max="14626" width="10.140625" style="1" customWidth="1"/>
    <col min="14627" max="14628" width="9.5703125" style="1" customWidth="1"/>
    <col min="14629" max="14629" width="9.85546875" style="1" customWidth="1"/>
    <col min="14630" max="14631" width="10.140625" style="1" customWidth="1"/>
    <col min="14632" max="14634" width="9.28515625" style="1" customWidth="1"/>
    <col min="14635" max="14635" width="9.85546875" style="1" customWidth="1"/>
    <col min="14636" max="14637" width="8.5703125" style="1" customWidth="1"/>
    <col min="14638" max="14640" width="8.85546875" style="1" customWidth="1"/>
    <col min="14641" max="14641" width="9.28515625" style="1" customWidth="1"/>
    <col min="14642" max="14643" width="8.85546875" style="1" customWidth="1"/>
    <col min="14644" max="14644" width="10" style="1" customWidth="1"/>
    <col min="14645" max="14646" width="8.85546875" style="1" customWidth="1"/>
    <col min="14647" max="14647" width="11" style="1" customWidth="1"/>
    <col min="14648" max="14649" width="9.5703125" style="1" customWidth="1"/>
    <col min="14650" max="14652" width="8.85546875" style="1" customWidth="1"/>
    <col min="14653" max="14653" width="10.42578125" style="1" customWidth="1"/>
    <col min="14654" max="14655" width="8.85546875" style="1" customWidth="1"/>
    <col min="14656" max="14656" width="9.7109375" style="1" customWidth="1"/>
    <col min="14657" max="14658" width="8.85546875" style="1" customWidth="1"/>
    <col min="14659" max="14659" width="9.28515625" style="1" customWidth="1"/>
    <col min="14660" max="14680" width="8.85546875" style="1" customWidth="1"/>
    <col min="14681" max="14681" width="9.85546875" style="1" customWidth="1"/>
    <col min="14682" max="14682" width="8.85546875" style="1" customWidth="1"/>
    <col min="14683" max="14683" width="10" style="1" customWidth="1"/>
    <col min="14684" max="14700" width="8.85546875" style="1" customWidth="1"/>
    <col min="14701" max="14701" width="9.42578125" style="1" customWidth="1"/>
    <col min="14702" max="14702" width="8.85546875" style="1" customWidth="1"/>
    <col min="14703" max="14703" width="12" style="1" customWidth="1"/>
    <col min="14704" max="14704" width="11.140625" style="1" customWidth="1"/>
    <col min="14705" max="14705" width="28.7109375" style="1" customWidth="1"/>
    <col min="14706" max="14706" width="5.85546875" style="1" customWidth="1"/>
    <col min="14707" max="14856" width="9.140625" style="1"/>
    <col min="14857" max="14857" width="3.42578125" style="1" customWidth="1"/>
    <col min="14858" max="14858" width="27.85546875" style="1" customWidth="1"/>
    <col min="14859" max="14859" width="11.85546875" style="1" customWidth="1"/>
    <col min="14860" max="14860" width="15.140625" style="1" customWidth="1"/>
    <col min="14861" max="14861" width="10.28515625" style="1" customWidth="1"/>
    <col min="14862" max="14863" width="9.7109375" style="1" customWidth="1"/>
    <col min="14864" max="14864" width="10.42578125" style="1" customWidth="1"/>
    <col min="14865" max="14865" width="10.42578125" style="1" bestFit="1" customWidth="1"/>
    <col min="14866" max="14866" width="16.28515625" style="1" customWidth="1"/>
    <col min="14867" max="14867" width="15.140625" style="1" customWidth="1"/>
    <col min="14868" max="14868" width="13.5703125" style="1" customWidth="1"/>
    <col min="14869" max="14869" width="10.5703125" style="1" customWidth="1"/>
    <col min="14870" max="14870" width="10.85546875" style="1" customWidth="1"/>
    <col min="14871" max="14871" width="18" style="1" customWidth="1"/>
    <col min="14872" max="14872" width="20.85546875" style="1" customWidth="1"/>
    <col min="14873" max="14873" width="13.5703125" style="1" customWidth="1"/>
    <col min="14874" max="14874" width="14.140625" style="1" customWidth="1"/>
    <col min="14875" max="14877" width="8.85546875" style="1" customWidth="1"/>
    <col min="14878" max="14878" width="9.28515625" style="1" customWidth="1"/>
    <col min="14879" max="14879" width="14" style="1" customWidth="1"/>
    <col min="14880" max="14881" width="8.85546875" style="1" customWidth="1"/>
    <col min="14882" max="14882" width="10.140625" style="1" customWidth="1"/>
    <col min="14883" max="14884" width="9.5703125" style="1" customWidth="1"/>
    <col min="14885" max="14885" width="9.85546875" style="1" customWidth="1"/>
    <col min="14886" max="14887" width="10.140625" style="1" customWidth="1"/>
    <col min="14888" max="14890" width="9.28515625" style="1" customWidth="1"/>
    <col min="14891" max="14891" width="9.85546875" style="1" customWidth="1"/>
    <col min="14892" max="14893" width="8.5703125" style="1" customWidth="1"/>
    <col min="14894" max="14896" width="8.85546875" style="1" customWidth="1"/>
    <col min="14897" max="14897" width="9.28515625" style="1" customWidth="1"/>
    <col min="14898" max="14899" width="8.85546875" style="1" customWidth="1"/>
    <col min="14900" max="14900" width="10" style="1" customWidth="1"/>
    <col min="14901" max="14902" width="8.85546875" style="1" customWidth="1"/>
    <col min="14903" max="14903" width="11" style="1" customWidth="1"/>
    <col min="14904" max="14905" width="9.5703125" style="1" customWidth="1"/>
    <col min="14906" max="14908" width="8.85546875" style="1" customWidth="1"/>
    <col min="14909" max="14909" width="10.42578125" style="1" customWidth="1"/>
    <col min="14910" max="14911" width="8.85546875" style="1" customWidth="1"/>
    <col min="14912" max="14912" width="9.7109375" style="1" customWidth="1"/>
    <col min="14913" max="14914" width="8.85546875" style="1" customWidth="1"/>
    <col min="14915" max="14915" width="9.28515625" style="1" customWidth="1"/>
    <col min="14916" max="14936" width="8.85546875" style="1" customWidth="1"/>
    <col min="14937" max="14937" width="9.85546875" style="1" customWidth="1"/>
    <col min="14938" max="14938" width="8.85546875" style="1" customWidth="1"/>
    <col min="14939" max="14939" width="10" style="1" customWidth="1"/>
    <col min="14940" max="14956" width="8.85546875" style="1" customWidth="1"/>
    <col min="14957" max="14957" width="9.42578125" style="1" customWidth="1"/>
    <col min="14958" max="14958" width="8.85546875" style="1" customWidth="1"/>
    <col min="14959" max="14959" width="12" style="1" customWidth="1"/>
    <col min="14960" max="14960" width="11.140625" style="1" customWidth="1"/>
    <col min="14961" max="14961" width="28.7109375" style="1" customWidth="1"/>
    <col min="14962" max="14962" width="5.85546875" style="1" customWidth="1"/>
    <col min="14963" max="15112" width="9.140625" style="1"/>
    <col min="15113" max="15113" width="3.42578125" style="1" customWidth="1"/>
    <col min="15114" max="15114" width="27.85546875" style="1" customWidth="1"/>
    <col min="15115" max="15115" width="11.85546875" style="1" customWidth="1"/>
    <col min="15116" max="15116" width="15.140625" style="1" customWidth="1"/>
    <col min="15117" max="15117" width="10.28515625" style="1" customWidth="1"/>
    <col min="15118" max="15119" width="9.7109375" style="1" customWidth="1"/>
    <col min="15120" max="15120" width="10.42578125" style="1" customWidth="1"/>
    <col min="15121" max="15121" width="10.42578125" style="1" bestFit="1" customWidth="1"/>
    <col min="15122" max="15122" width="16.28515625" style="1" customWidth="1"/>
    <col min="15123" max="15123" width="15.140625" style="1" customWidth="1"/>
    <col min="15124" max="15124" width="13.5703125" style="1" customWidth="1"/>
    <col min="15125" max="15125" width="10.5703125" style="1" customWidth="1"/>
    <col min="15126" max="15126" width="10.85546875" style="1" customWidth="1"/>
    <col min="15127" max="15127" width="18" style="1" customWidth="1"/>
    <col min="15128" max="15128" width="20.85546875" style="1" customWidth="1"/>
    <col min="15129" max="15129" width="13.5703125" style="1" customWidth="1"/>
    <col min="15130" max="15130" width="14.140625" style="1" customWidth="1"/>
    <col min="15131" max="15133" width="8.85546875" style="1" customWidth="1"/>
    <col min="15134" max="15134" width="9.28515625" style="1" customWidth="1"/>
    <col min="15135" max="15135" width="14" style="1" customWidth="1"/>
    <col min="15136" max="15137" width="8.85546875" style="1" customWidth="1"/>
    <col min="15138" max="15138" width="10.140625" style="1" customWidth="1"/>
    <col min="15139" max="15140" width="9.5703125" style="1" customWidth="1"/>
    <col min="15141" max="15141" width="9.85546875" style="1" customWidth="1"/>
    <col min="15142" max="15143" width="10.140625" style="1" customWidth="1"/>
    <col min="15144" max="15146" width="9.28515625" style="1" customWidth="1"/>
    <col min="15147" max="15147" width="9.85546875" style="1" customWidth="1"/>
    <col min="15148" max="15149" width="8.5703125" style="1" customWidth="1"/>
    <col min="15150" max="15152" width="8.85546875" style="1" customWidth="1"/>
    <col min="15153" max="15153" width="9.28515625" style="1" customWidth="1"/>
    <col min="15154" max="15155" width="8.85546875" style="1" customWidth="1"/>
    <col min="15156" max="15156" width="10" style="1" customWidth="1"/>
    <col min="15157" max="15158" width="8.85546875" style="1" customWidth="1"/>
    <col min="15159" max="15159" width="11" style="1" customWidth="1"/>
    <col min="15160" max="15161" width="9.5703125" style="1" customWidth="1"/>
    <col min="15162" max="15164" width="8.85546875" style="1" customWidth="1"/>
    <col min="15165" max="15165" width="10.42578125" style="1" customWidth="1"/>
    <col min="15166" max="15167" width="8.85546875" style="1" customWidth="1"/>
    <col min="15168" max="15168" width="9.7109375" style="1" customWidth="1"/>
    <col min="15169" max="15170" width="8.85546875" style="1" customWidth="1"/>
    <col min="15171" max="15171" width="9.28515625" style="1" customWidth="1"/>
    <col min="15172" max="15192" width="8.85546875" style="1" customWidth="1"/>
    <col min="15193" max="15193" width="9.85546875" style="1" customWidth="1"/>
    <col min="15194" max="15194" width="8.85546875" style="1" customWidth="1"/>
    <col min="15195" max="15195" width="10" style="1" customWidth="1"/>
    <col min="15196" max="15212" width="8.85546875" style="1" customWidth="1"/>
    <col min="15213" max="15213" width="9.42578125" style="1" customWidth="1"/>
    <col min="15214" max="15214" width="8.85546875" style="1" customWidth="1"/>
    <col min="15215" max="15215" width="12" style="1" customWidth="1"/>
    <col min="15216" max="15216" width="11.140625" style="1" customWidth="1"/>
    <col min="15217" max="15217" width="28.7109375" style="1" customWidth="1"/>
    <col min="15218" max="15218" width="5.85546875" style="1" customWidth="1"/>
    <col min="15219" max="15368" width="9.140625" style="1"/>
    <col min="15369" max="15369" width="3.42578125" style="1" customWidth="1"/>
    <col min="15370" max="15370" width="27.85546875" style="1" customWidth="1"/>
    <col min="15371" max="15371" width="11.85546875" style="1" customWidth="1"/>
    <col min="15372" max="15372" width="15.140625" style="1" customWidth="1"/>
    <col min="15373" max="15373" width="10.28515625" style="1" customWidth="1"/>
    <col min="15374" max="15375" width="9.7109375" style="1" customWidth="1"/>
    <col min="15376" max="15376" width="10.42578125" style="1" customWidth="1"/>
    <col min="15377" max="15377" width="10.42578125" style="1" bestFit="1" customWidth="1"/>
    <col min="15378" max="15378" width="16.28515625" style="1" customWidth="1"/>
    <col min="15379" max="15379" width="15.140625" style="1" customWidth="1"/>
    <col min="15380" max="15380" width="13.5703125" style="1" customWidth="1"/>
    <col min="15381" max="15381" width="10.5703125" style="1" customWidth="1"/>
    <col min="15382" max="15382" width="10.85546875" style="1" customWidth="1"/>
    <col min="15383" max="15383" width="18" style="1" customWidth="1"/>
    <col min="15384" max="15384" width="20.85546875" style="1" customWidth="1"/>
    <col min="15385" max="15385" width="13.5703125" style="1" customWidth="1"/>
    <col min="15386" max="15386" width="14.140625" style="1" customWidth="1"/>
    <col min="15387" max="15389" width="8.85546875" style="1" customWidth="1"/>
    <col min="15390" max="15390" width="9.28515625" style="1" customWidth="1"/>
    <col min="15391" max="15391" width="14" style="1" customWidth="1"/>
    <col min="15392" max="15393" width="8.85546875" style="1" customWidth="1"/>
    <col min="15394" max="15394" width="10.140625" style="1" customWidth="1"/>
    <col min="15395" max="15396" width="9.5703125" style="1" customWidth="1"/>
    <col min="15397" max="15397" width="9.85546875" style="1" customWidth="1"/>
    <col min="15398" max="15399" width="10.140625" style="1" customWidth="1"/>
    <col min="15400" max="15402" width="9.28515625" style="1" customWidth="1"/>
    <col min="15403" max="15403" width="9.85546875" style="1" customWidth="1"/>
    <col min="15404" max="15405" width="8.5703125" style="1" customWidth="1"/>
    <col min="15406" max="15408" width="8.85546875" style="1" customWidth="1"/>
    <col min="15409" max="15409" width="9.28515625" style="1" customWidth="1"/>
    <col min="15410" max="15411" width="8.85546875" style="1" customWidth="1"/>
    <col min="15412" max="15412" width="10" style="1" customWidth="1"/>
    <col min="15413" max="15414" width="8.85546875" style="1" customWidth="1"/>
    <col min="15415" max="15415" width="11" style="1" customWidth="1"/>
    <col min="15416" max="15417" width="9.5703125" style="1" customWidth="1"/>
    <col min="15418" max="15420" width="8.85546875" style="1" customWidth="1"/>
    <col min="15421" max="15421" width="10.42578125" style="1" customWidth="1"/>
    <col min="15422" max="15423" width="8.85546875" style="1" customWidth="1"/>
    <col min="15424" max="15424" width="9.7109375" style="1" customWidth="1"/>
    <col min="15425" max="15426" width="8.85546875" style="1" customWidth="1"/>
    <col min="15427" max="15427" width="9.28515625" style="1" customWidth="1"/>
    <col min="15428" max="15448" width="8.85546875" style="1" customWidth="1"/>
    <col min="15449" max="15449" width="9.85546875" style="1" customWidth="1"/>
    <col min="15450" max="15450" width="8.85546875" style="1" customWidth="1"/>
    <col min="15451" max="15451" width="10" style="1" customWidth="1"/>
    <col min="15452" max="15468" width="8.85546875" style="1" customWidth="1"/>
    <col min="15469" max="15469" width="9.42578125" style="1" customWidth="1"/>
    <col min="15470" max="15470" width="8.85546875" style="1" customWidth="1"/>
    <col min="15471" max="15471" width="12" style="1" customWidth="1"/>
    <col min="15472" max="15472" width="11.140625" style="1" customWidth="1"/>
    <col min="15473" max="15473" width="28.7109375" style="1" customWidth="1"/>
    <col min="15474" max="15474" width="5.85546875" style="1" customWidth="1"/>
    <col min="15475" max="15624" width="9.140625" style="1"/>
    <col min="15625" max="15625" width="3.42578125" style="1" customWidth="1"/>
    <col min="15626" max="15626" width="27.85546875" style="1" customWidth="1"/>
    <col min="15627" max="15627" width="11.85546875" style="1" customWidth="1"/>
    <col min="15628" max="15628" width="15.140625" style="1" customWidth="1"/>
    <col min="15629" max="15629" width="10.28515625" style="1" customWidth="1"/>
    <col min="15630" max="15631" width="9.7109375" style="1" customWidth="1"/>
    <col min="15632" max="15632" width="10.42578125" style="1" customWidth="1"/>
    <col min="15633" max="15633" width="10.42578125" style="1" bestFit="1" customWidth="1"/>
    <col min="15634" max="15634" width="16.28515625" style="1" customWidth="1"/>
    <col min="15635" max="15635" width="15.140625" style="1" customWidth="1"/>
    <col min="15636" max="15636" width="13.5703125" style="1" customWidth="1"/>
    <col min="15637" max="15637" width="10.5703125" style="1" customWidth="1"/>
    <col min="15638" max="15638" width="10.85546875" style="1" customWidth="1"/>
    <col min="15639" max="15639" width="18" style="1" customWidth="1"/>
    <col min="15640" max="15640" width="20.85546875" style="1" customWidth="1"/>
    <col min="15641" max="15641" width="13.5703125" style="1" customWidth="1"/>
    <col min="15642" max="15642" width="14.140625" style="1" customWidth="1"/>
    <col min="15643" max="15645" width="8.85546875" style="1" customWidth="1"/>
    <col min="15646" max="15646" width="9.28515625" style="1" customWidth="1"/>
    <col min="15647" max="15647" width="14" style="1" customWidth="1"/>
    <col min="15648" max="15649" width="8.85546875" style="1" customWidth="1"/>
    <col min="15650" max="15650" width="10.140625" style="1" customWidth="1"/>
    <col min="15651" max="15652" width="9.5703125" style="1" customWidth="1"/>
    <col min="15653" max="15653" width="9.85546875" style="1" customWidth="1"/>
    <col min="15654" max="15655" width="10.140625" style="1" customWidth="1"/>
    <col min="15656" max="15658" width="9.28515625" style="1" customWidth="1"/>
    <col min="15659" max="15659" width="9.85546875" style="1" customWidth="1"/>
    <col min="15660" max="15661" width="8.5703125" style="1" customWidth="1"/>
    <col min="15662" max="15664" width="8.85546875" style="1" customWidth="1"/>
    <col min="15665" max="15665" width="9.28515625" style="1" customWidth="1"/>
    <col min="15666" max="15667" width="8.85546875" style="1" customWidth="1"/>
    <col min="15668" max="15668" width="10" style="1" customWidth="1"/>
    <col min="15669" max="15670" width="8.85546875" style="1" customWidth="1"/>
    <col min="15671" max="15671" width="11" style="1" customWidth="1"/>
    <col min="15672" max="15673" width="9.5703125" style="1" customWidth="1"/>
    <col min="15674" max="15676" width="8.85546875" style="1" customWidth="1"/>
    <col min="15677" max="15677" width="10.42578125" style="1" customWidth="1"/>
    <col min="15678" max="15679" width="8.85546875" style="1" customWidth="1"/>
    <col min="15680" max="15680" width="9.7109375" style="1" customWidth="1"/>
    <col min="15681" max="15682" width="8.85546875" style="1" customWidth="1"/>
    <col min="15683" max="15683" width="9.28515625" style="1" customWidth="1"/>
    <col min="15684" max="15704" width="8.85546875" style="1" customWidth="1"/>
    <col min="15705" max="15705" width="9.85546875" style="1" customWidth="1"/>
    <col min="15706" max="15706" width="8.85546875" style="1" customWidth="1"/>
    <col min="15707" max="15707" width="10" style="1" customWidth="1"/>
    <col min="15708" max="15724" width="8.85546875" style="1" customWidth="1"/>
    <col min="15725" max="15725" width="9.42578125" style="1" customWidth="1"/>
    <col min="15726" max="15726" width="8.85546875" style="1" customWidth="1"/>
    <col min="15727" max="15727" width="12" style="1" customWidth="1"/>
    <col min="15728" max="15728" width="11.140625" style="1" customWidth="1"/>
    <col min="15729" max="15729" width="28.7109375" style="1" customWidth="1"/>
    <col min="15730" max="15730" width="5.85546875" style="1" customWidth="1"/>
    <col min="15731" max="15880" width="9.140625" style="1"/>
    <col min="15881" max="15881" width="3.42578125" style="1" customWidth="1"/>
    <col min="15882" max="15882" width="27.85546875" style="1" customWidth="1"/>
    <col min="15883" max="15883" width="11.85546875" style="1" customWidth="1"/>
    <col min="15884" max="15884" width="15.140625" style="1" customWidth="1"/>
    <col min="15885" max="15885" width="10.28515625" style="1" customWidth="1"/>
    <col min="15886" max="15887" width="9.7109375" style="1" customWidth="1"/>
    <col min="15888" max="15888" width="10.42578125" style="1" customWidth="1"/>
    <col min="15889" max="15889" width="10.42578125" style="1" bestFit="1" customWidth="1"/>
    <col min="15890" max="15890" width="16.28515625" style="1" customWidth="1"/>
    <col min="15891" max="15891" width="15.140625" style="1" customWidth="1"/>
    <col min="15892" max="15892" width="13.5703125" style="1" customWidth="1"/>
    <col min="15893" max="15893" width="10.5703125" style="1" customWidth="1"/>
    <col min="15894" max="15894" width="10.85546875" style="1" customWidth="1"/>
    <col min="15895" max="15895" width="18" style="1" customWidth="1"/>
    <col min="15896" max="15896" width="20.85546875" style="1" customWidth="1"/>
    <col min="15897" max="15897" width="13.5703125" style="1" customWidth="1"/>
    <col min="15898" max="15898" width="14.140625" style="1" customWidth="1"/>
    <col min="15899" max="15901" width="8.85546875" style="1" customWidth="1"/>
    <col min="15902" max="15902" width="9.28515625" style="1" customWidth="1"/>
    <col min="15903" max="15903" width="14" style="1" customWidth="1"/>
    <col min="15904" max="15905" width="8.85546875" style="1" customWidth="1"/>
    <col min="15906" max="15906" width="10.140625" style="1" customWidth="1"/>
    <col min="15907" max="15908" width="9.5703125" style="1" customWidth="1"/>
    <col min="15909" max="15909" width="9.85546875" style="1" customWidth="1"/>
    <col min="15910" max="15911" width="10.140625" style="1" customWidth="1"/>
    <col min="15912" max="15914" width="9.28515625" style="1" customWidth="1"/>
    <col min="15915" max="15915" width="9.85546875" style="1" customWidth="1"/>
    <col min="15916" max="15917" width="8.5703125" style="1" customWidth="1"/>
    <col min="15918" max="15920" width="8.85546875" style="1" customWidth="1"/>
    <col min="15921" max="15921" width="9.28515625" style="1" customWidth="1"/>
    <col min="15922" max="15923" width="8.85546875" style="1" customWidth="1"/>
    <col min="15924" max="15924" width="10" style="1" customWidth="1"/>
    <col min="15925" max="15926" width="8.85546875" style="1" customWidth="1"/>
    <col min="15927" max="15927" width="11" style="1" customWidth="1"/>
    <col min="15928" max="15929" width="9.5703125" style="1" customWidth="1"/>
    <col min="15930" max="15932" width="8.85546875" style="1" customWidth="1"/>
    <col min="15933" max="15933" width="10.42578125" style="1" customWidth="1"/>
    <col min="15934" max="15935" width="8.85546875" style="1" customWidth="1"/>
    <col min="15936" max="15936" width="9.7109375" style="1" customWidth="1"/>
    <col min="15937" max="15938" width="8.85546875" style="1" customWidth="1"/>
    <col min="15939" max="15939" width="9.28515625" style="1" customWidth="1"/>
    <col min="15940" max="15960" width="8.85546875" style="1" customWidth="1"/>
    <col min="15961" max="15961" width="9.85546875" style="1" customWidth="1"/>
    <col min="15962" max="15962" width="8.85546875" style="1" customWidth="1"/>
    <col min="15963" max="15963" width="10" style="1" customWidth="1"/>
    <col min="15964" max="15980" width="8.85546875" style="1" customWidth="1"/>
    <col min="15981" max="15981" width="9.42578125" style="1" customWidth="1"/>
    <col min="15982" max="15982" width="8.85546875" style="1" customWidth="1"/>
    <col min="15983" max="15983" width="12" style="1" customWidth="1"/>
    <col min="15984" max="15984" width="11.140625" style="1" customWidth="1"/>
    <col min="15985" max="15985" width="28.7109375" style="1" customWidth="1"/>
    <col min="15986" max="15986" width="5.85546875" style="1" customWidth="1"/>
    <col min="15987" max="16136" width="9.140625" style="1"/>
    <col min="16137" max="16137" width="3.42578125" style="1" customWidth="1"/>
    <col min="16138" max="16138" width="27.85546875" style="1" customWidth="1"/>
    <col min="16139" max="16139" width="11.85546875" style="1" customWidth="1"/>
    <col min="16140" max="16140" width="15.140625" style="1" customWidth="1"/>
    <col min="16141" max="16141" width="10.28515625" style="1" customWidth="1"/>
    <col min="16142" max="16143" width="9.7109375" style="1" customWidth="1"/>
    <col min="16144" max="16144" width="10.42578125" style="1" customWidth="1"/>
    <col min="16145" max="16145" width="10.42578125" style="1" bestFit="1" customWidth="1"/>
    <col min="16146" max="16146" width="16.28515625" style="1" customWidth="1"/>
    <col min="16147" max="16147" width="15.140625" style="1" customWidth="1"/>
    <col min="16148" max="16148" width="13.5703125" style="1" customWidth="1"/>
    <col min="16149" max="16149" width="10.5703125" style="1" customWidth="1"/>
    <col min="16150" max="16150" width="10.85546875" style="1" customWidth="1"/>
    <col min="16151" max="16151" width="18" style="1" customWidth="1"/>
    <col min="16152" max="16152" width="20.85546875" style="1" customWidth="1"/>
    <col min="16153" max="16153" width="13.5703125" style="1" customWidth="1"/>
    <col min="16154" max="16154" width="14.140625" style="1" customWidth="1"/>
    <col min="16155" max="16157" width="8.85546875" style="1" customWidth="1"/>
    <col min="16158" max="16158" width="9.28515625" style="1" customWidth="1"/>
    <col min="16159" max="16159" width="14" style="1" customWidth="1"/>
    <col min="16160" max="16161" width="8.85546875" style="1" customWidth="1"/>
    <col min="16162" max="16162" width="10.140625" style="1" customWidth="1"/>
    <col min="16163" max="16164" width="9.5703125" style="1" customWidth="1"/>
    <col min="16165" max="16165" width="9.85546875" style="1" customWidth="1"/>
    <col min="16166" max="16167" width="10.140625" style="1" customWidth="1"/>
    <col min="16168" max="16170" width="9.28515625" style="1" customWidth="1"/>
    <col min="16171" max="16171" width="9.85546875" style="1" customWidth="1"/>
    <col min="16172" max="16173" width="8.5703125" style="1" customWidth="1"/>
    <col min="16174" max="16176" width="8.85546875" style="1" customWidth="1"/>
    <col min="16177" max="16177" width="9.28515625" style="1" customWidth="1"/>
    <col min="16178" max="16179" width="8.85546875" style="1" customWidth="1"/>
    <col min="16180" max="16180" width="10" style="1" customWidth="1"/>
    <col min="16181" max="16182" width="8.85546875" style="1" customWidth="1"/>
    <col min="16183" max="16183" width="11" style="1" customWidth="1"/>
    <col min="16184" max="16185" width="9.5703125" style="1" customWidth="1"/>
    <col min="16186" max="16188" width="8.85546875" style="1" customWidth="1"/>
    <col min="16189" max="16189" width="10.42578125" style="1" customWidth="1"/>
    <col min="16190" max="16191" width="8.85546875" style="1" customWidth="1"/>
    <col min="16192" max="16192" width="9.7109375" style="1" customWidth="1"/>
    <col min="16193" max="16194" width="8.85546875" style="1" customWidth="1"/>
    <col min="16195" max="16195" width="9.28515625" style="1" customWidth="1"/>
    <col min="16196" max="16216" width="8.85546875" style="1" customWidth="1"/>
    <col min="16217" max="16217" width="9.85546875" style="1" customWidth="1"/>
    <col min="16218" max="16218" width="8.85546875" style="1" customWidth="1"/>
    <col min="16219" max="16219" width="10" style="1" customWidth="1"/>
    <col min="16220" max="16236" width="8.85546875" style="1" customWidth="1"/>
    <col min="16237" max="16237" width="9.42578125" style="1" customWidth="1"/>
    <col min="16238" max="16238" width="8.85546875" style="1" customWidth="1"/>
    <col min="16239" max="16239" width="12" style="1" customWidth="1"/>
    <col min="16240" max="16240" width="11.140625" style="1" customWidth="1"/>
    <col min="16241" max="16241" width="28.7109375" style="1" customWidth="1"/>
    <col min="16242" max="16242" width="5.85546875" style="1" customWidth="1"/>
    <col min="16243" max="16384" width="9.140625" style="1"/>
  </cols>
  <sheetData>
    <row r="1" spans="1:114">
      <c r="W1" s="869"/>
      <c r="X1" s="869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846"/>
      <c r="AL1" s="847"/>
      <c r="AM1" s="847"/>
      <c r="AN1" s="847"/>
      <c r="AO1" s="847"/>
      <c r="AP1" s="847"/>
      <c r="AQ1" s="847"/>
      <c r="AR1" s="847"/>
      <c r="AS1" s="847"/>
      <c r="AT1" s="847"/>
      <c r="AU1" s="847"/>
      <c r="AV1" s="847"/>
      <c r="AW1" s="847"/>
      <c r="AX1" s="847"/>
      <c r="AY1" s="847"/>
      <c r="AZ1" s="847"/>
      <c r="BA1" s="847"/>
      <c r="BB1" s="847"/>
      <c r="BC1" s="847"/>
      <c r="BD1" s="847"/>
      <c r="BE1" s="847"/>
      <c r="BF1" s="847"/>
      <c r="BG1" s="847"/>
      <c r="BH1" s="847"/>
      <c r="BI1" s="847"/>
      <c r="BJ1" s="847"/>
      <c r="BK1" s="847"/>
      <c r="BL1" s="847"/>
      <c r="BM1" s="847"/>
      <c r="BN1" s="847"/>
      <c r="BO1" s="847"/>
      <c r="BP1" s="847"/>
      <c r="BQ1" s="847"/>
      <c r="BR1" s="847"/>
      <c r="BS1" s="847"/>
      <c r="BT1" s="847"/>
      <c r="BU1" s="847"/>
      <c r="BV1" s="847"/>
      <c r="BW1" s="847"/>
      <c r="BX1" s="847"/>
      <c r="BY1" s="847"/>
      <c r="BZ1" s="847"/>
      <c r="CA1" s="847"/>
      <c r="CB1" s="847"/>
      <c r="CC1" s="847"/>
      <c r="CD1" s="847"/>
      <c r="CE1" s="847"/>
      <c r="CF1" s="847"/>
      <c r="CG1" s="847"/>
      <c r="CH1" s="847"/>
      <c r="CI1" s="847"/>
      <c r="CJ1" s="847"/>
      <c r="CK1" s="847"/>
      <c r="CL1" s="847"/>
      <c r="CM1" s="847"/>
      <c r="CN1" s="847"/>
      <c r="CO1" s="847"/>
      <c r="CP1" s="847"/>
      <c r="CQ1" s="847"/>
      <c r="CR1" s="847"/>
      <c r="CS1" s="847"/>
      <c r="CT1" s="847"/>
      <c r="CU1" s="847"/>
      <c r="CV1" s="847"/>
      <c r="CW1" s="847"/>
      <c r="CX1" s="847"/>
      <c r="CY1" s="847"/>
      <c r="CZ1" s="847"/>
      <c r="DA1" s="847"/>
      <c r="DB1" s="847"/>
      <c r="DC1" s="847"/>
      <c r="DD1" s="847"/>
      <c r="DE1" s="847"/>
      <c r="DF1" s="847"/>
      <c r="DG1" s="847"/>
      <c r="DH1" s="847"/>
      <c r="DI1" s="847"/>
      <c r="DJ1" s="847"/>
    </row>
    <row r="2" spans="1:114" ht="18.75"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AK2" s="847"/>
      <c r="AL2" s="847"/>
      <c r="AM2" s="847"/>
      <c r="AN2" s="847"/>
      <c r="AO2" s="847"/>
      <c r="AP2" s="847"/>
      <c r="AQ2" s="847"/>
      <c r="AR2" s="847"/>
      <c r="AS2" s="847"/>
      <c r="AT2" s="847"/>
      <c r="AU2" s="847"/>
      <c r="AV2" s="847"/>
      <c r="AW2" s="847"/>
      <c r="AX2" s="847"/>
      <c r="AY2" s="847"/>
      <c r="AZ2" s="847"/>
      <c r="BA2" s="847"/>
      <c r="BB2" s="847"/>
      <c r="BC2" s="847"/>
      <c r="BD2" s="847"/>
      <c r="BE2" s="847"/>
      <c r="BF2" s="847"/>
      <c r="BG2" s="847"/>
      <c r="BH2" s="847"/>
      <c r="BI2" s="847"/>
      <c r="BJ2" s="847"/>
      <c r="BK2" s="847"/>
      <c r="BL2" s="847"/>
      <c r="BM2" s="847"/>
      <c r="BN2" s="847"/>
      <c r="BO2" s="847"/>
      <c r="BP2" s="847"/>
      <c r="BQ2" s="847"/>
      <c r="BR2" s="847"/>
      <c r="BS2" s="847"/>
      <c r="BT2" s="847"/>
      <c r="BU2" s="847"/>
      <c r="BV2" s="847"/>
      <c r="BW2" s="847"/>
      <c r="BX2" s="847"/>
      <c r="BY2" s="847"/>
      <c r="BZ2" s="847"/>
      <c r="CA2" s="847"/>
      <c r="CB2" s="847"/>
      <c r="CC2" s="847"/>
      <c r="CD2" s="847"/>
      <c r="CE2" s="847"/>
      <c r="CF2" s="847"/>
      <c r="CG2" s="847"/>
      <c r="CH2" s="847"/>
      <c r="CI2" s="847"/>
      <c r="CJ2" s="847"/>
      <c r="CK2" s="847"/>
      <c r="CL2" s="847"/>
      <c r="CM2" s="847"/>
      <c r="CN2" s="847"/>
      <c r="CO2" s="847"/>
      <c r="CP2" s="847"/>
      <c r="CQ2" s="847"/>
      <c r="CR2" s="847"/>
      <c r="CS2" s="847"/>
      <c r="CT2" s="847"/>
      <c r="CU2" s="847"/>
      <c r="CV2" s="847"/>
      <c r="CW2" s="847"/>
      <c r="CX2" s="847"/>
      <c r="CY2" s="847"/>
      <c r="CZ2" s="847"/>
      <c r="DA2" s="847"/>
      <c r="DB2" s="847"/>
      <c r="DC2" s="847"/>
      <c r="DD2" s="847"/>
      <c r="DE2" s="847"/>
      <c r="DF2" s="847"/>
      <c r="DG2" s="847"/>
      <c r="DH2" s="847"/>
      <c r="DI2" s="847"/>
      <c r="DJ2" s="847"/>
    </row>
    <row r="3" spans="1:114" ht="19.5" thickBot="1">
      <c r="A3" s="850"/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C3" s="254"/>
      <c r="AD3" s="254"/>
      <c r="AE3" s="254"/>
      <c r="AF3" s="13"/>
      <c r="AG3" s="13"/>
      <c r="AH3" s="13"/>
      <c r="AI3" s="13"/>
      <c r="AJ3" s="13"/>
      <c r="AK3" s="847"/>
      <c r="AL3" s="847"/>
      <c r="AM3" s="847"/>
      <c r="AN3" s="847"/>
      <c r="AO3" s="847"/>
      <c r="AP3" s="847"/>
      <c r="AQ3" s="847"/>
      <c r="AR3" s="847"/>
      <c r="AS3" s="847"/>
      <c r="AT3" s="847"/>
      <c r="AU3" s="847"/>
      <c r="AV3" s="847"/>
      <c r="AW3" s="847"/>
      <c r="AX3" s="847"/>
      <c r="AY3" s="847"/>
      <c r="AZ3" s="847"/>
      <c r="BA3" s="847"/>
      <c r="BB3" s="847"/>
      <c r="BC3" s="847"/>
      <c r="BD3" s="847"/>
      <c r="BE3" s="847"/>
      <c r="BF3" s="847"/>
      <c r="BG3" s="847"/>
      <c r="BH3" s="847"/>
      <c r="BI3" s="847"/>
      <c r="BJ3" s="847"/>
      <c r="BK3" s="847"/>
      <c r="BL3" s="847"/>
      <c r="BM3" s="847"/>
      <c r="BN3" s="847"/>
      <c r="BO3" s="847"/>
      <c r="BP3" s="847"/>
      <c r="BQ3" s="847"/>
      <c r="BR3" s="847"/>
      <c r="BS3" s="847"/>
      <c r="BT3" s="847"/>
      <c r="BU3" s="847"/>
      <c r="BV3" s="847"/>
      <c r="BW3" s="847"/>
      <c r="BX3" s="847"/>
      <c r="BY3" s="847"/>
      <c r="BZ3" s="847"/>
      <c r="CA3" s="847"/>
      <c r="CB3" s="847"/>
      <c r="CC3" s="847"/>
      <c r="CD3" s="847"/>
      <c r="CE3" s="847"/>
      <c r="CF3" s="847"/>
      <c r="CG3" s="847"/>
      <c r="CH3" s="847"/>
      <c r="CI3" s="847"/>
      <c r="CJ3" s="847"/>
      <c r="CK3" s="847"/>
      <c r="CL3" s="847"/>
      <c r="CM3" s="847"/>
      <c r="CN3" s="847"/>
      <c r="CO3" s="847"/>
      <c r="CP3" s="847"/>
      <c r="CQ3" s="847"/>
      <c r="CR3" s="847"/>
      <c r="CS3" s="847"/>
      <c r="CT3" s="847"/>
      <c r="CU3" s="847"/>
      <c r="CV3" s="847"/>
      <c r="CW3" s="847"/>
      <c r="CX3" s="847"/>
      <c r="CY3" s="847"/>
      <c r="CZ3" s="847"/>
      <c r="DA3" s="847"/>
      <c r="DB3" s="847"/>
      <c r="DC3" s="847"/>
      <c r="DD3" s="847"/>
      <c r="DE3" s="847"/>
      <c r="DF3" s="847"/>
      <c r="DG3" s="847"/>
      <c r="DH3" s="847"/>
      <c r="DI3" s="847"/>
      <c r="DJ3" s="847"/>
    </row>
    <row r="4" spans="1:114" ht="24.75" customHeight="1">
      <c r="A4" s="913" t="s">
        <v>23</v>
      </c>
      <c r="B4" s="916" t="s">
        <v>0</v>
      </c>
      <c r="C4" s="919" t="s">
        <v>29</v>
      </c>
      <c r="D4" s="861" t="s">
        <v>30</v>
      </c>
      <c r="E4" s="854" t="s">
        <v>24</v>
      </c>
      <c r="F4" s="854"/>
      <c r="G4" s="854"/>
      <c r="H4" s="854"/>
      <c r="I4" s="854"/>
      <c r="J4" s="854"/>
      <c r="K4" s="854"/>
      <c r="L4" s="854" t="s">
        <v>25</v>
      </c>
      <c r="M4" s="854"/>
      <c r="N4" s="854"/>
      <c r="O4" s="854"/>
      <c r="P4" s="854"/>
      <c r="Q4" s="854"/>
      <c r="R4" s="854"/>
      <c r="S4" s="854"/>
      <c r="T4" s="854"/>
      <c r="U4" s="854"/>
      <c r="V4" s="854"/>
      <c r="W4" s="854" t="s">
        <v>26</v>
      </c>
      <c r="X4" s="855"/>
      <c r="Y4" s="854" t="s">
        <v>27</v>
      </c>
      <c r="Z4" s="855"/>
      <c r="AA4" s="870"/>
      <c r="AB4" s="871"/>
      <c r="AC4" s="873" t="s">
        <v>28</v>
      </c>
      <c r="AD4" s="874"/>
      <c r="AE4" s="875"/>
      <c r="AF4" s="871"/>
      <c r="AG4" s="871"/>
      <c r="AH4" s="871"/>
      <c r="AI4" s="683"/>
      <c r="AJ4" s="922" t="s">
        <v>74</v>
      </c>
      <c r="AK4" s="847"/>
      <c r="AL4" s="847"/>
      <c r="AM4" s="847"/>
      <c r="AN4" s="847"/>
      <c r="AO4" s="847"/>
      <c r="AP4" s="847"/>
      <c r="AQ4" s="847"/>
      <c r="AR4" s="847"/>
      <c r="AS4" s="847"/>
      <c r="AT4" s="847"/>
      <c r="AU4" s="847"/>
      <c r="AV4" s="847"/>
      <c r="AW4" s="847"/>
      <c r="AX4" s="847"/>
      <c r="AY4" s="847"/>
      <c r="AZ4" s="847"/>
      <c r="BA4" s="847"/>
      <c r="BB4" s="847"/>
      <c r="BC4" s="847"/>
      <c r="BD4" s="847"/>
      <c r="BE4" s="847"/>
      <c r="BF4" s="847"/>
      <c r="BG4" s="847"/>
      <c r="BH4" s="847"/>
      <c r="BI4" s="847"/>
      <c r="BJ4" s="847"/>
      <c r="BK4" s="847"/>
      <c r="BL4" s="847"/>
      <c r="BM4" s="847"/>
      <c r="BN4" s="847"/>
      <c r="BO4" s="847"/>
      <c r="BP4" s="847"/>
      <c r="BQ4" s="847"/>
      <c r="BR4" s="847"/>
      <c r="BS4" s="847"/>
      <c r="BT4" s="847"/>
      <c r="BU4" s="847"/>
      <c r="BV4" s="847"/>
      <c r="BW4" s="847"/>
      <c r="BX4" s="847"/>
      <c r="BY4" s="847"/>
      <c r="BZ4" s="847"/>
      <c r="CA4" s="847"/>
      <c r="CB4" s="847"/>
      <c r="CC4" s="847"/>
      <c r="CD4" s="847"/>
      <c r="CE4" s="847"/>
      <c r="CF4" s="847"/>
      <c r="CG4" s="847"/>
      <c r="CH4" s="847"/>
      <c r="CI4" s="847"/>
      <c r="CJ4" s="847"/>
      <c r="CK4" s="847"/>
      <c r="CL4" s="847"/>
      <c r="CM4" s="847"/>
      <c r="CN4" s="847"/>
      <c r="CO4" s="847"/>
      <c r="CP4" s="847"/>
      <c r="CQ4" s="847"/>
      <c r="CR4" s="847"/>
      <c r="CS4" s="847"/>
      <c r="CT4" s="847"/>
      <c r="CU4" s="847"/>
      <c r="CV4" s="847"/>
      <c r="CW4" s="847"/>
      <c r="CX4" s="847"/>
      <c r="CY4" s="847"/>
      <c r="CZ4" s="847"/>
      <c r="DA4" s="847"/>
      <c r="DB4" s="847"/>
      <c r="DC4" s="847"/>
      <c r="DD4" s="847"/>
      <c r="DE4" s="847"/>
      <c r="DF4" s="847"/>
      <c r="DG4" s="847"/>
      <c r="DH4" s="847"/>
      <c r="DI4" s="847"/>
      <c r="DJ4" s="847"/>
    </row>
    <row r="5" spans="1:114" ht="9" customHeight="1" thickBot="1">
      <c r="A5" s="914"/>
      <c r="B5" s="917"/>
      <c r="C5" s="920"/>
      <c r="D5" s="841"/>
      <c r="E5" s="864"/>
      <c r="F5" s="864"/>
      <c r="G5" s="864"/>
      <c r="H5" s="864"/>
      <c r="I5" s="864"/>
      <c r="J5" s="864"/>
      <c r="K5" s="864"/>
      <c r="L5" s="841" t="s">
        <v>1</v>
      </c>
      <c r="M5" s="841"/>
      <c r="N5" s="841"/>
      <c r="O5" s="841" t="s">
        <v>2</v>
      </c>
      <c r="P5" s="841" t="s">
        <v>33</v>
      </c>
      <c r="Q5" s="841" t="s">
        <v>34</v>
      </c>
      <c r="R5" s="841" t="s">
        <v>35</v>
      </c>
      <c r="S5" s="841" t="s">
        <v>36</v>
      </c>
      <c r="T5" s="841" t="s">
        <v>37</v>
      </c>
      <c r="U5" s="841" t="s">
        <v>38</v>
      </c>
      <c r="V5" s="841" t="s">
        <v>39</v>
      </c>
      <c r="W5" s="856"/>
      <c r="X5" s="856"/>
      <c r="Y5" s="856"/>
      <c r="Z5" s="856"/>
      <c r="AA5" s="872"/>
      <c r="AB5" s="843"/>
      <c r="AC5" s="877"/>
      <c r="AD5" s="877"/>
      <c r="AE5" s="878"/>
      <c r="AF5" s="843"/>
      <c r="AG5" s="843"/>
      <c r="AH5" s="843"/>
      <c r="AI5" s="679"/>
      <c r="AJ5" s="923"/>
      <c r="AK5" s="847"/>
      <c r="AL5" s="847"/>
      <c r="AM5" s="847"/>
      <c r="AN5" s="847"/>
      <c r="AO5" s="847"/>
      <c r="AP5" s="847"/>
      <c r="AQ5" s="847"/>
      <c r="AR5" s="847"/>
      <c r="AS5" s="847"/>
      <c r="AT5" s="847"/>
      <c r="AU5" s="847"/>
      <c r="AV5" s="847"/>
      <c r="AW5" s="847"/>
      <c r="AX5" s="847"/>
      <c r="AY5" s="847"/>
      <c r="AZ5" s="847"/>
      <c r="BA5" s="847"/>
      <c r="BB5" s="847"/>
      <c r="BC5" s="847"/>
      <c r="BD5" s="847"/>
      <c r="BE5" s="847"/>
      <c r="BF5" s="847"/>
      <c r="BG5" s="847"/>
      <c r="BH5" s="847"/>
      <c r="BI5" s="847"/>
      <c r="BJ5" s="847"/>
      <c r="BK5" s="847"/>
      <c r="BL5" s="847"/>
      <c r="BM5" s="847"/>
      <c r="BN5" s="847"/>
      <c r="BO5" s="847"/>
      <c r="BP5" s="847"/>
      <c r="BQ5" s="847"/>
      <c r="BR5" s="847"/>
      <c r="BS5" s="847"/>
      <c r="BT5" s="847"/>
      <c r="BU5" s="847"/>
      <c r="BV5" s="847"/>
      <c r="BW5" s="847"/>
      <c r="BX5" s="847"/>
      <c r="BY5" s="847"/>
      <c r="BZ5" s="847"/>
      <c r="CA5" s="847"/>
      <c r="CB5" s="847"/>
      <c r="CC5" s="847"/>
      <c r="CD5" s="847"/>
      <c r="CE5" s="847"/>
      <c r="CF5" s="847"/>
      <c r="CG5" s="847"/>
      <c r="CH5" s="847"/>
      <c r="CI5" s="847"/>
      <c r="CJ5" s="847"/>
      <c r="CK5" s="847"/>
      <c r="CL5" s="847"/>
      <c r="CM5" s="847"/>
      <c r="CN5" s="847"/>
      <c r="CO5" s="847"/>
      <c r="CP5" s="847"/>
      <c r="CQ5" s="847"/>
      <c r="CR5" s="847"/>
      <c r="CS5" s="847"/>
      <c r="CT5" s="847"/>
      <c r="CU5" s="847"/>
      <c r="CV5" s="847"/>
      <c r="CW5" s="847"/>
      <c r="CX5" s="847"/>
      <c r="CY5" s="847"/>
      <c r="CZ5" s="847"/>
      <c r="DA5" s="847"/>
      <c r="DB5" s="847"/>
      <c r="DC5" s="847"/>
      <c r="DD5" s="847"/>
      <c r="DE5" s="847"/>
      <c r="DF5" s="847"/>
      <c r="DG5" s="847"/>
      <c r="DH5" s="847"/>
      <c r="DI5" s="847"/>
      <c r="DJ5" s="847"/>
    </row>
    <row r="6" spans="1:114" ht="45.75" hidden="1" customHeight="1">
      <c r="A6" s="914"/>
      <c r="B6" s="917"/>
      <c r="C6" s="920"/>
      <c r="D6" s="841"/>
      <c r="E6" s="841" t="s">
        <v>31</v>
      </c>
      <c r="F6" s="530"/>
      <c r="G6" s="841" t="s">
        <v>3</v>
      </c>
      <c r="H6" s="520"/>
      <c r="I6" s="841" t="s">
        <v>32</v>
      </c>
      <c r="J6" s="520"/>
      <c r="K6" s="841" t="s">
        <v>21</v>
      </c>
      <c r="L6" s="844" t="s">
        <v>3</v>
      </c>
      <c r="M6" s="844" t="s">
        <v>4</v>
      </c>
      <c r="N6" s="844" t="s">
        <v>22</v>
      </c>
      <c r="O6" s="841"/>
      <c r="P6" s="841"/>
      <c r="Q6" s="841"/>
      <c r="R6" s="841"/>
      <c r="S6" s="841"/>
      <c r="T6" s="841"/>
      <c r="U6" s="841"/>
      <c r="V6" s="841"/>
      <c r="W6" s="841" t="s">
        <v>40</v>
      </c>
      <c r="X6" s="841" t="s">
        <v>82</v>
      </c>
      <c r="Y6" s="841" t="s">
        <v>42</v>
      </c>
      <c r="Z6" s="841" t="s">
        <v>5</v>
      </c>
      <c r="AA6" s="841" t="s">
        <v>43</v>
      </c>
      <c r="AB6" s="841" t="s">
        <v>44</v>
      </c>
      <c r="AC6" s="841" t="s">
        <v>45</v>
      </c>
      <c r="AD6" s="841" t="s">
        <v>46</v>
      </c>
      <c r="AE6" s="843"/>
      <c r="AF6" s="843"/>
      <c r="AG6" s="841" t="s">
        <v>47</v>
      </c>
      <c r="AH6" s="841" t="s">
        <v>48</v>
      </c>
      <c r="AI6" s="677"/>
      <c r="AJ6" s="923"/>
      <c r="AK6" s="847"/>
      <c r="AL6" s="847"/>
      <c r="AM6" s="847"/>
      <c r="AN6" s="847"/>
      <c r="AO6" s="847"/>
      <c r="AP6" s="847"/>
      <c r="AQ6" s="847"/>
      <c r="AR6" s="847"/>
      <c r="AS6" s="847"/>
      <c r="AT6" s="847"/>
      <c r="AU6" s="847"/>
      <c r="AV6" s="847"/>
      <c r="AW6" s="847"/>
      <c r="AX6" s="847"/>
      <c r="AY6" s="847"/>
      <c r="AZ6" s="847"/>
      <c r="BA6" s="847"/>
      <c r="BB6" s="847"/>
      <c r="BC6" s="847"/>
      <c r="BD6" s="847"/>
      <c r="BE6" s="847"/>
      <c r="BF6" s="847"/>
      <c r="BG6" s="847"/>
      <c r="BH6" s="847"/>
      <c r="BI6" s="847"/>
      <c r="BJ6" s="847"/>
      <c r="BK6" s="847"/>
      <c r="BL6" s="847"/>
      <c r="BM6" s="847"/>
      <c r="BN6" s="847"/>
      <c r="BO6" s="847"/>
      <c r="BP6" s="847"/>
      <c r="BQ6" s="847"/>
      <c r="BR6" s="847"/>
      <c r="BS6" s="847"/>
      <c r="BT6" s="847"/>
      <c r="BU6" s="847"/>
      <c r="BV6" s="847"/>
      <c r="BW6" s="847"/>
      <c r="BX6" s="847"/>
      <c r="BY6" s="847"/>
      <c r="BZ6" s="847"/>
      <c r="CA6" s="847"/>
      <c r="CB6" s="847"/>
      <c r="CC6" s="847"/>
      <c r="CD6" s="847"/>
      <c r="CE6" s="847"/>
      <c r="CF6" s="847"/>
      <c r="CG6" s="847"/>
      <c r="CH6" s="847"/>
      <c r="CI6" s="847"/>
      <c r="CJ6" s="847"/>
      <c r="CK6" s="847"/>
      <c r="CL6" s="847"/>
      <c r="CM6" s="847"/>
      <c r="CN6" s="847"/>
      <c r="CO6" s="847"/>
      <c r="CP6" s="847"/>
      <c r="CQ6" s="847"/>
      <c r="CR6" s="847"/>
      <c r="CS6" s="847"/>
      <c r="CT6" s="847"/>
      <c r="CU6" s="847"/>
      <c r="CV6" s="847"/>
      <c r="CW6" s="847"/>
      <c r="CX6" s="847"/>
      <c r="CY6" s="847"/>
      <c r="CZ6" s="847"/>
      <c r="DA6" s="847"/>
      <c r="DB6" s="847"/>
      <c r="DC6" s="847"/>
      <c r="DD6" s="847"/>
      <c r="DE6" s="847"/>
      <c r="DF6" s="847"/>
      <c r="DG6" s="847"/>
      <c r="DH6" s="847"/>
      <c r="DI6" s="847"/>
      <c r="DJ6" s="847"/>
    </row>
    <row r="7" spans="1:114" ht="12" hidden="1" customHeight="1">
      <c r="A7" s="915"/>
      <c r="B7" s="918"/>
      <c r="C7" s="921"/>
      <c r="D7" s="842"/>
      <c r="E7" s="842"/>
      <c r="F7" s="531"/>
      <c r="G7" s="842"/>
      <c r="H7" s="521"/>
      <c r="I7" s="865"/>
      <c r="J7" s="540"/>
      <c r="K7" s="842"/>
      <c r="L7" s="845"/>
      <c r="M7" s="845"/>
      <c r="N7" s="845"/>
      <c r="O7" s="842"/>
      <c r="P7" s="842"/>
      <c r="Q7" s="842"/>
      <c r="R7" s="842"/>
      <c r="S7" s="842"/>
      <c r="T7" s="842"/>
      <c r="U7" s="842"/>
      <c r="V7" s="842"/>
      <c r="W7" s="842"/>
      <c r="X7" s="865"/>
      <c r="Y7" s="842"/>
      <c r="Z7" s="842"/>
      <c r="AA7" s="865"/>
      <c r="AB7" s="842"/>
      <c r="AC7" s="842"/>
      <c r="AD7" s="678" t="s">
        <v>49</v>
      </c>
      <c r="AE7" s="678" t="s">
        <v>50</v>
      </c>
      <c r="AF7" s="678" t="s">
        <v>51</v>
      </c>
      <c r="AG7" s="842"/>
      <c r="AH7" s="865"/>
      <c r="AI7" s="681"/>
      <c r="AJ7" s="924"/>
      <c r="AK7" s="847"/>
      <c r="AL7" s="847"/>
      <c r="AM7" s="847"/>
      <c r="AN7" s="847"/>
      <c r="AO7" s="847"/>
      <c r="AP7" s="847"/>
      <c r="AQ7" s="847"/>
      <c r="AR7" s="847"/>
      <c r="AS7" s="847"/>
      <c r="AT7" s="847"/>
      <c r="AU7" s="847"/>
      <c r="AV7" s="847"/>
      <c r="AW7" s="847"/>
      <c r="AX7" s="847"/>
      <c r="AY7" s="847"/>
      <c r="AZ7" s="847"/>
      <c r="BA7" s="847"/>
      <c r="BB7" s="847"/>
      <c r="BC7" s="847"/>
      <c r="BD7" s="847"/>
      <c r="BE7" s="847"/>
      <c r="BF7" s="847"/>
      <c r="BG7" s="847"/>
      <c r="BH7" s="847"/>
      <c r="BI7" s="847"/>
      <c r="BJ7" s="847"/>
      <c r="BK7" s="847"/>
      <c r="BL7" s="847"/>
      <c r="BM7" s="847"/>
      <c r="BN7" s="847"/>
      <c r="BO7" s="847"/>
      <c r="BP7" s="847"/>
      <c r="BQ7" s="847"/>
      <c r="BR7" s="847"/>
      <c r="BS7" s="847"/>
      <c r="BT7" s="847"/>
      <c r="BU7" s="847"/>
      <c r="BV7" s="847"/>
      <c r="BW7" s="847"/>
      <c r="BX7" s="847"/>
      <c r="BY7" s="847"/>
      <c r="BZ7" s="847"/>
      <c r="CA7" s="847"/>
      <c r="CB7" s="847"/>
      <c r="CC7" s="847"/>
      <c r="CD7" s="847"/>
      <c r="CE7" s="847"/>
      <c r="CF7" s="847"/>
      <c r="CG7" s="847"/>
      <c r="CH7" s="847"/>
      <c r="CI7" s="847"/>
      <c r="CJ7" s="847"/>
      <c r="CK7" s="847"/>
      <c r="CL7" s="847"/>
      <c r="CM7" s="847"/>
      <c r="CN7" s="847"/>
      <c r="CO7" s="847"/>
      <c r="CP7" s="847"/>
      <c r="CQ7" s="847"/>
      <c r="CR7" s="847"/>
      <c r="CS7" s="847"/>
      <c r="CT7" s="847"/>
      <c r="CU7" s="847"/>
      <c r="CV7" s="847"/>
      <c r="CW7" s="847"/>
      <c r="CX7" s="847"/>
      <c r="CY7" s="847"/>
      <c r="CZ7" s="847"/>
      <c r="DA7" s="847"/>
      <c r="DB7" s="847"/>
      <c r="DC7" s="847"/>
      <c r="DD7" s="847"/>
      <c r="DE7" s="847"/>
      <c r="DF7" s="847"/>
      <c r="DG7" s="847"/>
      <c r="DH7" s="847"/>
      <c r="DI7" s="847"/>
      <c r="DJ7" s="847"/>
    </row>
    <row r="8" spans="1:114" s="5" customFormat="1" ht="15" thickBot="1">
      <c r="A8" s="684">
        <v>1</v>
      </c>
      <c r="B8" s="770">
        <v>2</v>
      </c>
      <c r="C8" s="763" t="s">
        <v>52</v>
      </c>
      <c r="D8" s="86" t="s">
        <v>53</v>
      </c>
      <c r="E8" s="86" t="s">
        <v>52</v>
      </c>
      <c r="F8" s="532"/>
      <c r="G8" s="86" t="s">
        <v>52</v>
      </c>
      <c r="H8" s="522"/>
      <c r="I8" s="86" t="s">
        <v>52</v>
      </c>
      <c r="J8" s="522"/>
      <c r="K8" s="86"/>
      <c r="L8" s="86" t="s">
        <v>52</v>
      </c>
      <c r="M8" s="86" t="s">
        <v>52</v>
      </c>
      <c r="N8" s="86"/>
      <c r="O8" s="86" t="s">
        <v>52</v>
      </c>
      <c r="P8" s="86" t="s">
        <v>52</v>
      </c>
      <c r="Q8" s="86" t="s">
        <v>54</v>
      </c>
      <c r="R8" s="86" t="s">
        <v>55</v>
      </c>
      <c r="S8" s="86" t="s">
        <v>55</v>
      </c>
      <c r="T8" s="86" t="s">
        <v>54</v>
      </c>
      <c r="U8" s="86" t="s">
        <v>54</v>
      </c>
      <c r="V8" s="86" t="s">
        <v>54</v>
      </c>
      <c r="W8" s="86" t="s">
        <v>54</v>
      </c>
      <c r="X8" s="86" t="s">
        <v>54</v>
      </c>
      <c r="Y8" s="86" t="s">
        <v>54</v>
      </c>
      <c r="Z8" s="86" t="s">
        <v>54</v>
      </c>
      <c r="AA8" s="86" t="s">
        <v>54</v>
      </c>
      <c r="AB8" s="86" t="s">
        <v>54</v>
      </c>
      <c r="AC8" s="86"/>
      <c r="AD8" s="86"/>
      <c r="AE8" s="86"/>
      <c r="AF8" s="86"/>
      <c r="AG8" s="86"/>
      <c r="AH8" s="86"/>
      <c r="AI8" s="86"/>
      <c r="AJ8" s="759">
        <v>3</v>
      </c>
      <c r="AK8" s="847"/>
      <c r="AL8" s="847"/>
      <c r="AM8" s="847"/>
      <c r="AN8" s="847"/>
      <c r="AO8" s="847"/>
      <c r="AP8" s="847"/>
      <c r="AQ8" s="847"/>
      <c r="AR8" s="847"/>
      <c r="AS8" s="847"/>
      <c r="AT8" s="847"/>
      <c r="AU8" s="847"/>
      <c r="AV8" s="847"/>
      <c r="AW8" s="847"/>
      <c r="AX8" s="847"/>
      <c r="AY8" s="847"/>
      <c r="AZ8" s="847"/>
      <c r="BA8" s="847"/>
      <c r="BB8" s="847"/>
      <c r="BC8" s="847"/>
      <c r="BD8" s="847"/>
      <c r="BE8" s="847"/>
      <c r="BF8" s="847"/>
      <c r="BG8" s="847"/>
      <c r="BH8" s="847"/>
      <c r="BI8" s="847"/>
      <c r="BJ8" s="847"/>
      <c r="BK8" s="847"/>
      <c r="BL8" s="847"/>
      <c r="BM8" s="847"/>
      <c r="BN8" s="847"/>
      <c r="BO8" s="847"/>
      <c r="BP8" s="847"/>
      <c r="BQ8" s="847"/>
      <c r="BR8" s="847"/>
      <c r="BS8" s="847"/>
      <c r="BT8" s="847"/>
      <c r="BU8" s="847"/>
      <c r="BV8" s="847"/>
      <c r="BW8" s="847"/>
      <c r="BX8" s="847"/>
      <c r="BY8" s="847"/>
      <c r="BZ8" s="847"/>
      <c r="CA8" s="847"/>
      <c r="CB8" s="847"/>
      <c r="CC8" s="847"/>
      <c r="CD8" s="847"/>
      <c r="CE8" s="847"/>
      <c r="CF8" s="847"/>
      <c r="CG8" s="847"/>
      <c r="CH8" s="847"/>
      <c r="CI8" s="847"/>
      <c r="CJ8" s="847"/>
      <c r="CK8" s="847"/>
      <c r="CL8" s="847"/>
      <c r="CM8" s="847"/>
      <c r="CN8" s="847"/>
      <c r="CO8" s="847"/>
      <c r="CP8" s="847"/>
      <c r="CQ8" s="847"/>
      <c r="CR8" s="847"/>
      <c r="CS8" s="847"/>
      <c r="CT8" s="847"/>
      <c r="CU8" s="847"/>
      <c r="CV8" s="847"/>
      <c r="CW8" s="847"/>
      <c r="CX8" s="847"/>
      <c r="CY8" s="847"/>
      <c r="CZ8" s="847"/>
      <c r="DA8" s="847"/>
      <c r="DB8" s="847"/>
      <c r="DC8" s="847"/>
      <c r="DD8" s="847"/>
      <c r="DE8" s="847"/>
      <c r="DF8" s="847"/>
      <c r="DG8" s="847"/>
      <c r="DH8" s="847"/>
      <c r="DI8" s="847"/>
      <c r="DJ8" s="847"/>
    </row>
    <row r="9" spans="1:114" s="99" customFormat="1" ht="18.75">
      <c r="A9" s="105">
        <v>7</v>
      </c>
      <c r="B9" s="796" t="s">
        <v>10</v>
      </c>
      <c r="C9" s="798">
        <v>20</v>
      </c>
      <c r="D9" s="799"/>
      <c r="E9" s="688">
        <v>3</v>
      </c>
      <c r="F9" s="533">
        <f>E9/AI9*100</f>
        <v>2.3317270324887299E-2</v>
      </c>
      <c r="G9" s="688">
        <v>6</v>
      </c>
      <c r="H9" s="523">
        <f>G9/AI9*100</f>
        <v>4.6634540649774597E-2</v>
      </c>
      <c r="I9" s="688">
        <v>9</v>
      </c>
      <c r="J9" s="523">
        <f>I9/AI9*100</f>
        <v>6.9951810974661896E-2</v>
      </c>
      <c r="K9" s="812"/>
      <c r="L9" s="813">
        <v>0</v>
      </c>
      <c r="M9" s="814">
        <v>0</v>
      </c>
      <c r="N9" s="815"/>
      <c r="O9" s="687">
        <v>0</v>
      </c>
      <c r="P9" s="687"/>
      <c r="Q9" s="688">
        <v>18</v>
      </c>
      <c r="R9" s="687" t="s">
        <v>81</v>
      </c>
      <c r="S9" s="687" t="s">
        <v>81</v>
      </c>
      <c r="T9" s="800">
        <v>40.5</v>
      </c>
      <c r="U9" s="690">
        <f>17*100/C9</f>
        <v>85</v>
      </c>
      <c r="V9" s="800">
        <v>0</v>
      </c>
      <c r="W9" s="687"/>
      <c r="X9" s="687"/>
      <c r="Y9" s="801">
        <v>95</v>
      </c>
      <c r="Z9" s="692">
        <v>85</v>
      </c>
      <c r="AA9" s="692">
        <v>85</v>
      </c>
      <c r="AB9" s="692">
        <v>100</v>
      </c>
      <c r="AC9" s="802"/>
      <c r="AD9" s="687"/>
      <c r="AE9" s="687"/>
      <c r="AF9" s="687"/>
      <c r="AG9" s="687"/>
      <c r="AH9" s="687"/>
      <c r="AI9" s="689">
        <v>12866</v>
      </c>
      <c r="AJ9" s="788">
        <f>SUM(C10:AH10)</f>
        <v>30.4</v>
      </c>
      <c r="AK9" s="847"/>
      <c r="AL9" s="847"/>
      <c r="AM9" s="847"/>
      <c r="AN9" s="847"/>
      <c r="AO9" s="847"/>
      <c r="AP9" s="847"/>
      <c r="AQ9" s="847"/>
      <c r="AR9" s="847"/>
      <c r="AS9" s="847"/>
      <c r="AT9" s="847"/>
      <c r="AU9" s="847"/>
      <c r="AV9" s="847"/>
      <c r="AW9" s="847"/>
      <c r="AX9" s="847"/>
      <c r="AY9" s="847"/>
      <c r="AZ9" s="847"/>
      <c r="BA9" s="847"/>
      <c r="BB9" s="847"/>
      <c r="BC9" s="847"/>
      <c r="BD9" s="847"/>
      <c r="BE9" s="847"/>
      <c r="BF9" s="847"/>
      <c r="BG9" s="847"/>
      <c r="BH9" s="847"/>
      <c r="BI9" s="847"/>
      <c r="BJ9" s="847"/>
      <c r="BK9" s="847"/>
      <c r="BL9" s="847"/>
      <c r="BM9" s="847"/>
      <c r="BN9" s="847"/>
      <c r="BO9" s="847"/>
      <c r="BP9" s="847"/>
      <c r="BQ9" s="847"/>
      <c r="BR9" s="847"/>
      <c r="BS9" s="847"/>
      <c r="BT9" s="847"/>
      <c r="BU9" s="847"/>
      <c r="BV9" s="847"/>
      <c r="BW9" s="847"/>
      <c r="BX9" s="847"/>
      <c r="BY9" s="847"/>
      <c r="BZ9" s="847"/>
      <c r="CA9" s="847"/>
      <c r="CB9" s="847"/>
      <c r="CC9" s="847"/>
      <c r="CD9" s="847"/>
      <c r="CE9" s="847"/>
      <c r="CF9" s="847"/>
      <c r="CG9" s="847"/>
      <c r="CH9" s="847"/>
      <c r="CI9" s="847"/>
      <c r="CJ9" s="847"/>
      <c r="CK9" s="847"/>
      <c r="CL9" s="847"/>
      <c r="CM9" s="847"/>
      <c r="CN9" s="847"/>
      <c r="CO9" s="847"/>
      <c r="CP9" s="847"/>
      <c r="CQ9" s="847"/>
      <c r="CR9" s="847"/>
      <c r="CS9" s="847"/>
      <c r="CT9" s="847"/>
      <c r="CU9" s="847"/>
      <c r="CV9" s="847"/>
      <c r="CW9" s="847"/>
      <c r="CX9" s="847"/>
      <c r="CY9" s="847"/>
      <c r="CZ9" s="847"/>
      <c r="DA9" s="847"/>
      <c r="DB9" s="847"/>
      <c r="DC9" s="847"/>
      <c r="DD9" s="847"/>
      <c r="DE9" s="847"/>
      <c r="DF9" s="847"/>
      <c r="DG9" s="847"/>
      <c r="DH9" s="847"/>
      <c r="DI9" s="847"/>
      <c r="DJ9" s="847"/>
    </row>
    <row r="10" spans="1:114" s="27" customFormat="1" ht="15" hidden="1" customHeight="1">
      <c r="A10" s="760"/>
      <c r="B10" s="771"/>
      <c r="C10" s="764"/>
      <c r="D10" s="706"/>
      <c r="E10" s="705"/>
      <c r="F10" s="707">
        <v>4</v>
      </c>
      <c r="G10" s="707"/>
      <c r="H10" s="707">
        <v>0</v>
      </c>
      <c r="I10" s="707"/>
      <c r="J10" s="707">
        <v>2</v>
      </c>
      <c r="K10" s="705">
        <v>-0.6</v>
      </c>
      <c r="L10" s="707"/>
      <c r="M10" s="705">
        <v>10</v>
      </c>
      <c r="N10" s="705"/>
      <c r="O10" s="705">
        <v>1</v>
      </c>
      <c r="P10" s="705"/>
      <c r="Q10" s="707">
        <v>8</v>
      </c>
      <c r="R10" s="705">
        <v>0</v>
      </c>
      <c r="S10" s="705">
        <v>0</v>
      </c>
      <c r="T10" s="705">
        <v>6</v>
      </c>
      <c r="U10" s="708">
        <v>0</v>
      </c>
      <c r="V10" s="705">
        <v>0</v>
      </c>
      <c r="W10" s="705"/>
      <c r="X10" s="705"/>
      <c r="Y10" s="709"/>
      <c r="Z10" s="705"/>
      <c r="AA10" s="705"/>
      <c r="AB10" s="705"/>
      <c r="AC10" s="710"/>
      <c r="AD10" s="705"/>
      <c r="AE10" s="705"/>
      <c r="AF10" s="705"/>
      <c r="AG10" s="705"/>
      <c r="AH10" s="705"/>
      <c r="AI10" s="706"/>
      <c r="AJ10" s="789"/>
      <c r="AK10" s="847"/>
      <c r="AL10" s="847"/>
      <c r="AM10" s="847"/>
      <c r="AN10" s="847"/>
      <c r="AO10" s="847"/>
      <c r="AP10" s="847"/>
      <c r="AQ10" s="847"/>
      <c r="AR10" s="847"/>
      <c r="AS10" s="847"/>
      <c r="AT10" s="847"/>
      <c r="AU10" s="847"/>
      <c r="AV10" s="847"/>
      <c r="AW10" s="847"/>
      <c r="AX10" s="847"/>
      <c r="AY10" s="847"/>
      <c r="AZ10" s="847"/>
      <c r="BA10" s="847"/>
      <c r="BB10" s="847"/>
      <c r="BC10" s="847"/>
      <c r="BD10" s="847"/>
      <c r="BE10" s="847"/>
      <c r="BF10" s="847"/>
      <c r="BG10" s="847"/>
      <c r="BH10" s="847"/>
      <c r="BI10" s="847"/>
      <c r="BJ10" s="847"/>
      <c r="BK10" s="847"/>
      <c r="BL10" s="847"/>
      <c r="BM10" s="847"/>
      <c r="BN10" s="847"/>
      <c r="BO10" s="847"/>
      <c r="BP10" s="847"/>
      <c r="BQ10" s="847"/>
      <c r="BR10" s="847"/>
      <c r="BS10" s="847"/>
      <c r="BT10" s="847"/>
      <c r="BU10" s="847"/>
      <c r="BV10" s="847"/>
      <c r="BW10" s="847"/>
      <c r="BX10" s="847"/>
      <c r="BY10" s="847"/>
      <c r="BZ10" s="847"/>
      <c r="CA10" s="847"/>
      <c r="CB10" s="847"/>
      <c r="CC10" s="847"/>
      <c r="CD10" s="847"/>
      <c r="CE10" s="847"/>
      <c r="CF10" s="847"/>
      <c r="CG10" s="847"/>
      <c r="CH10" s="847"/>
      <c r="CI10" s="847"/>
      <c r="CJ10" s="847"/>
      <c r="CK10" s="847"/>
      <c r="CL10" s="847"/>
      <c r="CM10" s="847"/>
      <c r="CN10" s="847"/>
      <c r="CO10" s="847"/>
      <c r="CP10" s="847"/>
      <c r="CQ10" s="847"/>
      <c r="CR10" s="847"/>
      <c r="CS10" s="847"/>
      <c r="CT10" s="847"/>
      <c r="CU10" s="847"/>
      <c r="CV10" s="847"/>
      <c r="CW10" s="847"/>
      <c r="CX10" s="847"/>
      <c r="CY10" s="847"/>
      <c r="CZ10" s="847"/>
      <c r="DA10" s="847"/>
      <c r="DB10" s="847"/>
      <c r="DC10" s="847"/>
      <c r="DD10" s="847"/>
      <c r="DE10" s="847"/>
      <c r="DF10" s="847"/>
      <c r="DG10" s="847"/>
      <c r="DH10" s="847"/>
      <c r="DI10" s="847"/>
      <c r="DJ10" s="847"/>
    </row>
    <row r="11" spans="1:114" s="787" customFormat="1" ht="18.75">
      <c r="A11" s="761">
        <v>14</v>
      </c>
      <c r="B11" s="774" t="s">
        <v>15</v>
      </c>
      <c r="C11" s="768">
        <v>112</v>
      </c>
      <c r="D11" s="732"/>
      <c r="E11" s="733">
        <v>3</v>
      </c>
      <c r="F11" s="697">
        <f>E11/AI11*100</f>
        <v>1.9583523728702919E-2</v>
      </c>
      <c r="G11" s="733">
        <v>7</v>
      </c>
      <c r="H11" s="699">
        <f>G11/AI11*100</f>
        <v>4.5694888700306809E-2</v>
      </c>
      <c r="I11" s="733">
        <v>18</v>
      </c>
      <c r="J11" s="699">
        <f>I11/AI11*100</f>
        <v>0.11750114237221751</v>
      </c>
      <c r="K11" s="732"/>
      <c r="L11" s="733">
        <v>2</v>
      </c>
      <c r="M11" s="734">
        <v>0</v>
      </c>
      <c r="N11" s="696"/>
      <c r="O11" s="732">
        <v>0</v>
      </c>
      <c r="P11" s="732"/>
      <c r="Q11" s="733">
        <v>76</v>
      </c>
      <c r="R11" s="732" t="s">
        <v>81</v>
      </c>
      <c r="S11" s="732" t="s">
        <v>81</v>
      </c>
      <c r="T11" s="732">
        <v>82.01</v>
      </c>
      <c r="U11" s="735">
        <f>35*100/C11</f>
        <v>31.25</v>
      </c>
      <c r="V11" s="732">
        <v>0</v>
      </c>
      <c r="W11" s="732"/>
      <c r="X11" s="732"/>
      <c r="Y11" s="736">
        <v>72.099999999999994</v>
      </c>
      <c r="Z11" s="736">
        <v>91.6</v>
      </c>
      <c r="AA11" s="736">
        <v>91.1</v>
      </c>
      <c r="AB11" s="736">
        <v>96.6</v>
      </c>
      <c r="AC11" s="737"/>
      <c r="AD11" s="732"/>
      <c r="AE11" s="732"/>
      <c r="AF11" s="732"/>
      <c r="AG11" s="732"/>
      <c r="AH11" s="732"/>
      <c r="AI11" s="734">
        <v>15319</v>
      </c>
      <c r="AJ11" s="789">
        <f>SUM(C12:AH12)</f>
        <v>58</v>
      </c>
      <c r="AK11" s="847"/>
      <c r="AL11" s="847"/>
      <c r="AM11" s="847"/>
      <c r="AN11" s="847"/>
      <c r="AO11" s="847"/>
      <c r="AP11" s="847"/>
      <c r="AQ11" s="847"/>
      <c r="AR11" s="847"/>
      <c r="AS11" s="847"/>
      <c r="AT11" s="847"/>
      <c r="AU11" s="847"/>
      <c r="AV11" s="847"/>
      <c r="AW11" s="847"/>
      <c r="AX11" s="847"/>
      <c r="AY11" s="847"/>
      <c r="AZ11" s="847"/>
      <c r="BA11" s="847"/>
      <c r="BB11" s="847"/>
      <c r="BC11" s="847"/>
      <c r="BD11" s="847"/>
      <c r="BE11" s="847"/>
      <c r="BF11" s="847"/>
      <c r="BG11" s="847"/>
      <c r="BH11" s="847"/>
      <c r="BI11" s="847"/>
      <c r="BJ11" s="847"/>
      <c r="BK11" s="847"/>
      <c r="BL11" s="847"/>
      <c r="BM11" s="847"/>
      <c r="BN11" s="847"/>
      <c r="BO11" s="847"/>
      <c r="BP11" s="847"/>
      <c r="BQ11" s="847"/>
      <c r="BR11" s="847"/>
      <c r="BS11" s="847"/>
      <c r="BT11" s="847"/>
      <c r="BU11" s="847"/>
      <c r="BV11" s="847"/>
      <c r="BW11" s="847"/>
      <c r="BX11" s="847"/>
      <c r="BY11" s="847"/>
      <c r="BZ11" s="847"/>
      <c r="CA11" s="847"/>
      <c r="CB11" s="847"/>
      <c r="CC11" s="847"/>
      <c r="CD11" s="847"/>
      <c r="CE11" s="847"/>
      <c r="CF11" s="847"/>
      <c r="CG11" s="847"/>
      <c r="CH11" s="847"/>
      <c r="CI11" s="847"/>
      <c r="CJ11" s="847"/>
      <c r="CK11" s="847"/>
      <c r="CL11" s="847"/>
      <c r="CM11" s="847"/>
      <c r="CN11" s="847"/>
      <c r="CO11" s="847"/>
      <c r="CP11" s="847"/>
      <c r="CQ11" s="847"/>
      <c r="CR11" s="847"/>
      <c r="CS11" s="847"/>
      <c r="CT11" s="847"/>
      <c r="CU11" s="847"/>
      <c r="CV11" s="847"/>
      <c r="CW11" s="847"/>
      <c r="CX11" s="847"/>
      <c r="CY11" s="847"/>
      <c r="CZ11" s="847"/>
      <c r="DA11" s="847"/>
      <c r="DB11" s="847"/>
      <c r="DC11" s="847"/>
      <c r="DD11" s="847"/>
      <c r="DE11" s="847"/>
      <c r="DF11" s="847"/>
      <c r="DG11" s="847"/>
      <c r="DH11" s="847"/>
      <c r="DI11" s="847"/>
      <c r="DJ11" s="847"/>
    </row>
    <row r="12" spans="1:114" s="27" customFormat="1" ht="16.5" hidden="1" customHeight="1">
      <c r="A12" s="760"/>
      <c r="B12" s="771"/>
      <c r="C12" s="764"/>
      <c r="D12" s="706"/>
      <c r="E12" s="705"/>
      <c r="F12" s="707">
        <v>7</v>
      </c>
      <c r="G12" s="707"/>
      <c r="H12" s="707">
        <f>7</f>
        <v>7</v>
      </c>
      <c r="I12" s="707"/>
      <c r="J12" s="707">
        <v>6</v>
      </c>
      <c r="K12" s="705">
        <v>-2</v>
      </c>
      <c r="L12" s="707"/>
      <c r="M12" s="705">
        <v>10</v>
      </c>
      <c r="N12" s="705"/>
      <c r="O12" s="705">
        <v>10</v>
      </c>
      <c r="P12" s="705"/>
      <c r="Q12" s="707">
        <v>10</v>
      </c>
      <c r="R12" s="705">
        <v>0</v>
      </c>
      <c r="S12" s="705">
        <v>0</v>
      </c>
      <c r="T12" s="705">
        <v>6</v>
      </c>
      <c r="U12" s="708">
        <v>4</v>
      </c>
      <c r="V12" s="705">
        <v>0</v>
      </c>
      <c r="W12" s="705"/>
      <c r="X12" s="705"/>
      <c r="Y12" s="709"/>
      <c r="Z12" s="705"/>
      <c r="AA12" s="705"/>
      <c r="AB12" s="705"/>
      <c r="AC12" s="710"/>
      <c r="AD12" s="705"/>
      <c r="AE12" s="705"/>
      <c r="AF12" s="705"/>
      <c r="AG12" s="705"/>
      <c r="AH12" s="705"/>
      <c r="AI12" s="706"/>
      <c r="AJ12" s="789"/>
      <c r="AK12" s="847"/>
      <c r="AL12" s="847"/>
      <c r="AM12" s="847"/>
      <c r="AN12" s="847"/>
      <c r="AO12" s="847"/>
      <c r="AP12" s="847"/>
      <c r="AQ12" s="847"/>
      <c r="AR12" s="847"/>
      <c r="AS12" s="847"/>
      <c r="AT12" s="847"/>
      <c r="AU12" s="847"/>
      <c r="AV12" s="847"/>
      <c r="AW12" s="847"/>
      <c r="AX12" s="847"/>
      <c r="AY12" s="847"/>
      <c r="AZ12" s="847"/>
      <c r="BA12" s="847"/>
      <c r="BB12" s="847"/>
      <c r="BC12" s="847"/>
      <c r="BD12" s="847"/>
      <c r="BE12" s="847"/>
      <c r="BF12" s="847"/>
      <c r="BG12" s="847"/>
      <c r="BH12" s="847"/>
      <c r="BI12" s="847"/>
      <c r="BJ12" s="847"/>
      <c r="BK12" s="847"/>
      <c r="BL12" s="847"/>
      <c r="BM12" s="847"/>
      <c r="BN12" s="847"/>
      <c r="BO12" s="847"/>
      <c r="BP12" s="847"/>
      <c r="BQ12" s="847"/>
      <c r="BR12" s="847"/>
      <c r="BS12" s="847"/>
      <c r="BT12" s="847"/>
      <c r="BU12" s="847"/>
      <c r="BV12" s="847"/>
      <c r="BW12" s="847"/>
      <c r="BX12" s="847"/>
      <c r="BY12" s="847"/>
      <c r="BZ12" s="847"/>
      <c r="CA12" s="847"/>
      <c r="CB12" s="847"/>
      <c r="CC12" s="847"/>
      <c r="CD12" s="847"/>
      <c r="CE12" s="847"/>
      <c r="CF12" s="847"/>
      <c r="CG12" s="847"/>
      <c r="CH12" s="847"/>
      <c r="CI12" s="847"/>
      <c r="CJ12" s="847"/>
      <c r="CK12" s="847"/>
      <c r="CL12" s="847"/>
      <c r="CM12" s="847"/>
      <c r="CN12" s="847"/>
      <c r="CO12" s="847"/>
      <c r="CP12" s="847"/>
      <c r="CQ12" s="847"/>
      <c r="CR12" s="847"/>
      <c r="CS12" s="847"/>
      <c r="CT12" s="847"/>
      <c r="CU12" s="847"/>
      <c r="CV12" s="847"/>
      <c r="CW12" s="847"/>
      <c r="CX12" s="847"/>
      <c r="CY12" s="847"/>
      <c r="CZ12" s="847"/>
      <c r="DA12" s="847"/>
      <c r="DB12" s="847"/>
      <c r="DC12" s="847"/>
      <c r="DD12" s="847"/>
      <c r="DE12" s="847"/>
      <c r="DF12" s="847"/>
      <c r="DG12" s="847"/>
      <c r="DH12" s="847"/>
      <c r="DI12" s="847"/>
      <c r="DJ12" s="847"/>
    </row>
    <row r="13" spans="1:114" ht="18.75">
      <c r="A13" s="761">
        <v>9</v>
      </c>
      <c r="B13" s="772" t="s">
        <v>14</v>
      </c>
      <c r="C13" s="766">
        <v>34</v>
      </c>
      <c r="D13" s="712"/>
      <c r="E13" s="714">
        <v>4</v>
      </c>
      <c r="F13" s="697">
        <f>E13/AI13*100</f>
        <v>1.8294914013904134E-2</v>
      </c>
      <c r="G13" s="714">
        <v>0</v>
      </c>
      <c r="H13" s="699">
        <f>G13/AI13*100</f>
        <v>0</v>
      </c>
      <c r="I13" s="714">
        <v>22</v>
      </c>
      <c r="J13" s="699">
        <f>I13/AI13*100</f>
        <v>0.10062202707647275</v>
      </c>
      <c r="K13" s="637"/>
      <c r="L13" s="714">
        <v>0</v>
      </c>
      <c r="M13" s="713">
        <v>0</v>
      </c>
      <c r="N13" s="696"/>
      <c r="O13" s="711">
        <v>0</v>
      </c>
      <c r="P13" s="711"/>
      <c r="Q13" s="714">
        <v>27</v>
      </c>
      <c r="R13" s="711" t="s">
        <v>81</v>
      </c>
      <c r="S13" s="711" t="s">
        <v>81</v>
      </c>
      <c r="T13" s="711">
        <v>0</v>
      </c>
      <c r="U13" s="715">
        <f>27*100/C13</f>
        <v>79.411764705882348</v>
      </c>
      <c r="V13" s="711">
        <v>0</v>
      </c>
      <c r="W13" s="712"/>
      <c r="X13" s="712"/>
      <c r="Y13" s="716">
        <v>96.67</v>
      </c>
      <c r="Z13" s="716">
        <v>93.33</v>
      </c>
      <c r="AA13" s="716">
        <v>93.33</v>
      </c>
      <c r="AB13" s="716">
        <v>66.900000000000006</v>
      </c>
      <c r="AC13" s="717"/>
      <c r="AD13" s="712"/>
      <c r="AE13" s="712"/>
      <c r="AF13" s="712"/>
      <c r="AG13" s="712"/>
      <c r="AH13" s="712"/>
      <c r="AI13" s="713">
        <v>21864</v>
      </c>
      <c r="AJ13" s="789">
        <f>SUM(C14:AH14)</f>
        <v>37.4</v>
      </c>
      <c r="AK13" s="847"/>
      <c r="AL13" s="847"/>
      <c r="AM13" s="847"/>
      <c r="AN13" s="847"/>
      <c r="AO13" s="847"/>
      <c r="AP13" s="847"/>
      <c r="AQ13" s="847"/>
      <c r="AR13" s="847"/>
      <c r="AS13" s="847"/>
      <c r="AT13" s="847"/>
      <c r="AU13" s="847"/>
      <c r="AV13" s="847"/>
      <c r="AW13" s="847"/>
      <c r="AX13" s="847"/>
      <c r="AY13" s="847"/>
      <c r="AZ13" s="847"/>
      <c r="BA13" s="847"/>
      <c r="BB13" s="847"/>
      <c r="BC13" s="847"/>
      <c r="BD13" s="847"/>
      <c r="BE13" s="847"/>
      <c r="BF13" s="847"/>
      <c r="BG13" s="847"/>
      <c r="BH13" s="847"/>
      <c r="BI13" s="847"/>
      <c r="BJ13" s="847"/>
      <c r="BK13" s="847"/>
      <c r="BL13" s="847"/>
      <c r="BM13" s="847"/>
      <c r="BN13" s="847"/>
      <c r="BO13" s="847"/>
      <c r="BP13" s="847"/>
      <c r="BQ13" s="847"/>
      <c r="BR13" s="847"/>
      <c r="BS13" s="847"/>
      <c r="BT13" s="847"/>
      <c r="BU13" s="847"/>
      <c r="BV13" s="847"/>
      <c r="BW13" s="847"/>
      <c r="BX13" s="847"/>
      <c r="BY13" s="847"/>
      <c r="BZ13" s="847"/>
      <c r="CA13" s="847"/>
      <c r="CB13" s="847"/>
      <c r="CC13" s="847"/>
      <c r="CD13" s="847"/>
      <c r="CE13" s="847"/>
      <c r="CF13" s="847"/>
      <c r="CG13" s="847"/>
      <c r="CH13" s="847"/>
      <c r="CI13" s="847"/>
      <c r="CJ13" s="847"/>
      <c r="CK13" s="847"/>
      <c r="CL13" s="847"/>
      <c r="CM13" s="847"/>
      <c r="CN13" s="847"/>
      <c r="CO13" s="847"/>
      <c r="CP13" s="847"/>
      <c r="CQ13" s="847"/>
      <c r="CR13" s="847"/>
      <c r="CS13" s="847"/>
      <c r="CT13" s="847"/>
      <c r="CU13" s="847"/>
      <c r="CV13" s="847"/>
      <c r="CW13" s="847"/>
      <c r="CX13" s="847"/>
      <c r="CY13" s="847"/>
      <c r="CZ13" s="847"/>
      <c r="DA13" s="847"/>
      <c r="DB13" s="847"/>
      <c r="DC13" s="847"/>
      <c r="DD13" s="847"/>
      <c r="DE13" s="847"/>
      <c r="DF13" s="847"/>
      <c r="DG13" s="847"/>
      <c r="DH13" s="847"/>
      <c r="DI13" s="847"/>
      <c r="DJ13" s="847"/>
    </row>
    <row r="14" spans="1:114" s="27" customFormat="1" ht="15.75" hidden="1" customHeight="1">
      <c r="A14" s="760"/>
      <c r="B14" s="771"/>
      <c r="C14" s="767"/>
      <c r="D14" s="704"/>
      <c r="E14" s="707"/>
      <c r="F14" s="707">
        <v>3</v>
      </c>
      <c r="G14" s="707"/>
      <c r="H14" s="707">
        <v>0</v>
      </c>
      <c r="I14" s="707"/>
      <c r="J14" s="707">
        <v>3</v>
      </c>
      <c r="K14" s="704">
        <v>-0.6</v>
      </c>
      <c r="L14" s="707">
        <v>0</v>
      </c>
      <c r="M14" s="706">
        <v>10</v>
      </c>
      <c r="N14" s="706"/>
      <c r="O14" s="704">
        <v>10</v>
      </c>
      <c r="P14" s="704"/>
      <c r="Q14" s="707">
        <v>10</v>
      </c>
      <c r="R14" s="704">
        <v>0</v>
      </c>
      <c r="S14" s="704">
        <v>0</v>
      </c>
      <c r="T14" s="704">
        <v>2</v>
      </c>
      <c r="U14" s="708">
        <v>0</v>
      </c>
      <c r="V14" s="704">
        <v>0</v>
      </c>
      <c r="W14" s="704"/>
      <c r="X14" s="704"/>
      <c r="Y14" s="709"/>
      <c r="Z14" s="704"/>
      <c r="AA14" s="704"/>
      <c r="AB14" s="704"/>
      <c r="AC14" s="719"/>
      <c r="AD14" s="704"/>
      <c r="AE14" s="704"/>
      <c r="AF14" s="705"/>
      <c r="AG14" s="704"/>
      <c r="AH14" s="704"/>
      <c r="AI14" s="706"/>
      <c r="AJ14" s="789"/>
      <c r="AK14" s="847"/>
      <c r="AL14" s="847"/>
      <c r="AM14" s="847"/>
      <c r="AN14" s="847"/>
      <c r="AO14" s="847"/>
      <c r="AP14" s="847"/>
      <c r="AQ14" s="847"/>
      <c r="AR14" s="847"/>
      <c r="AS14" s="847"/>
      <c r="AT14" s="847"/>
      <c r="AU14" s="847"/>
      <c r="AV14" s="847"/>
      <c r="AW14" s="847"/>
      <c r="AX14" s="847"/>
      <c r="AY14" s="847"/>
      <c r="AZ14" s="847"/>
      <c r="BA14" s="847"/>
      <c r="BB14" s="847"/>
      <c r="BC14" s="847"/>
      <c r="BD14" s="847"/>
      <c r="BE14" s="847"/>
      <c r="BF14" s="847"/>
      <c r="BG14" s="847"/>
      <c r="BH14" s="847"/>
      <c r="BI14" s="847"/>
      <c r="BJ14" s="847"/>
      <c r="BK14" s="847"/>
      <c r="BL14" s="847"/>
      <c r="BM14" s="847"/>
      <c r="BN14" s="847"/>
      <c r="BO14" s="847"/>
      <c r="BP14" s="847"/>
      <c r="BQ14" s="847"/>
      <c r="BR14" s="847"/>
      <c r="BS14" s="847"/>
      <c r="BT14" s="847"/>
      <c r="BU14" s="847"/>
      <c r="BV14" s="847"/>
      <c r="BW14" s="847"/>
      <c r="BX14" s="847"/>
      <c r="BY14" s="847"/>
      <c r="BZ14" s="847"/>
      <c r="CA14" s="847"/>
      <c r="CB14" s="847"/>
      <c r="CC14" s="847"/>
      <c r="CD14" s="847"/>
      <c r="CE14" s="847"/>
      <c r="CF14" s="847"/>
      <c r="CG14" s="847"/>
      <c r="CH14" s="847"/>
      <c r="CI14" s="847"/>
      <c r="CJ14" s="847"/>
      <c r="CK14" s="847"/>
      <c r="CL14" s="847"/>
      <c r="CM14" s="847"/>
      <c r="CN14" s="847"/>
      <c r="CO14" s="847"/>
      <c r="CP14" s="847"/>
      <c r="CQ14" s="847"/>
      <c r="CR14" s="847"/>
      <c r="CS14" s="847"/>
      <c r="CT14" s="847"/>
      <c r="CU14" s="847"/>
      <c r="CV14" s="847"/>
      <c r="CW14" s="847"/>
      <c r="CX14" s="847"/>
      <c r="CY14" s="847"/>
      <c r="CZ14" s="847"/>
      <c r="DA14" s="847"/>
      <c r="DB14" s="847"/>
      <c r="DC14" s="847"/>
      <c r="DD14" s="847"/>
      <c r="DE14" s="847"/>
      <c r="DF14" s="847"/>
      <c r="DG14" s="847"/>
      <c r="DH14" s="847"/>
      <c r="DI14" s="847"/>
      <c r="DJ14" s="847"/>
    </row>
    <row r="15" spans="1:114" ht="18.75">
      <c r="A15" s="761">
        <v>6</v>
      </c>
      <c r="B15" s="772" t="s">
        <v>9</v>
      </c>
      <c r="C15" s="765">
        <v>120</v>
      </c>
      <c r="D15" s="712"/>
      <c r="E15" s="714">
        <v>46</v>
      </c>
      <c r="F15" s="697">
        <f>E15/AI15*100</f>
        <v>0.21064200018316698</v>
      </c>
      <c r="G15" s="714">
        <v>23</v>
      </c>
      <c r="H15" s="699">
        <f>G15/AI15*100</f>
        <v>0.10532100009158349</v>
      </c>
      <c r="I15" s="714">
        <v>75</v>
      </c>
      <c r="J15" s="699">
        <f>I15/AI15*100</f>
        <v>0.34343804377690268</v>
      </c>
      <c r="K15" s="724"/>
      <c r="L15" s="714">
        <v>1</v>
      </c>
      <c r="M15" s="713">
        <v>0</v>
      </c>
      <c r="N15" s="696"/>
      <c r="O15" s="711">
        <v>0</v>
      </c>
      <c r="P15" s="711"/>
      <c r="Q15" s="714">
        <v>110</v>
      </c>
      <c r="R15" s="711" t="s">
        <v>81</v>
      </c>
      <c r="S15" s="711" t="s">
        <v>81</v>
      </c>
      <c r="T15" s="711">
        <v>65.319999999999993</v>
      </c>
      <c r="U15" s="715">
        <f>117*100/C15</f>
        <v>97.5</v>
      </c>
      <c r="V15" s="711">
        <v>0</v>
      </c>
      <c r="W15" s="712"/>
      <c r="X15" s="712"/>
      <c r="Y15" s="695">
        <v>80.56</v>
      </c>
      <c r="Z15" s="716">
        <v>77.78</v>
      </c>
      <c r="AA15" s="716">
        <v>77.78</v>
      </c>
      <c r="AB15" s="716">
        <v>100</v>
      </c>
      <c r="AC15" s="717"/>
      <c r="AD15" s="712"/>
      <c r="AE15" s="712"/>
      <c r="AF15" s="712"/>
      <c r="AG15" s="712"/>
      <c r="AH15" s="712"/>
      <c r="AI15" s="713">
        <f>21838</f>
        <v>21838</v>
      </c>
      <c r="AJ15" s="789">
        <f>SUM(C16:AH16)</f>
        <v>54.3</v>
      </c>
      <c r="AK15" s="847"/>
      <c r="AL15" s="847"/>
      <c r="AM15" s="847"/>
      <c r="AN15" s="847"/>
      <c r="AO15" s="847"/>
      <c r="AP15" s="847"/>
      <c r="AQ15" s="847"/>
      <c r="AR15" s="847"/>
      <c r="AS15" s="847"/>
      <c r="AT15" s="847"/>
      <c r="AU15" s="847"/>
      <c r="AV15" s="847"/>
      <c r="AW15" s="847"/>
      <c r="AX15" s="847"/>
      <c r="AY15" s="847"/>
      <c r="AZ15" s="847"/>
      <c r="BA15" s="847"/>
      <c r="BB15" s="847"/>
      <c r="BC15" s="847"/>
      <c r="BD15" s="847"/>
      <c r="BE15" s="847"/>
      <c r="BF15" s="847"/>
      <c r="BG15" s="847"/>
      <c r="BH15" s="847"/>
      <c r="BI15" s="847"/>
      <c r="BJ15" s="847"/>
      <c r="BK15" s="847"/>
      <c r="BL15" s="847"/>
      <c r="BM15" s="847"/>
      <c r="BN15" s="847"/>
      <c r="BO15" s="847"/>
      <c r="BP15" s="847"/>
      <c r="BQ15" s="847"/>
      <c r="BR15" s="847"/>
      <c r="BS15" s="847"/>
      <c r="BT15" s="847"/>
      <c r="BU15" s="847"/>
      <c r="BV15" s="847"/>
      <c r="BW15" s="847"/>
      <c r="BX15" s="847"/>
      <c r="BY15" s="847"/>
      <c r="BZ15" s="847"/>
      <c r="CA15" s="847"/>
      <c r="CB15" s="847"/>
      <c r="CC15" s="847"/>
      <c r="CD15" s="847"/>
      <c r="CE15" s="847"/>
      <c r="CF15" s="847"/>
      <c r="CG15" s="847"/>
      <c r="CH15" s="847"/>
      <c r="CI15" s="847"/>
      <c r="CJ15" s="847"/>
      <c r="CK15" s="847"/>
      <c r="CL15" s="847"/>
      <c r="CM15" s="847"/>
      <c r="CN15" s="847"/>
      <c r="CO15" s="847"/>
      <c r="CP15" s="847"/>
      <c r="CQ15" s="847"/>
      <c r="CR15" s="847"/>
      <c r="CS15" s="847"/>
      <c r="CT15" s="847"/>
      <c r="CU15" s="847"/>
      <c r="CV15" s="847"/>
      <c r="CW15" s="847"/>
      <c r="CX15" s="847"/>
      <c r="CY15" s="847"/>
      <c r="CZ15" s="847"/>
      <c r="DA15" s="847"/>
      <c r="DB15" s="847"/>
      <c r="DC15" s="847"/>
      <c r="DD15" s="847"/>
      <c r="DE15" s="847"/>
      <c r="DF15" s="847"/>
      <c r="DG15" s="847"/>
      <c r="DH15" s="847"/>
      <c r="DI15" s="847"/>
      <c r="DJ15" s="847"/>
    </row>
    <row r="16" spans="1:114" s="76" customFormat="1" ht="18.75" hidden="1">
      <c r="A16" s="760"/>
      <c r="B16" s="773"/>
      <c r="C16" s="767"/>
      <c r="D16" s="704"/>
      <c r="E16" s="707"/>
      <c r="F16" s="707">
        <v>7</v>
      </c>
      <c r="G16" s="707"/>
      <c r="H16" s="707">
        <v>4</v>
      </c>
      <c r="I16" s="707"/>
      <c r="J16" s="707">
        <v>6</v>
      </c>
      <c r="K16" s="704">
        <v>-1.7</v>
      </c>
      <c r="L16" s="707">
        <v>1</v>
      </c>
      <c r="M16" s="706">
        <v>10</v>
      </c>
      <c r="N16" s="706"/>
      <c r="O16" s="705">
        <v>7</v>
      </c>
      <c r="P16" s="705"/>
      <c r="Q16" s="707">
        <v>10</v>
      </c>
      <c r="R16" s="704">
        <v>0</v>
      </c>
      <c r="S16" s="704">
        <v>0</v>
      </c>
      <c r="T16" s="704">
        <v>9</v>
      </c>
      <c r="U16" s="708">
        <v>0</v>
      </c>
      <c r="V16" s="704">
        <v>2</v>
      </c>
      <c r="W16" s="705"/>
      <c r="X16" s="705"/>
      <c r="Y16" s="709"/>
      <c r="Z16" s="705"/>
      <c r="AA16" s="705"/>
      <c r="AB16" s="705"/>
      <c r="AC16" s="710"/>
      <c r="AD16" s="705"/>
      <c r="AE16" s="705"/>
      <c r="AF16" s="705"/>
      <c r="AG16" s="705"/>
      <c r="AH16" s="705"/>
      <c r="AI16" s="706"/>
      <c r="AJ16" s="789"/>
      <c r="AK16" s="847"/>
      <c r="AL16" s="847"/>
      <c r="AM16" s="847"/>
      <c r="AN16" s="847"/>
      <c r="AO16" s="847"/>
      <c r="AP16" s="847"/>
      <c r="AQ16" s="847"/>
      <c r="AR16" s="847"/>
      <c r="AS16" s="847"/>
      <c r="AT16" s="847"/>
      <c r="AU16" s="847"/>
      <c r="AV16" s="847"/>
      <c r="AW16" s="847"/>
      <c r="AX16" s="847"/>
      <c r="AY16" s="847"/>
      <c r="AZ16" s="847"/>
      <c r="BA16" s="847"/>
      <c r="BB16" s="847"/>
      <c r="BC16" s="847"/>
      <c r="BD16" s="847"/>
      <c r="BE16" s="847"/>
      <c r="BF16" s="847"/>
      <c r="BG16" s="847"/>
      <c r="BH16" s="847"/>
      <c r="BI16" s="847"/>
      <c r="BJ16" s="847"/>
      <c r="BK16" s="847"/>
      <c r="BL16" s="847"/>
      <c r="BM16" s="847"/>
      <c r="BN16" s="847"/>
      <c r="BO16" s="847"/>
      <c r="BP16" s="847"/>
      <c r="BQ16" s="847"/>
      <c r="BR16" s="847"/>
      <c r="BS16" s="847"/>
      <c r="BT16" s="847"/>
      <c r="BU16" s="847"/>
      <c r="BV16" s="847"/>
      <c r="BW16" s="847"/>
      <c r="BX16" s="847"/>
      <c r="BY16" s="847"/>
      <c r="BZ16" s="847"/>
      <c r="CA16" s="847"/>
      <c r="CB16" s="847"/>
      <c r="CC16" s="847"/>
      <c r="CD16" s="847"/>
      <c r="CE16" s="847"/>
      <c r="CF16" s="847"/>
      <c r="CG16" s="847"/>
      <c r="CH16" s="847"/>
      <c r="CI16" s="847"/>
      <c r="CJ16" s="847"/>
      <c r="CK16" s="847"/>
      <c r="CL16" s="847"/>
      <c r="CM16" s="847"/>
      <c r="CN16" s="847"/>
      <c r="CO16" s="847"/>
      <c r="CP16" s="847"/>
      <c r="CQ16" s="847"/>
      <c r="CR16" s="847"/>
      <c r="CS16" s="847"/>
      <c r="CT16" s="847"/>
      <c r="CU16" s="847"/>
      <c r="CV16" s="847"/>
      <c r="CW16" s="847"/>
      <c r="CX16" s="847"/>
      <c r="CY16" s="847"/>
      <c r="CZ16" s="847"/>
      <c r="DA16" s="847"/>
      <c r="DB16" s="847"/>
      <c r="DC16" s="847"/>
      <c r="DD16" s="847"/>
      <c r="DE16" s="847"/>
      <c r="DF16" s="847"/>
      <c r="DG16" s="847"/>
      <c r="DH16" s="847"/>
      <c r="DI16" s="847"/>
      <c r="DJ16" s="847"/>
    </row>
    <row r="17" spans="1:114" ht="18.75">
      <c r="A17" s="761">
        <v>12</v>
      </c>
      <c r="B17" s="772" t="s">
        <v>59</v>
      </c>
      <c r="C17" s="766">
        <v>6</v>
      </c>
      <c r="D17" s="712"/>
      <c r="E17" s="714">
        <v>0</v>
      </c>
      <c r="F17" s="697">
        <f>E17/AI17*100</f>
        <v>0</v>
      </c>
      <c r="G17" s="714">
        <v>1</v>
      </c>
      <c r="H17" s="699">
        <f>G17/AI17*100</f>
        <v>9.2250922509225092E-2</v>
      </c>
      <c r="I17" s="714">
        <v>1</v>
      </c>
      <c r="J17" s="699">
        <f>I17/AI17*100</f>
        <v>9.2250922509225092E-2</v>
      </c>
      <c r="K17" s="637"/>
      <c r="L17" s="714">
        <v>1</v>
      </c>
      <c r="M17" s="713">
        <v>0</v>
      </c>
      <c r="N17" s="696"/>
      <c r="O17" s="712">
        <v>0</v>
      </c>
      <c r="P17" s="712"/>
      <c r="Q17" s="714">
        <v>2</v>
      </c>
      <c r="R17" s="712" t="s">
        <v>81</v>
      </c>
      <c r="S17" s="712" t="s">
        <v>81</v>
      </c>
      <c r="T17" s="712">
        <v>87.6</v>
      </c>
      <c r="U17" s="715">
        <v>0</v>
      </c>
      <c r="V17" s="712">
        <v>0</v>
      </c>
      <c r="W17" s="712"/>
      <c r="X17" s="712"/>
      <c r="Y17" s="716">
        <v>100</v>
      </c>
      <c r="Z17" s="716">
        <v>33.299999999999997</v>
      </c>
      <c r="AA17" s="716">
        <v>50</v>
      </c>
      <c r="AB17" s="716">
        <v>100</v>
      </c>
      <c r="AC17" s="717"/>
      <c r="AD17" s="712"/>
      <c r="AE17" s="712"/>
      <c r="AF17" s="712"/>
      <c r="AG17" s="712"/>
      <c r="AH17" s="712"/>
      <c r="AI17" s="713">
        <v>1084</v>
      </c>
      <c r="AJ17" s="789">
        <f>SUM(C18:AH18)</f>
        <v>43</v>
      </c>
      <c r="AK17" s="847"/>
      <c r="AL17" s="847"/>
      <c r="AM17" s="847"/>
      <c r="AN17" s="847"/>
      <c r="AO17" s="847"/>
      <c r="AP17" s="847"/>
      <c r="AQ17" s="847"/>
      <c r="AR17" s="847"/>
      <c r="AS17" s="847"/>
      <c r="AT17" s="847"/>
      <c r="AU17" s="847"/>
      <c r="AV17" s="847"/>
      <c r="AW17" s="847"/>
      <c r="AX17" s="847"/>
      <c r="AY17" s="847"/>
      <c r="AZ17" s="847"/>
      <c r="BA17" s="847"/>
      <c r="BB17" s="847"/>
      <c r="BC17" s="847"/>
      <c r="BD17" s="847"/>
      <c r="BE17" s="847"/>
      <c r="BF17" s="847"/>
      <c r="BG17" s="847"/>
      <c r="BH17" s="847"/>
      <c r="BI17" s="847"/>
      <c r="BJ17" s="847"/>
      <c r="BK17" s="847"/>
      <c r="BL17" s="847"/>
      <c r="BM17" s="847"/>
      <c r="BN17" s="847"/>
      <c r="BO17" s="847"/>
      <c r="BP17" s="847"/>
      <c r="BQ17" s="847"/>
      <c r="BR17" s="847"/>
      <c r="BS17" s="847"/>
      <c r="BT17" s="847"/>
      <c r="BU17" s="847"/>
      <c r="BV17" s="847"/>
      <c r="BW17" s="847"/>
      <c r="BX17" s="847"/>
      <c r="BY17" s="847"/>
      <c r="BZ17" s="847"/>
      <c r="CA17" s="847"/>
      <c r="CB17" s="847"/>
      <c r="CC17" s="847"/>
      <c r="CD17" s="847"/>
      <c r="CE17" s="847"/>
      <c r="CF17" s="847"/>
      <c r="CG17" s="847"/>
      <c r="CH17" s="847"/>
      <c r="CI17" s="847"/>
      <c r="CJ17" s="847"/>
      <c r="CK17" s="847"/>
      <c r="CL17" s="847"/>
      <c r="CM17" s="847"/>
      <c r="CN17" s="847"/>
      <c r="CO17" s="847"/>
      <c r="CP17" s="847"/>
      <c r="CQ17" s="847"/>
      <c r="CR17" s="847"/>
      <c r="CS17" s="847"/>
      <c r="CT17" s="847"/>
      <c r="CU17" s="847"/>
      <c r="CV17" s="847"/>
      <c r="CW17" s="847"/>
      <c r="CX17" s="847"/>
      <c r="CY17" s="847"/>
      <c r="CZ17" s="847"/>
      <c r="DA17" s="847"/>
      <c r="DB17" s="847"/>
      <c r="DC17" s="847"/>
      <c r="DD17" s="847"/>
      <c r="DE17" s="847"/>
      <c r="DF17" s="847"/>
      <c r="DG17" s="847"/>
      <c r="DH17" s="847"/>
      <c r="DI17" s="847"/>
      <c r="DJ17" s="847"/>
    </row>
    <row r="18" spans="1:114" s="27" customFormat="1" ht="18.75" hidden="1">
      <c r="A18" s="760"/>
      <c r="B18" s="771"/>
      <c r="C18" s="764"/>
      <c r="D18" s="705"/>
      <c r="E18" s="707"/>
      <c r="F18" s="707">
        <v>4</v>
      </c>
      <c r="G18" s="707"/>
      <c r="H18" s="707">
        <v>0</v>
      </c>
      <c r="I18" s="707"/>
      <c r="J18" s="707">
        <v>9</v>
      </c>
      <c r="K18" s="705"/>
      <c r="L18" s="707">
        <v>10</v>
      </c>
      <c r="M18" s="706">
        <v>10</v>
      </c>
      <c r="N18" s="706"/>
      <c r="O18" s="705">
        <v>10</v>
      </c>
      <c r="P18" s="705"/>
      <c r="Q18" s="707">
        <v>0</v>
      </c>
      <c r="R18" s="705">
        <v>0</v>
      </c>
      <c r="S18" s="705">
        <v>0</v>
      </c>
      <c r="T18" s="705">
        <v>0</v>
      </c>
      <c r="U18" s="708">
        <v>0</v>
      </c>
      <c r="V18" s="705">
        <v>0</v>
      </c>
      <c r="W18" s="705"/>
      <c r="X18" s="705"/>
      <c r="Y18" s="709"/>
      <c r="Z18" s="705"/>
      <c r="AA18" s="705"/>
      <c r="AB18" s="705"/>
      <c r="AC18" s="710"/>
      <c r="AD18" s="705"/>
      <c r="AE18" s="705"/>
      <c r="AF18" s="705"/>
      <c r="AG18" s="705"/>
      <c r="AH18" s="705"/>
      <c r="AI18" s="706"/>
      <c r="AJ18" s="789"/>
      <c r="AK18" s="847"/>
      <c r="AL18" s="847"/>
      <c r="AM18" s="847"/>
      <c r="AN18" s="847"/>
      <c r="AO18" s="847"/>
      <c r="AP18" s="847"/>
      <c r="AQ18" s="847"/>
      <c r="AR18" s="847"/>
      <c r="AS18" s="847"/>
      <c r="AT18" s="847"/>
      <c r="AU18" s="847"/>
      <c r="AV18" s="847"/>
      <c r="AW18" s="847"/>
      <c r="AX18" s="847"/>
      <c r="AY18" s="847"/>
      <c r="AZ18" s="847"/>
      <c r="BA18" s="847"/>
      <c r="BB18" s="847"/>
      <c r="BC18" s="847"/>
      <c r="BD18" s="847"/>
      <c r="BE18" s="847"/>
      <c r="BF18" s="847"/>
      <c r="BG18" s="847"/>
      <c r="BH18" s="847"/>
      <c r="BI18" s="847"/>
      <c r="BJ18" s="847"/>
      <c r="BK18" s="847"/>
      <c r="BL18" s="847"/>
      <c r="BM18" s="847"/>
      <c r="BN18" s="847"/>
      <c r="BO18" s="847"/>
      <c r="BP18" s="847"/>
      <c r="BQ18" s="847"/>
      <c r="BR18" s="847"/>
      <c r="BS18" s="847"/>
      <c r="BT18" s="847"/>
      <c r="BU18" s="847"/>
      <c r="BV18" s="847"/>
      <c r="BW18" s="847"/>
      <c r="BX18" s="847"/>
      <c r="BY18" s="847"/>
      <c r="BZ18" s="847"/>
      <c r="CA18" s="847"/>
      <c r="CB18" s="847"/>
      <c r="CC18" s="847"/>
      <c r="CD18" s="847"/>
      <c r="CE18" s="847"/>
      <c r="CF18" s="847"/>
      <c r="CG18" s="847"/>
      <c r="CH18" s="847"/>
      <c r="CI18" s="847"/>
      <c r="CJ18" s="847"/>
      <c r="CK18" s="847"/>
      <c r="CL18" s="847"/>
      <c r="CM18" s="847"/>
      <c r="CN18" s="847"/>
      <c r="CO18" s="847"/>
      <c r="CP18" s="847"/>
      <c r="CQ18" s="847"/>
      <c r="CR18" s="847"/>
      <c r="CS18" s="847"/>
      <c r="CT18" s="847"/>
      <c r="CU18" s="847"/>
      <c r="CV18" s="847"/>
      <c r="CW18" s="847"/>
      <c r="CX18" s="847"/>
      <c r="CY18" s="847"/>
      <c r="CZ18" s="847"/>
      <c r="DA18" s="847"/>
      <c r="DB18" s="847"/>
      <c r="DC18" s="847"/>
      <c r="DD18" s="847"/>
      <c r="DE18" s="847"/>
      <c r="DF18" s="847"/>
      <c r="DG18" s="847"/>
      <c r="DH18" s="847"/>
      <c r="DI18" s="847"/>
      <c r="DJ18" s="847"/>
    </row>
    <row r="19" spans="1:114" ht="18.75" hidden="1">
      <c r="A19" s="761">
        <v>10</v>
      </c>
      <c r="B19" s="772" t="s">
        <v>13</v>
      </c>
      <c r="C19" s="766">
        <v>8</v>
      </c>
      <c r="D19" s="723"/>
      <c r="E19" s="714">
        <v>1</v>
      </c>
      <c r="F19" s="697">
        <f>E19/AI19*100</f>
        <v>7.0571630204657732E-2</v>
      </c>
      <c r="G19" s="714">
        <v>2</v>
      </c>
      <c r="H19" s="699">
        <f>G19/AI19*100</f>
        <v>0.14114326040931546</v>
      </c>
      <c r="I19" s="714">
        <v>1</v>
      </c>
      <c r="J19" s="699">
        <f>I19/AI19*100</f>
        <v>7.0571630204657732E-2</v>
      </c>
      <c r="K19" s="723"/>
      <c r="L19" s="714">
        <v>2</v>
      </c>
      <c r="M19" s="713">
        <v>0</v>
      </c>
      <c r="N19" s="722"/>
      <c r="O19" s="711">
        <v>0</v>
      </c>
      <c r="P19" s="725"/>
      <c r="Q19" s="714">
        <v>7</v>
      </c>
      <c r="R19" s="711" t="s">
        <v>81</v>
      </c>
      <c r="S19" s="711" t="s">
        <v>81</v>
      </c>
      <c r="T19" s="712">
        <v>73.319999999999993</v>
      </c>
      <c r="U19" s="715">
        <v>0</v>
      </c>
      <c r="V19" s="711">
        <v>0</v>
      </c>
      <c r="W19" s="712"/>
      <c r="X19" s="712"/>
      <c r="Y19" s="716">
        <v>100</v>
      </c>
      <c r="Z19" s="716">
        <v>100</v>
      </c>
      <c r="AA19" s="716">
        <v>100</v>
      </c>
      <c r="AB19" s="716">
        <v>100</v>
      </c>
      <c r="AC19" s="717"/>
      <c r="AD19" s="712"/>
      <c r="AE19" s="712"/>
      <c r="AF19" s="712"/>
      <c r="AG19" s="712"/>
      <c r="AH19" s="712"/>
      <c r="AI19" s="713">
        <v>1417</v>
      </c>
      <c r="AJ19" s="789">
        <f>SUM(C20:AH20)</f>
        <v>97</v>
      </c>
      <c r="AK19" s="847"/>
      <c r="AL19" s="847"/>
      <c r="AM19" s="847"/>
      <c r="AN19" s="847"/>
      <c r="AO19" s="847"/>
      <c r="AP19" s="847"/>
      <c r="AQ19" s="847"/>
      <c r="AR19" s="847"/>
      <c r="AS19" s="847"/>
      <c r="AT19" s="847"/>
      <c r="AU19" s="847"/>
      <c r="AV19" s="847"/>
      <c r="AW19" s="847"/>
      <c r="AX19" s="847"/>
      <c r="AY19" s="847"/>
      <c r="AZ19" s="847"/>
      <c r="BA19" s="847"/>
      <c r="BB19" s="847"/>
      <c r="BC19" s="847"/>
      <c r="BD19" s="847"/>
      <c r="BE19" s="847"/>
      <c r="BF19" s="847"/>
      <c r="BG19" s="847"/>
      <c r="BH19" s="847"/>
      <c r="BI19" s="847"/>
      <c r="BJ19" s="847"/>
      <c r="BK19" s="847"/>
      <c r="BL19" s="847"/>
      <c r="BM19" s="847"/>
      <c r="BN19" s="847"/>
      <c r="BO19" s="847"/>
      <c r="BP19" s="847"/>
      <c r="BQ19" s="847"/>
      <c r="BR19" s="847"/>
      <c r="BS19" s="847"/>
      <c r="BT19" s="847"/>
      <c r="BU19" s="847"/>
      <c r="BV19" s="847"/>
      <c r="BW19" s="847"/>
      <c r="BX19" s="847"/>
      <c r="BY19" s="847"/>
      <c r="BZ19" s="847"/>
      <c r="CA19" s="847"/>
      <c r="CB19" s="847"/>
      <c r="CC19" s="847"/>
      <c r="CD19" s="847"/>
      <c r="CE19" s="847"/>
      <c r="CF19" s="847"/>
      <c r="CG19" s="847"/>
      <c r="CH19" s="847"/>
      <c r="CI19" s="847"/>
      <c r="CJ19" s="847"/>
      <c r="CK19" s="847"/>
      <c r="CL19" s="847"/>
      <c r="CM19" s="847"/>
      <c r="CN19" s="847"/>
      <c r="CO19" s="847"/>
      <c r="CP19" s="847"/>
      <c r="CQ19" s="847"/>
      <c r="CR19" s="847"/>
      <c r="CS19" s="847"/>
      <c r="CT19" s="847"/>
      <c r="CU19" s="847"/>
      <c r="CV19" s="847"/>
      <c r="CW19" s="847"/>
      <c r="CX19" s="847"/>
      <c r="CY19" s="847"/>
      <c r="CZ19" s="847"/>
      <c r="DA19" s="847"/>
      <c r="DB19" s="847"/>
      <c r="DC19" s="847"/>
      <c r="DD19" s="847"/>
      <c r="DE19" s="847"/>
      <c r="DF19" s="847"/>
      <c r="DG19" s="847"/>
      <c r="DH19" s="847"/>
      <c r="DI19" s="847"/>
      <c r="DJ19" s="847"/>
    </row>
    <row r="20" spans="1:114" s="27" customFormat="1" ht="18.75" hidden="1">
      <c r="A20" s="760"/>
      <c r="B20" s="771"/>
      <c r="C20" s="764"/>
      <c r="D20" s="705"/>
      <c r="E20" s="707"/>
      <c r="F20" s="707">
        <v>0</v>
      </c>
      <c r="G20" s="707"/>
      <c r="H20" s="707">
        <v>5</v>
      </c>
      <c r="I20" s="707"/>
      <c r="J20" s="707">
        <v>0</v>
      </c>
      <c r="K20" s="705"/>
      <c r="L20" s="707">
        <v>10</v>
      </c>
      <c r="M20" s="706">
        <v>10</v>
      </c>
      <c r="N20" s="706"/>
      <c r="O20" s="704">
        <v>10</v>
      </c>
      <c r="P20" s="704"/>
      <c r="Q20" s="707">
        <v>10</v>
      </c>
      <c r="R20" s="704">
        <v>0</v>
      </c>
      <c r="S20" s="704">
        <v>0</v>
      </c>
      <c r="T20" s="704">
        <v>7</v>
      </c>
      <c r="U20" s="708">
        <v>10</v>
      </c>
      <c r="V20" s="704">
        <v>0</v>
      </c>
      <c r="W20" s="705"/>
      <c r="X20" s="705"/>
      <c r="Y20" s="709">
        <v>9</v>
      </c>
      <c r="Z20" s="705">
        <v>8</v>
      </c>
      <c r="AA20" s="705">
        <v>8</v>
      </c>
      <c r="AB20" s="705">
        <v>10</v>
      </c>
      <c r="AC20" s="710"/>
      <c r="AD20" s="705"/>
      <c r="AE20" s="705"/>
      <c r="AF20" s="705"/>
      <c r="AG20" s="705"/>
      <c r="AH20" s="705"/>
      <c r="AI20" s="706"/>
      <c r="AJ20" s="789"/>
      <c r="AK20" s="847"/>
      <c r="AL20" s="847"/>
      <c r="AM20" s="847"/>
      <c r="AN20" s="847"/>
      <c r="AO20" s="847"/>
      <c r="AP20" s="847"/>
      <c r="AQ20" s="847"/>
      <c r="AR20" s="847"/>
      <c r="AS20" s="847"/>
      <c r="AT20" s="847"/>
      <c r="AU20" s="847"/>
      <c r="AV20" s="847"/>
      <c r="AW20" s="847"/>
      <c r="AX20" s="847"/>
      <c r="AY20" s="847"/>
      <c r="AZ20" s="847"/>
      <c r="BA20" s="847"/>
      <c r="BB20" s="847"/>
      <c r="BC20" s="847"/>
      <c r="BD20" s="847"/>
      <c r="BE20" s="847"/>
      <c r="BF20" s="847"/>
      <c r="BG20" s="847"/>
      <c r="BH20" s="847"/>
      <c r="BI20" s="847"/>
      <c r="BJ20" s="847"/>
      <c r="BK20" s="847"/>
      <c r="BL20" s="847"/>
      <c r="BM20" s="847"/>
      <c r="BN20" s="847"/>
      <c r="BO20" s="847"/>
      <c r="BP20" s="847"/>
      <c r="BQ20" s="847"/>
      <c r="BR20" s="847"/>
      <c r="BS20" s="847"/>
      <c r="BT20" s="847"/>
      <c r="BU20" s="847"/>
      <c r="BV20" s="847"/>
      <c r="BW20" s="847"/>
      <c r="BX20" s="847"/>
      <c r="BY20" s="847"/>
      <c r="BZ20" s="847"/>
      <c r="CA20" s="847"/>
      <c r="CB20" s="847"/>
      <c r="CC20" s="847"/>
      <c r="CD20" s="847"/>
      <c r="CE20" s="847"/>
      <c r="CF20" s="847"/>
      <c r="CG20" s="847"/>
      <c r="CH20" s="847"/>
      <c r="CI20" s="847"/>
      <c r="CJ20" s="847"/>
      <c r="CK20" s="847"/>
      <c r="CL20" s="847"/>
      <c r="CM20" s="847"/>
      <c r="CN20" s="847"/>
      <c r="CO20" s="847"/>
      <c r="CP20" s="847"/>
      <c r="CQ20" s="847"/>
      <c r="CR20" s="847"/>
      <c r="CS20" s="847"/>
      <c r="CT20" s="847"/>
      <c r="CU20" s="847"/>
      <c r="CV20" s="847"/>
      <c r="CW20" s="847"/>
      <c r="CX20" s="847"/>
      <c r="CY20" s="847"/>
      <c r="CZ20" s="847"/>
      <c r="DA20" s="847"/>
      <c r="DB20" s="847"/>
      <c r="DC20" s="847"/>
      <c r="DD20" s="847"/>
      <c r="DE20" s="847"/>
      <c r="DF20" s="847"/>
      <c r="DG20" s="847"/>
      <c r="DH20" s="847"/>
      <c r="DI20" s="847"/>
      <c r="DJ20" s="847"/>
    </row>
    <row r="21" spans="1:114" s="3" customFormat="1" ht="18.75" hidden="1">
      <c r="A21" s="761">
        <v>19</v>
      </c>
      <c r="B21" s="772" t="s">
        <v>62</v>
      </c>
      <c r="C21" s="766">
        <v>8</v>
      </c>
      <c r="D21" s="711"/>
      <c r="E21" s="714">
        <v>0</v>
      </c>
      <c r="F21" s="697">
        <f>E21/AI21*100</f>
        <v>0</v>
      </c>
      <c r="G21" s="714">
        <v>0</v>
      </c>
      <c r="H21" s="699">
        <f>G21/AI21*100</f>
        <v>0</v>
      </c>
      <c r="I21" s="714">
        <v>6</v>
      </c>
      <c r="J21" s="699">
        <f>I21/AI21*100</f>
        <v>0.42342978122794639</v>
      </c>
      <c r="K21" s="711"/>
      <c r="L21" s="714">
        <v>0</v>
      </c>
      <c r="M21" s="713">
        <v>0</v>
      </c>
      <c r="N21" s="696"/>
      <c r="O21" s="711">
        <v>0</v>
      </c>
      <c r="P21" s="711"/>
      <c r="Q21" s="714">
        <v>0</v>
      </c>
      <c r="R21" s="711" t="s">
        <v>81</v>
      </c>
      <c r="S21" s="711" t="s">
        <v>81</v>
      </c>
      <c r="T21" s="711">
        <v>0</v>
      </c>
      <c r="U21" s="715">
        <v>0</v>
      </c>
      <c r="V21" s="711">
        <v>0</v>
      </c>
      <c r="W21" s="711"/>
      <c r="X21" s="711"/>
      <c r="Y21" s="716">
        <v>100</v>
      </c>
      <c r="Z21" s="716">
        <v>100</v>
      </c>
      <c r="AA21" s="716">
        <v>100</v>
      </c>
      <c r="AB21" s="716">
        <v>100</v>
      </c>
      <c r="AC21" s="717"/>
      <c r="AD21" s="711"/>
      <c r="AE21" s="711"/>
      <c r="AF21" s="712"/>
      <c r="AG21" s="711"/>
      <c r="AH21" s="711"/>
      <c r="AI21" s="713">
        <v>1417</v>
      </c>
      <c r="AJ21" s="789">
        <f>SUM(C22:AH22)</f>
        <v>107</v>
      </c>
      <c r="AK21" s="847"/>
      <c r="AL21" s="847"/>
      <c r="AM21" s="847"/>
      <c r="AN21" s="847"/>
      <c r="AO21" s="847"/>
      <c r="AP21" s="847"/>
      <c r="AQ21" s="847"/>
      <c r="AR21" s="847"/>
      <c r="AS21" s="847"/>
      <c r="AT21" s="847"/>
      <c r="AU21" s="847"/>
      <c r="AV21" s="847"/>
      <c r="AW21" s="847"/>
      <c r="AX21" s="847"/>
      <c r="AY21" s="847"/>
      <c r="AZ21" s="847"/>
      <c r="BA21" s="847"/>
      <c r="BB21" s="847"/>
      <c r="BC21" s="847"/>
      <c r="BD21" s="847"/>
      <c r="BE21" s="847"/>
      <c r="BF21" s="847"/>
      <c r="BG21" s="847"/>
      <c r="BH21" s="847"/>
      <c r="BI21" s="847"/>
      <c r="BJ21" s="847"/>
      <c r="BK21" s="847"/>
      <c r="BL21" s="847"/>
      <c r="BM21" s="847"/>
      <c r="BN21" s="847"/>
      <c r="BO21" s="847"/>
      <c r="BP21" s="847"/>
      <c r="BQ21" s="847"/>
      <c r="BR21" s="847"/>
      <c r="BS21" s="847"/>
      <c r="BT21" s="847"/>
      <c r="BU21" s="847"/>
      <c r="BV21" s="847"/>
      <c r="BW21" s="847"/>
      <c r="BX21" s="847"/>
      <c r="BY21" s="847"/>
      <c r="BZ21" s="847"/>
      <c r="CA21" s="847"/>
      <c r="CB21" s="847"/>
      <c r="CC21" s="847"/>
      <c r="CD21" s="847"/>
      <c r="CE21" s="847"/>
      <c r="CF21" s="847"/>
      <c r="CG21" s="847"/>
      <c r="CH21" s="847"/>
      <c r="CI21" s="847"/>
      <c r="CJ21" s="847"/>
      <c r="CK21" s="847"/>
      <c r="CL21" s="847"/>
      <c r="CM21" s="847"/>
      <c r="CN21" s="847"/>
      <c r="CO21" s="847"/>
      <c r="CP21" s="847"/>
      <c r="CQ21" s="847"/>
      <c r="CR21" s="847"/>
      <c r="CS21" s="847"/>
      <c r="CT21" s="847"/>
      <c r="CU21" s="847"/>
      <c r="CV21" s="847"/>
      <c r="CW21" s="847"/>
      <c r="CX21" s="847"/>
      <c r="CY21" s="847"/>
      <c r="CZ21" s="847"/>
      <c r="DA21" s="847"/>
      <c r="DB21" s="847"/>
      <c r="DC21" s="847"/>
      <c r="DD21" s="847"/>
      <c r="DE21" s="847"/>
      <c r="DF21" s="847"/>
      <c r="DG21" s="847"/>
      <c r="DH21" s="847"/>
      <c r="DI21" s="847"/>
      <c r="DJ21" s="847"/>
    </row>
    <row r="22" spans="1:114" s="76" customFormat="1" ht="18.75" hidden="1">
      <c r="A22" s="760"/>
      <c r="B22" s="773"/>
      <c r="C22" s="767"/>
      <c r="D22" s="704"/>
      <c r="E22" s="707"/>
      <c r="F22" s="707">
        <v>9</v>
      </c>
      <c r="G22" s="707"/>
      <c r="H22" s="707">
        <v>8</v>
      </c>
      <c r="I22" s="707"/>
      <c r="J22" s="707">
        <v>8</v>
      </c>
      <c r="K22" s="704"/>
      <c r="L22" s="726">
        <v>8</v>
      </c>
      <c r="M22" s="727">
        <v>10</v>
      </c>
      <c r="N22" s="727"/>
      <c r="O22" s="705">
        <v>10</v>
      </c>
      <c r="P22" s="705"/>
      <c r="Q22" s="707">
        <v>2</v>
      </c>
      <c r="R22" s="705">
        <v>0</v>
      </c>
      <c r="S22" s="705">
        <v>0</v>
      </c>
      <c r="T22" s="704">
        <v>5</v>
      </c>
      <c r="U22" s="708">
        <v>9</v>
      </c>
      <c r="V22" s="704">
        <v>0</v>
      </c>
      <c r="W22" s="705"/>
      <c r="X22" s="705"/>
      <c r="Y22" s="709">
        <v>10</v>
      </c>
      <c r="Z22" s="705">
        <v>9</v>
      </c>
      <c r="AA22" s="705">
        <v>9</v>
      </c>
      <c r="AB22" s="705">
        <v>10</v>
      </c>
      <c r="AC22" s="710"/>
      <c r="AD22" s="705"/>
      <c r="AE22" s="705"/>
      <c r="AF22" s="705"/>
      <c r="AG22" s="705"/>
      <c r="AH22" s="705"/>
      <c r="AI22" s="706"/>
      <c r="AJ22" s="789"/>
      <c r="AK22" s="847"/>
      <c r="AL22" s="847"/>
      <c r="AM22" s="847"/>
      <c r="AN22" s="847"/>
      <c r="AO22" s="847"/>
      <c r="AP22" s="847"/>
      <c r="AQ22" s="847"/>
      <c r="AR22" s="847"/>
      <c r="AS22" s="847"/>
      <c r="AT22" s="847"/>
      <c r="AU22" s="847"/>
      <c r="AV22" s="847"/>
      <c r="AW22" s="847"/>
      <c r="AX22" s="847"/>
      <c r="AY22" s="847"/>
      <c r="AZ22" s="847"/>
      <c r="BA22" s="847"/>
      <c r="BB22" s="847"/>
      <c r="BC22" s="847"/>
      <c r="BD22" s="847"/>
      <c r="BE22" s="847"/>
      <c r="BF22" s="847"/>
      <c r="BG22" s="847"/>
      <c r="BH22" s="847"/>
      <c r="BI22" s="847"/>
      <c r="BJ22" s="847"/>
      <c r="BK22" s="847"/>
      <c r="BL22" s="847"/>
      <c r="BM22" s="847"/>
      <c r="BN22" s="847"/>
      <c r="BO22" s="847"/>
      <c r="BP22" s="847"/>
      <c r="BQ22" s="847"/>
      <c r="BR22" s="847"/>
      <c r="BS22" s="847"/>
      <c r="BT22" s="847"/>
      <c r="BU22" s="847"/>
      <c r="BV22" s="847"/>
      <c r="BW22" s="847"/>
      <c r="BX22" s="847"/>
      <c r="BY22" s="847"/>
      <c r="BZ22" s="847"/>
      <c r="CA22" s="847"/>
      <c r="CB22" s="847"/>
      <c r="CC22" s="847"/>
      <c r="CD22" s="847"/>
      <c r="CE22" s="847"/>
      <c r="CF22" s="847"/>
      <c r="CG22" s="847"/>
      <c r="CH22" s="847"/>
      <c r="CI22" s="847"/>
      <c r="CJ22" s="847"/>
      <c r="CK22" s="847"/>
      <c r="CL22" s="847"/>
      <c r="CM22" s="847"/>
      <c r="CN22" s="847"/>
      <c r="CO22" s="847"/>
      <c r="CP22" s="847"/>
      <c r="CQ22" s="847"/>
      <c r="CR22" s="847"/>
      <c r="CS22" s="847"/>
      <c r="CT22" s="847"/>
      <c r="CU22" s="847"/>
      <c r="CV22" s="847"/>
      <c r="CW22" s="847"/>
      <c r="CX22" s="847"/>
      <c r="CY22" s="847"/>
      <c r="CZ22" s="847"/>
      <c r="DA22" s="847"/>
      <c r="DB22" s="847"/>
      <c r="DC22" s="847"/>
      <c r="DD22" s="847"/>
      <c r="DE22" s="847"/>
      <c r="DF22" s="847"/>
      <c r="DG22" s="847"/>
      <c r="DH22" s="847"/>
      <c r="DI22" s="847"/>
      <c r="DJ22" s="847"/>
    </row>
    <row r="23" spans="1:114" ht="18.75">
      <c r="A23" s="761">
        <v>11</v>
      </c>
      <c r="B23" s="774" t="s">
        <v>11</v>
      </c>
      <c r="C23" s="768">
        <v>18</v>
      </c>
      <c r="D23" s="732"/>
      <c r="E23" s="733">
        <v>2</v>
      </c>
      <c r="F23" s="697">
        <f>E23/AI23*100</f>
        <v>1.8463810930576072E-2</v>
      </c>
      <c r="G23" s="733">
        <v>9</v>
      </c>
      <c r="H23" s="699">
        <f>G23/AI23*100</f>
        <v>8.3087149187592316E-2</v>
      </c>
      <c r="I23" s="733">
        <v>20</v>
      </c>
      <c r="J23" s="699">
        <f>I23/AI23*100</f>
        <v>0.18463810930576069</v>
      </c>
      <c r="K23" s="700"/>
      <c r="L23" s="733">
        <v>1</v>
      </c>
      <c r="M23" s="734">
        <v>0</v>
      </c>
      <c r="N23" s="696"/>
      <c r="O23" s="732">
        <v>0</v>
      </c>
      <c r="P23" s="732"/>
      <c r="Q23" s="733">
        <v>0</v>
      </c>
      <c r="R23" s="732" t="s">
        <v>81</v>
      </c>
      <c r="S23" s="732" t="s">
        <v>81</v>
      </c>
      <c r="T23" s="732">
        <v>0</v>
      </c>
      <c r="U23" s="735">
        <f>2*100/C23</f>
        <v>11.111111111111111</v>
      </c>
      <c r="V23" s="732">
        <v>0</v>
      </c>
      <c r="W23" s="732"/>
      <c r="X23" s="732"/>
      <c r="Y23" s="736">
        <v>100</v>
      </c>
      <c r="Z23" s="736">
        <v>66.599999999999994</v>
      </c>
      <c r="AA23" s="736">
        <v>66.599999999999994</v>
      </c>
      <c r="AB23" s="736">
        <v>100</v>
      </c>
      <c r="AC23" s="737"/>
      <c r="AD23" s="732"/>
      <c r="AE23" s="732"/>
      <c r="AF23" s="732"/>
      <c r="AG23" s="732"/>
      <c r="AH23" s="732"/>
      <c r="AI23" s="734">
        <v>10832</v>
      </c>
      <c r="AJ23" s="789">
        <f>SUM(C24:AH24)</f>
        <v>52.9</v>
      </c>
      <c r="AK23" s="847"/>
      <c r="AL23" s="847"/>
      <c r="AM23" s="847"/>
      <c r="AN23" s="847"/>
      <c r="AO23" s="847"/>
      <c r="AP23" s="847"/>
      <c r="AQ23" s="847"/>
      <c r="AR23" s="847"/>
      <c r="AS23" s="847"/>
      <c r="AT23" s="847"/>
      <c r="AU23" s="847"/>
      <c r="AV23" s="847"/>
      <c r="AW23" s="847"/>
      <c r="AX23" s="847"/>
      <c r="AY23" s="847"/>
      <c r="AZ23" s="847"/>
      <c r="BA23" s="847"/>
      <c r="BB23" s="847"/>
      <c r="BC23" s="847"/>
      <c r="BD23" s="847"/>
      <c r="BE23" s="847"/>
      <c r="BF23" s="847"/>
      <c r="BG23" s="847"/>
      <c r="BH23" s="847"/>
      <c r="BI23" s="847"/>
      <c r="BJ23" s="847"/>
      <c r="BK23" s="847"/>
      <c r="BL23" s="847"/>
      <c r="BM23" s="847"/>
      <c r="BN23" s="847"/>
      <c r="BO23" s="847"/>
      <c r="BP23" s="847"/>
      <c r="BQ23" s="847"/>
      <c r="BR23" s="847"/>
      <c r="BS23" s="847"/>
      <c r="BT23" s="847"/>
      <c r="BU23" s="847"/>
      <c r="BV23" s="847"/>
      <c r="BW23" s="847"/>
      <c r="BX23" s="847"/>
      <c r="BY23" s="847"/>
      <c r="BZ23" s="847"/>
      <c r="CA23" s="847"/>
      <c r="CB23" s="847"/>
      <c r="CC23" s="847"/>
      <c r="CD23" s="847"/>
      <c r="CE23" s="847"/>
      <c r="CF23" s="847"/>
      <c r="CG23" s="847"/>
      <c r="CH23" s="847"/>
      <c r="CI23" s="847"/>
      <c r="CJ23" s="847"/>
      <c r="CK23" s="847"/>
      <c r="CL23" s="847"/>
      <c r="CM23" s="847"/>
      <c r="CN23" s="847"/>
      <c r="CO23" s="847"/>
      <c r="CP23" s="847"/>
      <c r="CQ23" s="847"/>
      <c r="CR23" s="847"/>
      <c r="CS23" s="847"/>
      <c r="CT23" s="847"/>
      <c r="CU23" s="847"/>
      <c r="CV23" s="847"/>
      <c r="CW23" s="847"/>
      <c r="CX23" s="847"/>
      <c r="CY23" s="847"/>
      <c r="CZ23" s="847"/>
      <c r="DA23" s="847"/>
      <c r="DB23" s="847"/>
      <c r="DC23" s="847"/>
      <c r="DD23" s="847"/>
      <c r="DE23" s="847"/>
      <c r="DF23" s="847"/>
      <c r="DG23" s="847"/>
      <c r="DH23" s="847"/>
      <c r="DI23" s="847"/>
      <c r="DJ23" s="847"/>
    </row>
    <row r="24" spans="1:114" s="27" customFormat="1" ht="18.75" hidden="1">
      <c r="A24" s="760"/>
      <c r="B24" s="771"/>
      <c r="C24" s="767"/>
      <c r="D24" s="705"/>
      <c r="E24" s="707"/>
      <c r="F24" s="707">
        <v>8</v>
      </c>
      <c r="G24" s="707"/>
      <c r="H24" s="707">
        <v>9</v>
      </c>
      <c r="I24" s="707"/>
      <c r="J24" s="707">
        <v>4</v>
      </c>
      <c r="K24" s="705">
        <v>-2.1</v>
      </c>
      <c r="L24" s="707">
        <v>3</v>
      </c>
      <c r="M24" s="706">
        <v>10</v>
      </c>
      <c r="N24" s="706"/>
      <c r="O24" s="705">
        <v>7</v>
      </c>
      <c r="P24" s="705"/>
      <c r="Q24" s="707">
        <v>9</v>
      </c>
      <c r="R24" s="705">
        <v>0</v>
      </c>
      <c r="S24" s="705">
        <v>0</v>
      </c>
      <c r="T24" s="705">
        <v>0</v>
      </c>
      <c r="U24" s="708">
        <v>5</v>
      </c>
      <c r="V24" s="705">
        <v>0</v>
      </c>
      <c r="W24" s="705"/>
      <c r="X24" s="705"/>
      <c r="Y24" s="705"/>
      <c r="Z24" s="705"/>
      <c r="AA24" s="705"/>
      <c r="AB24" s="705"/>
      <c r="AC24" s="710"/>
      <c r="AD24" s="705"/>
      <c r="AE24" s="705"/>
      <c r="AF24" s="705"/>
      <c r="AG24" s="705"/>
      <c r="AH24" s="705"/>
      <c r="AI24" s="706"/>
      <c r="AJ24" s="789"/>
      <c r="AK24" s="847"/>
      <c r="AL24" s="847"/>
      <c r="AM24" s="847"/>
      <c r="AN24" s="847"/>
      <c r="AO24" s="847"/>
      <c r="AP24" s="847"/>
      <c r="AQ24" s="847"/>
      <c r="AR24" s="847"/>
      <c r="AS24" s="847"/>
      <c r="AT24" s="847"/>
      <c r="AU24" s="847"/>
      <c r="AV24" s="847"/>
      <c r="AW24" s="847"/>
      <c r="AX24" s="847"/>
      <c r="AY24" s="847"/>
      <c r="AZ24" s="847"/>
      <c r="BA24" s="847"/>
      <c r="BB24" s="847"/>
      <c r="BC24" s="847"/>
      <c r="BD24" s="847"/>
      <c r="BE24" s="847"/>
      <c r="BF24" s="847"/>
      <c r="BG24" s="847"/>
      <c r="BH24" s="847"/>
      <c r="BI24" s="847"/>
      <c r="BJ24" s="847"/>
      <c r="BK24" s="847"/>
      <c r="BL24" s="847"/>
      <c r="BM24" s="847"/>
      <c r="BN24" s="847"/>
      <c r="BO24" s="847"/>
      <c r="BP24" s="847"/>
      <c r="BQ24" s="847"/>
      <c r="BR24" s="847"/>
      <c r="BS24" s="847"/>
      <c r="BT24" s="847"/>
      <c r="BU24" s="847"/>
      <c r="BV24" s="847"/>
      <c r="BW24" s="847"/>
      <c r="BX24" s="847"/>
      <c r="BY24" s="847"/>
      <c r="BZ24" s="847"/>
      <c r="CA24" s="847"/>
      <c r="CB24" s="847"/>
      <c r="CC24" s="847"/>
      <c r="CD24" s="847"/>
      <c r="CE24" s="847"/>
      <c r="CF24" s="847"/>
      <c r="CG24" s="847"/>
      <c r="CH24" s="847"/>
      <c r="CI24" s="847"/>
      <c r="CJ24" s="847"/>
      <c r="CK24" s="847"/>
      <c r="CL24" s="847"/>
      <c r="CM24" s="847"/>
      <c r="CN24" s="847"/>
      <c r="CO24" s="847"/>
      <c r="CP24" s="847"/>
      <c r="CQ24" s="847"/>
      <c r="CR24" s="847"/>
      <c r="CS24" s="847"/>
      <c r="CT24" s="847"/>
      <c r="CU24" s="847"/>
      <c r="CV24" s="847"/>
      <c r="CW24" s="847"/>
      <c r="CX24" s="847"/>
      <c r="CY24" s="847"/>
      <c r="CZ24" s="847"/>
      <c r="DA24" s="847"/>
      <c r="DB24" s="847"/>
      <c r="DC24" s="847"/>
      <c r="DD24" s="847"/>
      <c r="DE24" s="847"/>
      <c r="DF24" s="847"/>
      <c r="DG24" s="847"/>
      <c r="DH24" s="847"/>
      <c r="DI24" s="847"/>
      <c r="DJ24" s="847"/>
    </row>
    <row r="25" spans="1:114" ht="18.75" hidden="1">
      <c r="A25" s="761">
        <v>16</v>
      </c>
      <c r="B25" s="772" t="s">
        <v>17</v>
      </c>
      <c r="C25" s="766">
        <v>34</v>
      </c>
      <c r="D25" s="711"/>
      <c r="E25" s="714">
        <v>5</v>
      </c>
      <c r="F25" s="697">
        <f>E25/AI25*100</f>
        <v>6.4160143718721932E-2</v>
      </c>
      <c r="G25" s="714">
        <v>11</v>
      </c>
      <c r="H25" s="699">
        <f>G25/AI25*100</f>
        <v>0.14115231618118826</v>
      </c>
      <c r="I25" s="714">
        <v>7</v>
      </c>
      <c r="J25" s="699">
        <f>I25/AI25*100</f>
        <v>8.9824201206210708E-2</v>
      </c>
      <c r="K25" s="738"/>
      <c r="L25" s="714">
        <v>11</v>
      </c>
      <c r="M25" s="713">
        <v>0</v>
      </c>
      <c r="N25" s="696"/>
      <c r="O25" s="711">
        <v>0</v>
      </c>
      <c r="P25" s="711"/>
      <c r="Q25" s="714">
        <v>21</v>
      </c>
      <c r="R25" s="711" t="s">
        <v>81</v>
      </c>
      <c r="S25" s="711" t="s">
        <v>81</v>
      </c>
      <c r="T25" s="711">
        <v>34.549999999999997</v>
      </c>
      <c r="U25" s="715">
        <v>0</v>
      </c>
      <c r="V25" s="711">
        <v>0</v>
      </c>
      <c r="W25" s="711"/>
      <c r="X25" s="711"/>
      <c r="Y25" s="716">
        <v>30.3</v>
      </c>
      <c r="Z25" s="716">
        <v>3</v>
      </c>
      <c r="AA25" s="716">
        <v>3</v>
      </c>
      <c r="AB25" s="716">
        <v>73</v>
      </c>
      <c r="AC25" s="717"/>
      <c r="AD25" s="711"/>
      <c r="AE25" s="711"/>
      <c r="AF25" s="712"/>
      <c r="AG25" s="711"/>
      <c r="AH25" s="711"/>
      <c r="AI25" s="713">
        <v>7793</v>
      </c>
      <c r="AJ25" s="789">
        <f>SUM(C26:AH26)</f>
        <v>104</v>
      </c>
      <c r="AK25" s="847"/>
      <c r="AL25" s="847"/>
      <c r="AM25" s="847"/>
      <c r="AN25" s="847"/>
      <c r="AO25" s="847"/>
      <c r="AP25" s="847"/>
      <c r="AQ25" s="847"/>
      <c r="AR25" s="847"/>
      <c r="AS25" s="847"/>
      <c r="AT25" s="847"/>
      <c r="AU25" s="847"/>
      <c r="AV25" s="847"/>
      <c r="AW25" s="847"/>
      <c r="AX25" s="847"/>
      <c r="AY25" s="847"/>
      <c r="AZ25" s="847"/>
      <c r="BA25" s="847"/>
      <c r="BB25" s="847"/>
      <c r="BC25" s="847"/>
      <c r="BD25" s="847"/>
      <c r="BE25" s="847"/>
      <c r="BF25" s="847"/>
      <c r="BG25" s="847"/>
      <c r="BH25" s="847"/>
      <c r="BI25" s="847"/>
      <c r="BJ25" s="847"/>
      <c r="BK25" s="847"/>
      <c r="BL25" s="847"/>
      <c r="BM25" s="847"/>
      <c r="BN25" s="847"/>
      <c r="BO25" s="847"/>
      <c r="BP25" s="847"/>
      <c r="BQ25" s="847"/>
      <c r="BR25" s="847"/>
      <c r="BS25" s="847"/>
      <c r="BT25" s="847"/>
      <c r="BU25" s="847"/>
      <c r="BV25" s="847"/>
      <c r="BW25" s="847"/>
      <c r="BX25" s="847"/>
      <c r="BY25" s="847"/>
      <c r="BZ25" s="847"/>
      <c r="CA25" s="847"/>
      <c r="CB25" s="847"/>
      <c r="CC25" s="847"/>
      <c r="CD25" s="847"/>
      <c r="CE25" s="847"/>
      <c r="CF25" s="847"/>
      <c r="CG25" s="847"/>
      <c r="CH25" s="847"/>
      <c r="CI25" s="847"/>
      <c r="CJ25" s="847"/>
      <c r="CK25" s="847"/>
      <c r="CL25" s="847"/>
      <c r="CM25" s="847"/>
      <c r="CN25" s="847"/>
      <c r="CO25" s="847"/>
      <c r="CP25" s="847"/>
      <c r="CQ25" s="847"/>
      <c r="CR25" s="847"/>
      <c r="CS25" s="847"/>
      <c r="CT25" s="847"/>
      <c r="CU25" s="847"/>
      <c r="CV25" s="847"/>
      <c r="CW25" s="847"/>
      <c r="CX25" s="847"/>
      <c r="CY25" s="847"/>
      <c r="CZ25" s="847"/>
      <c r="DA25" s="847"/>
      <c r="DB25" s="847"/>
      <c r="DC25" s="847"/>
      <c r="DD25" s="847"/>
      <c r="DE25" s="847"/>
      <c r="DF25" s="847"/>
      <c r="DG25" s="847"/>
      <c r="DH25" s="847"/>
      <c r="DI25" s="847"/>
      <c r="DJ25" s="847"/>
    </row>
    <row r="26" spans="1:114" s="27" customFormat="1" ht="18.75" hidden="1">
      <c r="A26" s="760"/>
      <c r="B26" s="771"/>
      <c r="C26" s="767"/>
      <c r="D26" s="705"/>
      <c r="E26" s="707"/>
      <c r="F26" s="707">
        <v>9</v>
      </c>
      <c r="G26" s="707"/>
      <c r="H26" s="707">
        <v>9</v>
      </c>
      <c r="I26" s="707"/>
      <c r="J26" s="707">
        <v>8</v>
      </c>
      <c r="K26" s="705"/>
      <c r="L26" s="707">
        <v>10</v>
      </c>
      <c r="M26" s="706">
        <v>10</v>
      </c>
      <c r="N26" s="706"/>
      <c r="O26" s="704">
        <v>10</v>
      </c>
      <c r="P26" s="704"/>
      <c r="Q26" s="707">
        <v>3</v>
      </c>
      <c r="R26" s="704">
        <v>0</v>
      </c>
      <c r="S26" s="704">
        <v>0</v>
      </c>
      <c r="T26" s="704">
        <v>0</v>
      </c>
      <c r="U26" s="708">
        <v>8</v>
      </c>
      <c r="V26" s="704">
        <v>0</v>
      </c>
      <c r="W26" s="705"/>
      <c r="X26" s="705"/>
      <c r="Y26" s="705">
        <v>10</v>
      </c>
      <c r="Z26" s="705">
        <v>10</v>
      </c>
      <c r="AA26" s="705">
        <v>10</v>
      </c>
      <c r="AB26" s="705">
        <v>7</v>
      </c>
      <c r="AC26" s="710"/>
      <c r="AD26" s="705"/>
      <c r="AE26" s="705"/>
      <c r="AF26" s="705"/>
      <c r="AG26" s="705"/>
      <c r="AH26" s="705"/>
      <c r="AI26" s="706"/>
      <c r="AJ26" s="789"/>
      <c r="AK26" s="847"/>
      <c r="AL26" s="847"/>
      <c r="AM26" s="847"/>
      <c r="AN26" s="847"/>
      <c r="AO26" s="847"/>
      <c r="AP26" s="847"/>
      <c r="AQ26" s="847"/>
      <c r="AR26" s="847"/>
      <c r="AS26" s="847"/>
      <c r="AT26" s="847"/>
      <c r="AU26" s="847"/>
      <c r="AV26" s="847"/>
      <c r="AW26" s="847"/>
      <c r="AX26" s="847"/>
      <c r="AY26" s="847"/>
      <c r="AZ26" s="847"/>
      <c r="BA26" s="847"/>
      <c r="BB26" s="847"/>
      <c r="BC26" s="847"/>
      <c r="BD26" s="847"/>
      <c r="BE26" s="847"/>
      <c r="BF26" s="847"/>
      <c r="BG26" s="847"/>
      <c r="BH26" s="847"/>
      <c r="BI26" s="847"/>
      <c r="BJ26" s="847"/>
      <c r="BK26" s="847"/>
      <c r="BL26" s="847"/>
      <c r="BM26" s="847"/>
      <c r="BN26" s="847"/>
      <c r="BO26" s="847"/>
      <c r="BP26" s="847"/>
      <c r="BQ26" s="847"/>
      <c r="BR26" s="847"/>
      <c r="BS26" s="847"/>
      <c r="BT26" s="847"/>
      <c r="BU26" s="847"/>
      <c r="BV26" s="847"/>
      <c r="BW26" s="847"/>
      <c r="BX26" s="847"/>
      <c r="BY26" s="847"/>
      <c r="BZ26" s="847"/>
      <c r="CA26" s="847"/>
      <c r="CB26" s="847"/>
      <c r="CC26" s="847"/>
      <c r="CD26" s="847"/>
      <c r="CE26" s="847"/>
      <c r="CF26" s="847"/>
      <c r="CG26" s="847"/>
      <c r="CH26" s="847"/>
      <c r="CI26" s="847"/>
      <c r="CJ26" s="847"/>
      <c r="CK26" s="847"/>
      <c r="CL26" s="847"/>
      <c r="CM26" s="847"/>
      <c r="CN26" s="847"/>
      <c r="CO26" s="847"/>
      <c r="CP26" s="847"/>
      <c r="CQ26" s="847"/>
      <c r="CR26" s="847"/>
      <c r="CS26" s="847"/>
      <c r="CT26" s="847"/>
      <c r="CU26" s="847"/>
      <c r="CV26" s="847"/>
      <c r="CW26" s="847"/>
      <c r="CX26" s="847"/>
      <c r="CY26" s="847"/>
      <c r="CZ26" s="847"/>
      <c r="DA26" s="847"/>
      <c r="DB26" s="847"/>
      <c r="DC26" s="847"/>
      <c r="DD26" s="847"/>
      <c r="DE26" s="847"/>
      <c r="DF26" s="847"/>
      <c r="DG26" s="847"/>
      <c r="DH26" s="847"/>
      <c r="DI26" s="847"/>
      <c r="DJ26" s="847"/>
    </row>
    <row r="27" spans="1:114" s="3" customFormat="1" ht="18.75">
      <c r="A27" s="761">
        <v>15</v>
      </c>
      <c r="B27" s="772" t="s">
        <v>60</v>
      </c>
      <c r="C27" s="766">
        <v>11</v>
      </c>
      <c r="D27" s="712"/>
      <c r="E27" s="714">
        <v>2</v>
      </c>
      <c r="F27" s="697">
        <f>E27/AI27*100</f>
        <v>7.130124777183601E-2</v>
      </c>
      <c r="G27" s="714">
        <v>7</v>
      </c>
      <c r="H27" s="699">
        <f>G27/AI27*100</f>
        <v>0.24955436720142604</v>
      </c>
      <c r="I27" s="714">
        <v>3</v>
      </c>
      <c r="J27" s="699">
        <f>I27/AI27*100</f>
        <v>0.10695187165775401</v>
      </c>
      <c r="K27" s="637"/>
      <c r="L27" s="714">
        <v>7</v>
      </c>
      <c r="M27" s="713">
        <v>0</v>
      </c>
      <c r="N27" s="696"/>
      <c r="O27" s="712">
        <v>0</v>
      </c>
      <c r="P27" s="712"/>
      <c r="Q27" s="714">
        <v>10</v>
      </c>
      <c r="R27" s="712" t="s">
        <v>81</v>
      </c>
      <c r="S27" s="712" t="s">
        <v>81</v>
      </c>
      <c r="T27" s="712">
        <v>0.87</v>
      </c>
      <c r="U27" s="715">
        <v>0</v>
      </c>
      <c r="V27" s="712">
        <v>0</v>
      </c>
      <c r="W27" s="712"/>
      <c r="X27" s="712"/>
      <c r="Y27" s="716">
        <v>45</v>
      </c>
      <c r="Z27" s="716">
        <v>18</v>
      </c>
      <c r="AA27" s="716">
        <v>18</v>
      </c>
      <c r="AB27" s="716">
        <v>18</v>
      </c>
      <c r="AC27" s="717"/>
      <c r="AD27" s="712"/>
      <c r="AE27" s="712"/>
      <c r="AF27" s="712"/>
      <c r="AG27" s="712"/>
      <c r="AH27" s="712"/>
      <c r="AI27" s="713">
        <v>2805</v>
      </c>
      <c r="AJ27" s="789">
        <f>SUM(C28:AH28)</f>
        <v>94</v>
      </c>
      <c r="AK27" s="847"/>
      <c r="AL27" s="847"/>
      <c r="AM27" s="847"/>
      <c r="AN27" s="847"/>
      <c r="AO27" s="847"/>
      <c r="AP27" s="847"/>
      <c r="AQ27" s="847"/>
      <c r="AR27" s="847"/>
      <c r="AS27" s="847"/>
      <c r="AT27" s="847"/>
      <c r="AU27" s="847"/>
      <c r="AV27" s="847"/>
      <c r="AW27" s="847"/>
      <c r="AX27" s="847"/>
      <c r="AY27" s="847"/>
      <c r="AZ27" s="847"/>
      <c r="BA27" s="847"/>
      <c r="BB27" s="847"/>
      <c r="BC27" s="847"/>
      <c r="BD27" s="847"/>
      <c r="BE27" s="847"/>
      <c r="BF27" s="847"/>
      <c r="BG27" s="847"/>
      <c r="BH27" s="847"/>
      <c r="BI27" s="847"/>
      <c r="BJ27" s="847"/>
      <c r="BK27" s="847"/>
      <c r="BL27" s="847"/>
      <c r="BM27" s="847"/>
      <c r="BN27" s="847"/>
      <c r="BO27" s="847"/>
      <c r="BP27" s="847"/>
      <c r="BQ27" s="847"/>
      <c r="BR27" s="847"/>
      <c r="BS27" s="847"/>
      <c r="BT27" s="847"/>
      <c r="BU27" s="847"/>
      <c r="BV27" s="847"/>
      <c r="BW27" s="847"/>
      <c r="BX27" s="847"/>
      <c r="BY27" s="847"/>
      <c r="BZ27" s="847"/>
      <c r="CA27" s="847"/>
      <c r="CB27" s="847"/>
      <c r="CC27" s="847"/>
      <c r="CD27" s="847"/>
      <c r="CE27" s="847"/>
      <c r="CF27" s="847"/>
      <c r="CG27" s="847"/>
      <c r="CH27" s="847"/>
      <c r="CI27" s="847"/>
      <c r="CJ27" s="847"/>
      <c r="CK27" s="847"/>
      <c r="CL27" s="847"/>
      <c r="CM27" s="847"/>
      <c r="CN27" s="847"/>
      <c r="CO27" s="847"/>
      <c r="CP27" s="847"/>
      <c r="CQ27" s="847"/>
      <c r="CR27" s="847"/>
      <c r="CS27" s="847"/>
      <c r="CT27" s="847"/>
      <c r="CU27" s="847"/>
      <c r="CV27" s="847"/>
      <c r="CW27" s="847"/>
      <c r="CX27" s="847"/>
      <c r="CY27" s="847"/>
      <c r="CZ27" s="847"/>
      <c r="DA27" s="847"/>
      <c r="DB27" s="847"/>
      <c r="DC27" s="847"/>
      <c r="DD27" s="847"/>
      <c r="DE27" s="847"/>
      <c r="DF27" s="847"/>
      <c r="DG27" s="847"/>
      <c r="DH27" s="847"/>
      <c r="DI27" s="847"/>
      <c r="DJ27" s="847"/>
    </row>
    <row r="28" spans="1:114" s="31" customFormat="1" ht="18.75" hidden="1">
      <c r="A28" s="760"/>
      <c r="B28" s="771"/>
      <c r="C28" s="767"/>
      <c r="D28" s="729"/>
      <c r="E28" s="707"/>
      <c r="F28" s="707">
        <v>5</v>
      </c>
      <c r="G28" s="707"/>
      <c r="H28" s="707">
        <v>1</v>
      </c>
      <c r="I28" s="707"/>
      <c r="J28" s="707">
        <v>10</v>
      </c>
      <c r="K28" s="729"/>
      <c r="L28" s="707">
        <v>10</v>
      </c>
      <c r="M28" s="706">
        <v>10</v>
      </c>
      <c r="N28" s="730"/>
      <c r="O28" s="704">
        <v>10</v>
      </c>
      <c r="P28" s="731"/>
      <c r="Q28" s="707">
        <v>0</v>
      </c>
      <c r="R28" s="704">
        <v>0</v>
      </c>
      <c r="S28" s="704">
        <v>0</v>
      </c>
      <c r="T28" s="705">
        <v>8</v>
      </c>
      <c r="U28" s="708">
        <v>0</v>
      </c>
      <c r="V28" s="704">
        <v>0</v>
      </c>
      <c r="W28" s="705"/>
      <c r="X28" s="705"/>
      <c r="Y28" s="705">
        <v>10</v>
      </c>
      <c r="Z28" s="705">
        <v>10</v>
      </c>
      <c r="AA28" s="705">
        <v>10</v>
      </c>
      <c r="AB28" s="705">
        <v>10</v>
      </c>
      <c r="AC28" s="710"/>
      <c r="AD28" s="705"/>
      <c r="AE28" s="705"/>
      <c r="AF28" s="705"/>
      <c r="AG28" s="705"/>
      <c r="AH28" s="705"/>
      <c r="AI28" s="706"/>
      <c r="AJ28" s="789"/>
      <c r="AK28" s="847"/>
      <c r="AL28" s="847"/>
      <c r="AM28" s="847"/>
      <c r="AN28" s="847"/>
      <c r="AO28" s="847"/>
      <c r="AP28" s="847"/>
      <c r="AQ28" s="847"/>
      <c r="AR28" s="847"/>
      <c r="AS28" s="847"/>
      <c r="AT28" s="847"/>
      <c r="AU28" s="847"/>
      <c r="AV28" s="847"/>
      <c r="AW28" s="847"/>
      <c r="AX28" s="847"/>
      <c r="AY28" s="847"/>
      <c r="AZ28" s="847"/>
      <c r="BA28" s="847"/>
      <c r="BB28" s="847"/>
      <c r="BC28" s="847"/>
      <c r="BD28" s="847"/>
      <c r="BE28" s="847"/>
      <c r="BF28" s="847"/>
      <c r="BG28" s="847"/>
      <c r="BH28" s="847"/>
      <c r="BI28" s="847"/>
      <c r="BJ28" s="847"/>
      <c r="BK28" s="847"/>
      <c r="BL28" s="847"/>
      <c r="BM28" s="847"/>
      <c r="BN28" s="847"/>
      <c r="BO28" s="847"/>
      <c r="BP28" s="847"/>
      <c r="BQ28" s="847"/>
      <c r="BR28" s="847"/>
      <c r="BS28" s="847"/>
      <c r="BT28" s="847"/>
      <c r="BU28" s="847"/>
      <c r="BV28" s="847"/>
      <c r="BW28" s="847"/>
      <c r="BX28" s="847"/>
      <c r="BY28" s="847"/>
      <c r="BZ28" s="847"/>
      <c r="CA28" s="847"/>
      <c r="CB28" s="847"/>
      <c r="CC28" s="847"/>
      <c r="CD28" s="847"/>
      <c r="CE28" s="847"/>
      <c r="CF28" s="847"/>
      <c r="CG28" s="847"/>
      <c r="CH28" s="847"/>
      <c r="CI28" s="847"/>
      <c r="CJ28" s="847"/>
      <c r="CK28" s="847"/>
      <c r="CL28" s="847"/>
      <c r="CM28" s="847"/>
      <c r="CN28" s="847"/>
      <c r="CO28" s="847"/>
      <c r="CP28" s="847"/>
      <c r="CQ28" s="847"/>
      <c r="CR28" s="847"/>
      <c r="CS28" s="847"/>
      <c r="CT28" s="847"/>
      <c r="CU28" s="847"/>
      <c r="CV28" s="847"/>
      <c r="CW28" s="847"/>
      <c r="CX28" s="847"/>
      <c r="CY28" s="847"/>
      <c r="CZ28" s="847"/>
      <c r="DA28" s="847"/>
      <c r="DB28" s="847"/>
      <c r="DC28" s="847"/>
      <c r="DD28" s="847"/>
      <c r="DE28" s="847"/>
      <c r="DF28" s="847"/>
      <c r="DG28" s="847"/>
      <c r="DH28" s="847"/>
      <c r="DI28" s="847"/>
      <c r="DJ28" s="847"/>
    </row>
    <row r="29" spans="1:114" s="4" customFormat="1" ht="18.75">
      <c r="A29" s="761">
        <v>20</v>
      </c>
      <c r="B29" s="772" t="s">
        <v>63</v>
      </c>
      <c r="C29" s="766">
        <v>107</v>
      </c>
      <c r="D29" s="725"/>
      <c r="E29" s="714">
        <v>9</v>
      </c>
      <c r="F29" s="697">
        <f>E29/AI29*100</f>
        <v>5.4928288068355202E-2</v>
      </c>
      <c r="G29" s="714">
        <v>30</v>
      </c>
      <c r="H29" s="699">
        <f>G29/AI29*100</f>
        <v>0.18309429356118401</v>
      </c>
      <c r="I29" s="714">
        <v>24</v>
      </c>
      <c r="J29" s="699">
        <f>I29/AI29*100</f>
        <v>0.14647543484894721</v>
      </c>
      <c r="K29" s="718"/>
      <c r="L29" s="714">
        <v>7</v>
      </c>
      <c r="M29" s="713">
        <v>0</v>
      </c>
      <c r="N29" s="696"/>
      <c r="O29" s="711">
        <v>0</v>
      </c>
      <c r="P29" s="725"/>
      <c r="Q29" s="714">
        <v>58</v>
      </c>
      <c r="R29" s="711" t="s">
        <v>81</v>
      </c>
      <c r="S29" s="711" t="s">
        <v>81</v>
      </c>
      <c r="T29" s="711">
        <v>67.8</v>
      </c>
      <c r="U29" s="715">
        <v>0</v>
      </c>
      <c r="V29" s="711">
        <v>0</v>
      </c>
      <c r="W29" s="712"/>
      <c r="X29" s="712"/>
      <c r="Y29" s="716"/>
      <c r="Z29" s="716"/>
      <c r="AA29" s="716"/>
      <c r="AB29" s="716"/>
      <c r="AC29" s="717"/>
      <c r="AD29" s="712"/>
      <c r="AE29" s="712"/>
      <c r="AF29" s="712"/>
      <c r="AG29" s="712"/>
      <c r="AH29" s="712"/>
      <c r="AI29" s="713">
        <f>13697+2688</f>
        <v>16385</v>
      </c>
      <c r="AJ29" s="789">
        <f>SUM(C30:AH30)</f>
        <v>84.6</v>
      </c>
      <c r="AK29" s="847"/>
      <c r="AL29" s="847"/>
      <c r="AM29" s="847"/>
      <c r="AN29" s="847"/>
      <c r="AO29" s="847"/>
      <c r="AP29" s="847"/>
      <c r="AQ29" s="847"/>
      <c r="AR29" s="847"/>
      <c r="AS29" s="847"/>
      <c r="AT29" s="847"/>
      <c r="AU29" s="847"/>
      <c r="AV29" s="847"/>
      <c r="AW29" s="847"/>
      <c r="AX29" s="847"/>
      <c r="AY29" s="847"/>
      <c r="AZ29" s="847"/>
      <c r="BA29" s="847"/>
      <c r="BB29" s="847"/>
      <c r="BC29" s="847"/>
      <c r="BD29" s="847"/>
      <c r="BE29" s="847"/>
      <c r="BF29" s="847"/>
      <c r="BG29" s="847"/>
      <c r="BH29" s="847"/>
      <c r="BI29" s="847"/>
      <c r="BJ29" s="847"/>
      <c r="BK29" s="847"/>
      <c r="BL29" s="847"/>
      <c r="BM29" s="847"/>
      <c r="BN29" s="847"/>
      <c r="BO29" s="847"/>
      <c r="BP29" s="847"/>
      <c r="BQ29" s="847"/>
      <c r="BR29" s="847"/>
      <c r="BS29" s="847"/>
      <c r="BT29" s="847"/>
      <c r="BU29" s="847"/>
      <c r="BV29" s="847"/>
      <c r="BW29" s="847"/>
      <c r="BX29" s="847"/>
      <c r="BY29" s="847"/>
      <c r="BZ29" s="847"/>
      <c r="CA29" s="847"/>
      <c r="CB29" s="847"/>
      <c r="CC29" s="847"/>
      <c r="CD29" s="847"/>
      <c r="CE29" s="847"/>
      <c r="CF29" s="847"/>
      <c r="CG29" s="847"/>
      <c r="CH29" s="847"/>
      <c r="CI29" s="847"/>
      <c r="CJ29" s="847"/>
      <c r="CK29" s="847"/>
      <c r="CL29" s="847"/>
      <c r="CM29" s="847"/>
      <c r="CN29" s="847"/>
      <c r="CO29" s="847"/>
      <c r="CP29" s="847"/>
      <c r="CQ29" s="847"/>
      <c r="CR29" s="847"/>
      <c r="CS29" s="847"/>
      <c r="CT29" s="847"/>
      <c r="CU29" s="847"/>
      <c r="CV29" s="847"/>
      <c r="CW29" s="847"/>
      <c r="CX29" s="847"/>
      <c r="CY29" s="847"/>
      <c r="CZ29" s="847"/>
      <c r="DA29" s="847"/>
      <c r="DB29" s="847"/>
      <c r="DC29" s="847"/>
      <c r="DD29" s="847"/>
      <c r="DE29" s="847"/>
      <c r="DF29" s="847"/>
      <c r="DG29" s="847"/>
      <c r="DH29" s="847"/>
      <c r="DI29" s="847"/>
      <c r="DJ29" s="847"/>
    </row>
    <row r="30" spans="1:114" s="27" customFormat="1" ht="18.75" hidden="1">
      <c r="A30" s="760"/>
      <c r="B30" s="771"/>
      <c r="C30" s="767"/>
      <c r="D30" s="705"/>
      <c r="E30" s="707"/>
      <c r="F30" s="707">
        <v>9</v>
      </c>
      <c r="G30" s="707"/>
      <c r="H30" s="707">
        <v>8</v>
      </c>
      <c r="I30" s="707"/>
      <c r="J30" s="707">
        <v>7</v>
      </c>
      <c r="K30" s="705">
        <v>-2.4</v>
      </c>
      <c r="L30" s="707">
        <v>8</v>
      </c>
      <c r="M30" s="706">
        <v>10</v>
      </c>
      <c r="N30" s="706"/>
      <c r="O30" s="705">
        <v>10</v>
      </c>
      <c r="P30" s="705"/>
      <c r="Q30" s="707">
        <v>0</v>
      </c>
      <c r="R30" s="705">
        <v>0</v>
      </c>
      <c r="S30" s="705">
        <v>0</v>
      </c>
      <c r="T30" s="705">
        <v>0</v>
      </c>
      <c r="U30" s="708">
        <v>1</v>
      </c>
      <c r="V30" s="705">
        <v>0</v>
      </c>
      <c r="W30" s="705"/>
      <c r="X30" s="705"/>
      <c r="Y30" s="705">
        <v>10</v>
      </c>
      <c r="Z30" s="705">
        <v>7</v>
      </c>
      <c r="AA30" s="705">
        <v>7</v>
      </c>
      <c r="AB30" s="705">
        <v>10</v>
      </c>
      <c r="AC30" s="710"/>
      <c r="AD30" s="705"/>
      <c r="AE30" s="705"/>
      <c r="AF30" s="705"/>
      <c r="AG30" s="705"/>
      <c r="AH30" s="705"/>
      <c r="AI30" s="706"/>
      <c r="AJ30" s="789"/>
      <c r="AK30" s="847"/>
      <c r="AL30" s="847"/>
      <c r="AM30" s="847"/>
      <c r="AN30" s="847"/>
      <c r="AO30" s="847"/>
      <c r="AP30" s="847"/>
      <c r="AQ30" s="847"/>
      <c r="AR30" s="847"/>
      <c r="AS30" s="847"/>
      <c r="AT30" s="847"/>
      <c r="AU30" s="847"/>
      <c r="AV30" s="847"/>
      <c r="AW30" s="847"/>
      <c r="AX30" s="847"/>
      <c r="AY30" s="847"/>
      <c r="AZ30" s="847"/>
      <c r="BA30" s="847"/>
      <c r="BB30" s="847"/>
      <c r="BC30" s="847"/>
      <c r="BD30" s="847"/>
      <c r="BE30" s="847"/>
      <c r="BF30" s="847"/>
      <c r="BG30" s="847"/>
      <c r="BH30" s="847"/>
      <c r="BI30" s="847"/>
      <c r="BJ30" s="847"/>
      <c r="BK30" s="847"/>
      <c r="BL30" s="847"/>
      <c r="BM30" s="847"/>
      <c r="BN30" s="847"/>
      <c r="BO30" s="847"/>
      <c r="BP30" s="847"/>
      <c r="BQ30" s="847"/>
      <c r="BR30" s="847"/>
      <c r="BS30" s="847"/>
      <c r="BT30" s="847"/>
      <c r="BU30" s="847"/>
      <c r="BV30" s="847"/>
      <c r="BW30" s="847"/>
      <c r="BX30" s="847"/>
      <c r="BY30" s="847"/>
      <c r="BZ30" s="847"/>
      <c r="CA30" s="847"/>
      <c r="CB30" s="847"/>
      <c r="CC30" s="847"/>
      <c r="CD30" s="847"/>
      <c r="CE30" s="847"/>
      <c r="CF30" s="847"/>
      <c r="CG30" s="847"/>
      <c r="CH30" s="847"/>
      <c r="CI30" s="847"/>
      <c r="CJ30" s="847"/>
      <c r="CK30" s="847"/>
      <c r="CL30" s="847"/>
      <c r="CM30" s="847"/>
      <c r="CN30" s="847"/>
      <c r="CO30" s="847"/>
      <c r="CP30" s="847"/>
      <c r="CQ30" s="847"/>
      <c r="CR30" s="847"/>
      <c r="CS30" s="847"/>
      <c r="CT30" s="847"/>
      <c r="CU30" s="847"/>
      <c r="CV30" s="847"/>
      <c r="CW30" s="847"/>
      <c r="CX30" s="847"/>
      <c r="CY30" s="847"/>
      <c r="CZ30" s="847"/>
      <c r="DA30" s="847"/>
      <c r="DB30" s="847"/>
      <c r="DC30" s="847"/>
      <c r="DD30" s="847"/>
      <c r="DE30" s="847"/>
      <c r="DF30" s="847"/>
      <c r="DG30" s="847"/>
      <c r="DH30" s="847"/>
      <c r="DI30" s="847"/>
      <c r="DJ30" s="847"/>
    </row>
    <row r="31" spans="1:114" ht="18.75">
      <c r="A31" s="776">
        <v>2</v>
      </c>
      <c r="B31" s="777" t="s">
        <v>6</v>
      </c>
      <c r="C31" s="778">
        <v>291</v>
      </c>
      <c r="D31" s="779">
        <v>674255</v>
      </c>
      <c r="E31" s="700">
        <v>15</v>
      </c>
      <c r="F31" s="780">
        <f>E31/AI31*100</f>
        <v>4.1866696438539686E-2</v>
      </c>
      <c r="G31" s="781">
        <v>43</v>
      </c>
      <c r="H31" s="782">
        <f>G31/AI31*100</f>
        <v>0.12001786312381378</v>
      </c>
      <c r="I31" s="781">
        <v>47</v>
      </c>
      <c r="J31" s="782">
        <f>I31/AI31*100</f>
        <v>0.13118231550742435</v>
      </c>
      <c r="K31" s="700"/>
      <c r="L31" s="781">
        <v>19</v>
      </c>
      <c r="M31" s="700">
        <v>0</v>
      </c>
      <c r="N31" s="700"/>
      <c r="O31" s="700">
        <v>0</v>
      </c>
      <c r="P31" s="700"/>
      <c r="Q31" s="781">
        <v>127</v>
      </c>
      <c r="R31" s="700" t="s">
        <v>81</v>
      </c>
      <c r="S31" s="700" t="s">
        <v>81</v>
      </c>
      <c r="T31" s="700">
        <v>50.23</v>
      </c>
      <c r="U31" s="783">
        <f>107*100/C31</f>
        <v>36.769759450171819</v>
      </c>
      <c r="V31" s="700">
        <v>0</v>
      </c>
      <c r="W31" s="700"/>
      <c r="X31" s="700"/>
      <c r="Y31" s="784">
        <v>19</v>
      </c>
      <c r="Z31" s="782">
        <v>16</v>
      </c>
      <c r="AA31" s="782">
        <v>20</v>
      </c>
      <c r="AB31" s="782">
        <v>40</v>
      </c>
      <c r="AC31" s="785"/>
      <c r="AD31" s="700"/>
      <c r="AE31" s="700"/>
      <c r="AF31" s="700"/>
      <c r="AG31" s="700"/>
      <c r="AH31" s="700"/>
      <c r="AI31" s="779">
        <v>35828</v>
      </c>
      <c r="AJ31" s="786">
        <f>SUM(C32:AH32)</f>
        <v>95</v>
      </c>
      <c r="AK31" s="847"/>
      <c r="AL31" s="847"/>
      <c r="AM31" s="847"/>
      <c r="AN31" s="847"/>
      <c r="AO31" s="847"/>
      <c r="AP31" s="847"/>
      <c r="AQ31" s="847"/>
      <c r="AR31" s="847"/>
      <c r="AS31" s="847"/>
      <c r="AT31" s="847"/>
      <c r="AU31" s="847"/>
      <c r="AV31" s="847"/>
      <c r="AW31" s="847"/>
      <c r="AX31" s="847"/>
      <c r="AY31" s="847"/>
      <c r="AZ31" s="847"/>
      <c r="BA31" s="847"/>
      <c r="BB31" s="847"/>
      <c r="BC31" s="847"/>
      <c r="BD31" s="847"/>
      <c r="BE31" s="847"/>
      <c r="BF31" s="847"/>
      <c r="BG31" s="847"/>
      <c r="BH31" s="847"/>
      <c r="BI31" s="847"/>
      <c r="BJ31" s="847"/>
      <c r="BK31" s="847"/>
      <c r="BL31" s="847"/>
      <c r="BM31" s="847"/>
      <c r="BN31" s="847"/>
      <c r="BO31" s="847"/>
      <c r="BP31" s="847"/>
      <c r="BQ31" s="847"/>
      <c r="BR31" s="847"/>
      <c r="BS31" s="847"/>
      <c r="BT31" s="847"/>
      <c r="BU31" s="847"/>
      <c r="BV31" s="847"/>
      <c r="BW31" s="847"/>
      <c r="BX31" s="847"/>
      <c r="BY31" s="847"/>
      <c r="BZ31" s="847"/>
      <c r="CA31" s="847"/>
      <c r="CB31" s="847"/>
      <c r="CC31" s="847"/>
      <c r="CD31" s="847"/>
      <c r="CE31" s="847"/>
      <c r="CF31" s="847"/>
      <c r="CG31" s="847"/>
      <c r="CH31" s="847"/>
      <c r="CI31" s="847"/>
      <c r="CJ31" s="847"/>
      <c r="CK31" s="847"/>
      <c r="CL31" s="847"/>
      <c r="CM31" s="847"/>
      <c r="CN31" s="847"/>
      <c r="CO31" s="847"/>
      <c r="CP31" s="847"/>
      <c r="CQ31" s="847"/>
      <c r="CR31" s="847"/>
      <c r="CS31" s="847"/>
      <c r="CT31" s="847"/>
      <c r="CU31" s="847"/>
      <c r="CV31" s="847"/>
      <c r="CW31" s="847"/>
      <c r="CX31" s="847"/>
      <c r="CY31" s="847"/>
      <c r="CZ31" s="847"/>
      <c r="DA31" s="847"/>
      <c r="DB31" s="847"/>
      <c r="DC31" s="847"/>
      <c r="DD31" s="847"/>
      <c r="DE31" s="847"/>
      <c r="DF31" s="847"/>
      <c r="DG31" s="847"/>
      <c r="DH31" s="847"/>
      <c r="DI31" s="847"/>
      <c r="DJ31" s="847"/>
    </row>
    <row r="32" spans="1:114" s="27" customFormat="1" ht="18.75" hidden="1">
      <c r="A32" s="760"/>
      <c r="B32" s="771"/>
      <c r="C32" s="767"/>
      <c r="D32" s="705"/>
      <c r="E32" s="707"/>
      <c r="F32" s="707">
        <v>10</v>
      </c>
      <c r="G32" s="707"/>
      <c r="H32" s="707">
        <v>6</v>
      </c>
      <c r="I32" s="707"/>
      <c r="J32" s="707">
        <v>10</v>
      </c>
      <c r="K32" s="705"/>
      <c r="L32" s="707">
        <v>10</v>
      </c>
      <c r="M32" s="706">
        <v>10</v>
      </c>
      <c r="N32" s="706"/>
      <c r="O32" s="705">
        <v>10</v>
      </c>
      <c r="P32" s="705"/>
      <c r="Q32" s="707">
        <v>0</v>
      </c>
      <c r="R32" s="705">
        <v>0</v>
      </c>
      <c r="S32" s="705">
        <v>0</v>
      </c>
      <c r="T32" s="705">
        <v>9</v>
      </c>
      <c r="U32" s="708">
        <v>0</v>
      </c>
      <c r="V32" s="705">
        <v>0</v>
      </c>
      <c r="W32" s="705"/>
      <c r="X32" s="705"/>
      <c r="Y32" s="705">
        <v>10</v>
      </c>
      <c r="Z32" s="705">
        <v>4</v>
      </c>
      <c r="AA32" s="705">
        <v>6</v>
      </c>
      <c r="AB32" s="705">
        <v>10</v>
      </c>
      <c r="AC32" s="710"/>
      <c r="AD32" s="705"/>
      <c r="AE32" s="705"/>
      <c r="AF32" s="705"/>
      <c r="AG32" s="705"/>
      <c r="AH32" s="705"/>
      <c r="AI32" s="706"/>
      <c r="AJ32" s="789"/>
      <c r="AK32" s="847"/>
      <c r="AL32" s="847"/>
      <c r="AM32" s="847"/>
      <c r="AN32" s="847"/>
      <c r="AO32" s="847"/>
      <c r="AP32" s="847"/>
      <c r="AQ32" s="847"/>
      <c r="AR32" s="847"/>
      <c r="AS32" s="847"/>
      <c r="AT32" s="847"/>
      <c r="AU32" s="847"/>
      <c r="AV32" s="847"/>
      <c r="AW32" s="847"/>
      <c r="AX32" s="847"/>
      <c r="AY32" s="847"/>
      <c r="AZ32" s="847"/>
      <c r="BA32" s="847"/>
      <c r="BB32" s="847"/>
      <c r="BC32" s="847"/>
      <c r="BD32" s="847"/>
      <c r="BE32" s="847"/>
      <c r="BF32" s="847"/>
      <c r="BG32" s="847"/>
      <c r="BH32" s="847"/>
      <c r="BI32" s="847"/>
      <c r="BJ32" s="847"/>
      <c r="BK32" s="847"/>
      <c r="BL32" s="847"/>
      <c r="BM32" s="847"/>
      <c r="BN32" s="847"/>
      <c r="BO32" s="847"/>
      <c r="BP32" s="847"/>
      <c r="BQ32" s="847"/>
      <c r="BR32" s="847"/>
      <c r="BS32" s="847"/>
      <c r="BT32" s="847"/>
      <c r="BU32" s="847"/>
      <c r="BV32" s="847"/>
      <c r="BW32" s="847"/>
      <c r="BX32" s="847"/>
      <c r="BY32" s="847"/>
      <c r="BZ32" s="847"/>
      <c r="CA32" s="847"/>
      <c r="CB32" s="847"/>
      <c r="CC32" s="847"/>
      <c r="CD32" s="847"/>
      <c r="CE32" s="847"/>
      <c r="CF32" s="847"/>
      <c r="CG32" s="847"/>
      <c r="CH32" s="847"/>
      <c r="CI32" s="847"/>
      <c r="CJ32" s="847"/>
      <c r="CK32" s="847"/>
      <c r="CL32" s="847"/>
      <c r="CM32" s="847"/>
      <c r="CN32" s="847"/>
      <c r="CO32" s="847"/>
      <c r="CP32" s="847"/>
      <c r="CQ32" s="847"/>
      <c r="CR32" s="847"/>
      <c r="CS32" s="847"/>
      <c r="CT32" s="847"/>
      <c r="CU32" s="847"/>
      <c r="CV32" s="847"/>
      <c r="CW32" s="847"/>
      <c r="CX32" s="847"/>
      <c r="CY32" s="847"/>
      <c r="CZ32" s="847"/>
      <c r="DA32" s="847"/>
      <c r="DB32" s="847"/>
      <c r="DC32" s="847"/>
      <c r="DD32" s="847"/>
      <c r="DE32" s="847"/>
      <c r="DF32" s="847"/>
      <c r="DG32" s="847"/>
      <c r="DH32" s="847"/>
      <c r="DI32" s="847"/>
      <c r="DJ32" s="847"/>
    </row>
    <row r="33" spans="1:114" s="3" customFormat="1" ht="18.75">
      <c r="A33" s="761">
        <v>4</v>
      </c>
      <c r="B33" s="772" t="s">
        <v>8</v>
      </c>
      <c r="C33" s="766">
        <v>561</v>
      </c>
      <c r="D33" s="711">
        <v>1190658</v>
      </c>
      <c r="E33" s="714">
        <v>24</v>
      </c>
      <c r="F33" s="697">
        <f>E33/AI33*100</f>
        <v>4.189944134078212E-2</v>
      </c>
      <c r="G33" s="714">
        <v>167</v>
      </c>
      <c r="H33" s="699">
        <f>G33/AI33*100</f>
        <v>0.29155027932960892</v>
      </c>
      <c r="I33" s="714">
        <v>91</v>
      </c>
      <c r="J33" s="699">
        <f>I33/AI33*100</f>
        <v>0.15886871508379888</v>
      </c>
      <c r="K33" s="720"/>
      <c r="L33" s="714">
        <v>17</v>
      </c>
      <c r="M33" s="721">
        <v>0</v>
      </c>
      <c r="N33" s="722"/>
      <c r="O33" s="712" t="s">
        <v>298</v>
      </c>
      <c r="P33" s="723"/>
      <c r="Q33" s="714">
        <v>179</v>
      </c>
      <c r="R33" s="711" t="s">
        <v>81</v>
      </c>
      <c r="S33" s="711" t="s">
        <v>81</v>
      </c>
      <c r="T33" s="711">
        <v>87.14</v>
      </c>
      <c r="U33" s="715">
        <f>23*100/C33</f>
        <v>4.0998217468805702</v>
      </c>
      <c r="V33" s="711">
        <v>16.22</v>
      </c>
      <c r="W33" s="712"/>
      <c r="X33" s="712"/>
      <c r="Y33" s="695">
        <v>7.3</v>
      </c>
      <c r="Z33" s="716">
        <v>6.8</v>
      </c>
      <c r="AA33" s="716">
        <v>6.8</v>
      </c>
      <c r="AB33" s="716">
        <v>59.3</v>
      </c>
      <c r="AC33" s="717"/>
      <c r="AD33" s="712"/>
      <c r="AE33" s="712"/>
      <c r="AF33" s="712"/>
      <c r="AG33" s="712"/>
      <c r="AH33" s="712"/>
      <c r="AI33" s="713">
        <v>57280</v>
      </c>
      <c r="AJ33" s="789">
        <f>SUM(C34:AH34)</f>
        <v>50</v>
      </c>
      <c r="AK33" s="847"/>
      <c r="AL33" s="847"/>
      <c r="AM33" s="847"/>
      <c r="AN33" s="847"/>
      <c r="AO33" s="847"/>
      <c r="AP33" s="847"/>
      <c r="AQ33" s="847"/>
      <c r="AR33" s="847"/>
      <c r="AS33" s="847"/>
      <c r="AT33" s="847"/>
      <c r="AU33" s="847"/>
      <c r="AV33" s="847"/>
      <c r="AW33" s="847"/>
      <c r="AX33" s="847"/>
      <c r="AY33" s="847"/>
      <c r="AZ33" s="847"/>
      <c r="BA33" s="847"/>
      <c r="BB33" s="847"/>
      <c r="BC33" s="847"/>
      <c r="BD33" s="847"/>
      <c r="BE33" s="847"/>
      <c r="BF33" s="847"/>
      <c r="BG33" s="847"/>
      <c r="BH33" s="847"/>
      <c r="BI33" s="847"/>
      <c r="BJ33" s="847"/>
      <c r="BK33" s="847"/>
      <c r="BL33" s="847"/>
      <c r="BM33" s="847"/>
      <c r="BN33" s="847"/>
      <c r="BO33" s="847"/>
      <c r="BP33" s="847"/>
      <c r="BQ33" s="847"/>
      <c r="BR33" s="847"/>
      <c r="BS33" s="847"/>
      <c r="BT33" s="847"/>
      <c r="BU33" s="847"/>
      <c r="BV33" s="847"/>
      <c r="BW33" s="847"/>
      <c r="BX33" s="847"/>
      <c r="BY33" s="847"/>
      <c r="BZ33" s="847"/>
      <c r="CA33" s="847"/>
      <c r="CB33" s="847"/>
      <c r="CC33" s="847"/>
      <c r="CD33" s="847"/>
      <c r="CE33" s="847"/>
      <c r="CF33" s="847"/>
      <c r="CG33" s="847"/>
      <c r="CH33" s="847"/>
      <c r="CI33" s="847"/>
      <c r="CJ33" s="847"/>
      <c r="CK33" s="847"/>
      <c r="CL33" s="847"/>
      <c r="CM33" s="847"/>
      <c r="CN33" s="847"/>
      <c r="CO33" s="847"/>
      <c r="CP33" s="847"/>
      <c r="CQ33" s="847"/>
      <c r="CR33" s="847"/>
      <c r="CS33" s="847"/>
      <c r="CT33" s="847"/>
      <c r="CU33" s="847"/>
      <c r="CV33" s="847"/>
      <c r="CW33" s="847"/>
      <c r="CX33" s="847"/>
      <c r="CY33" s="847"/>
      <c r="CZ33" s="847"/>
      <c r="DA33" s="847"/>
      <c r="DB33" s="847"/>
      <c r="DC33" s="847"/>
      <c r="DD33" s="847"/>
      <c r="DE33" s="847"/>
      <c r="DF33" s="847"/>
      <c r="DG33" s="847"/>
      <c r="DH33" s="847"/>
      <c r="DI33" s="847"/>
      <c r="DJ33" s="847"/>
    </row>
    <row r="34" spans="1:114" s="31" customFormat="1" ht="18.75" hidden="1">
      <c r="A34" s="760"/>
      <c r="B34" s="771"/>
      <c r="C34" s="767"/>
      <c r="D34" s="731"/>
      <c r="E34" s="707"/>
      <c r="F34" s="707">
        <v>8</v>
      </c>
      <c r="G34" s="707"/>
      <c r="H34" s="707">
        <v>4</v>
      </c>
      <c r="I34" s="707"/>
      <c r="J34" s="707">
        <v>6</v>
      </c>
      <c r="K34" s="704"/>
      <c r="L34" s="707">
        <v>9</v>
      </c>
      <c r="M34" s="706">
        <v>10</v>
      </c>
      <c r="N34" s="730"/>
      <c r="O34" s="705">
        <v>10</v>
      </c>
      <c r="P34" s="729"/>
      <c r="Q34" s="707">
        <v>3</v>
      </c>
      <c r="R34" s="704">
        <v>0</v>
      </c>
      <c r="S34" s="704">
        <v>0</v>
      </c>
      <c r="T34" s="704">
        <v>0</v>
      </c>
      <c r="U34" s="708">
        <v>0</v>
      </c>
      <c r="V34" s="704">
        <v>0</v>
      </c>
      <c r="W34" s="705"/>
      <c r="X34" s="705"/>
      <c r="Y34" s="705"/>
      <c r="Z34" s="705"/>
      <c r="AA34" s="705"/>
      <c r="AB34" s="705"/>
      <c r="AC34" s="710"/>
      <c r="AD34" s="705"/>
      <c r="AE34" s="705"/>
      <c r="AF34" s="705"/>
      <c r="AG34" s="705"/>
      <c r="AH34" s="705"/>
      <c r="AI34" s="706"/>
      <c r="AJ34" s="789"/>
      <c r="AK34" s="847"/>
      <c r="AL34" s="847"/>
      <c r="AM34" s="847"/>
      <c r="AN34" s="847"/>
      <c r="AO34" s="847"/>
      <c r="AP34" s="847"/>
      <c r="AQ34" s="847"/>
      <c r="AR34" s="847"/>
      <c r="AS34" s="847"/>
      <c r="AT34" s="847"/>
      <c r="AU34" s="847"/>
      <c r="AV34" s="847"/>
      <c r="AW34" s="847"/>
      <c r="AX34" s="847"/>
      <c r="AY34" s="847"/>
      <c r="AZ34" s="847"/>
      <c r="BA34" s="847"/>
      <c r="BB34" s="847"/>
      <c r="BC34" s="847"/>
      <c r="BD34" s="847"/>
      <c r="BE34" s="847"/>
      <c r="BF34" s="847"/>
      <c r="BG34" s="847"/>
      <c r="BH34" s="847"/>
      <c r="BI34" s="847"/>
      <c r="BJ34" s="847"/>
      <c r="BK34" s="847"/>
      <c r="BL34" s="847"/>
      <c r="BM34" s="847"/>
      <c r="BN34" s="847"/>
      <c r="BO34" s="847"/>
      <c r="BP34" s="847"/>
      <c r="BQ34" s="847"/>
      <c r="BR34" s="847"/>
      <c r="BS34" s="847"/>
      <c r="BT34" s="847"/>
      <c r="BU34" s="847"/>
      <c r="BV34" s="847"/>
      <c r="BW34" s="847"/>
      <c r="BX34" s="847"/>
      <c r="BY34" s="847"/>
      <c r="BZ34" s="847"/>
      <c r="CA34" s="847"/>
      <c r="CB34" s="847"/>
      <c r="CC34" s="847"/>
      <c r="CD34" s="847"/>
      <c r="CE34" s="847"/>
      <c r="CF34" s="847"/>
      <c r="CG34" s="847"/>
      <c r="CH34" s="847"/>
      <c r="CI34" s="847"/>
      <c r="CJ34" s="847"/>
      <c r="CK34" s="847"/>
      <c r="CL34" s="847"/>
      <c r="CM34" s="847"/>
      <c r="CN34" s="847"/>
      <c r="CO34" s="847"/>
      <c r="CP34" s="847"/>
      <c r="CQ34" s="847"/>
      <c r="CR34" s="847"/>
      <c r="CS34" s="847"/>
      <c r="CT34" s="847"/>
      <c r="CU34" s="847"/>
      <c r="CV34" s="847"/>
      <c r="CW34" s="847"/>
      <c r="CX34" s="847"/>
      <c r="CY34" s="847"/>
      <c r="CZ34" s="847"/>
      <c r="DA34" s="847"/>
      <c r="DB34" s="847"/>
      <c r="DC34" s="847"/>
      <c r="DD34" s="847"/>
      <c r="DE34" s="847"/>
      <c r="DF34" s="847"/>
      <c r="DG34" s="847"/>
      <c r="DH34" s="847"/>
      <c r="DI34" s="847"/>
      <c r="DJ34" s="847"/>
    </row>
    <row r="35" spans="1:114" s="4" customFormat="1" ht="18.75" hidden="1">
      <c r="A35" s="761">
        <v>24</v>
      </c>
      <c r="B35" s="774" t="s">
        <v>20</v>
      </c>
      <c r="C35" s="768">
        <v>62</v>
      </c>
      <c r="D35" s="732"/>
      <c r="E35" s="733">
        <v>0</v>
      </c>
      <c r="F35" s="697">
        <f>E35/AI35*100</f>
        <v>0</v>
      </c>
      <c r="G35" s="733">
        <v>0</v>
      </c>
      <c r="H35" s="699">
        <f>G35/AI35*100</f>
        <v>0</v>
      </c>
      <c r="I35" s="733">
        <v>0</v>
      </c>
      <c r="J35" s="699">
        <f>I35/AI35*100</f>
        <v>0</v>
      </c>
      <c r="K35" s="637"/>
      <c r="L35" s="733">
        <v>0</v>
      </c>
      <c r="M35" s="734">
        <v>0</v>
      </c>
      <c r="N35" s="696"/>
      <c r="O35" s="732">
        <v>0</v>
      </c>
      <c r="P35" s="732"/>
      <c r="Q35" s="733">
        <v>23</v>
      </c>
      <c r="R35" s="732" t="s">
        <v>81</v>
      </c>
      <c r="S35" s="732" t="s">
        <v>81</v>
      </c>
      <c r="T35" s="732">
        <v>11.54</v>
      </c>
      <c r="U35" s="735">
        <v>0</v>
      </c>
      <c r="V35" s="732">
        <v>1.61</v>
      </c>
      <c r="W35" s="732"/>
      <c r="X35" s="732"/>
      <c r="Y35" s="736">
        <v>0.02</v>
      </c>
      <c r="Z35" s="736">
        <v>0</v>
      </c>
      <c r="AA35" s="736">
        <v>0</v>
      </c>
      <c r="AB35" s="736">
        <v>0.12</v>
      </c>
      <c r="AC35" s="737"/>
      <c r="AD35" s="732"/>
      <c r="AE35" s="732"/>
      <c r="AF35" s="732"/>
      <c r="AG35" s="732"/>
      <c r="AH35" s="732"/>
      <c r="AI35" s="734">
        <v>1322</v>
      </c>
      <c r="AJ35" s="789">
        <f>SUM(C36:AH36)</f>
        <v>105</v>
      </c>
      <c r="AK35" s="847"/>
      <c r="AL35" s="847"/>
      <c r="AM35" s="847"/>
      <c r="AN35" s="847"/>
      <c r="AO35" s="847"/>
      <c r="AP35" s="847"/>
      <c r="AQ35" s="847"/>
      <c r="AR35" s="847"/>
      <c r="AS35" s="847"/>
      <c r="AT35" s="847"/>
      <c r="AU35" s="847"/>
      <c r="AV35" s="847"/>
      <c r="AW35" s="847"/>
      <c r="AX35" s="847"/>
      <c r="AY35" s="847"/>
      <c r="AZ35" s="847"/>
      <c r="BA35" s="847"/>
      <c r="BB35" s="847"/>
      <c r="BC35" s="847"/>
      <c r="BD35" s="847"/>
      <c r="BE35" s="847"/>
      <c r="BF35" s="847"/>
      <c r="BG35" s="847"/>
      <c r="BH35" s="847"/>
      <c r="BI35" s="847"/>
      <c r="BJ35" s="847"/>
      <c r="BK35" s="847"/>
      <c r="BL35" s="847"/>
      <c r="BM35" s="847"/>
      <c r="BN35" s="847"/>
      <c r="BO35" s="847"/>
      <c r="BP35" s="847"/>
      <c r="BQ35" s="847"/>
      <c r="BR35" s="847"/>
      <c r="BS35" s="847"/>
      <c r="BT35" s="847"/>
      <c r="BU35" s="847"/>
      <c r="BV35" s="847"/>
      <c r="BW35" s="847"/>
      <c r="BX35" s="847"/>
      <c r="BY35" s="847"/>
      <c r="BZ35" s="847"/>
      <c r="CA35" s="847"/>
      <c r="CB35" s="847"/>
      <c r="CC35" s="847"/>
      <c r="CD35" s="847"/>
      <c r="CE35" s="847"/>
      <c r="CF35" s="847"/>
      <c r="CG35" s="847"/>
      <c r="CH35" s="847"/>
      <c r="CI35" s="847"/>
      <c r="CJ35" s="847"/>
      <c r="CK35" s="847"/>
      <c r="CL35" s="847"/>
      <c r="CM35" s="847"/>
      <c r="CN35" s="847"/>
      <c r="CO35" s="847"/>
      <c r="CP35" s="847"/>
      <c r="CQ35" s="847"/>
      <c r="CR35" s="847"/>
      <c r="CS35" s="847"/>
      <c r="CT35" s="847"/>
      <c r="CU35" s="847"/>
      <c r="CV35" s="847"/>
      <c r="CW35" s="847"/>
      <c r="CX35" s="847"/>
      <c r="CY35" s="847"/>
      <c r="CZ35" s="847"/>
      <c r="DA35" s="847"/>
      <c r="DB35" s="847"/>
      <c r="DC35" s="847"/>
      <c r="DD35" s="847"/>
      <c r="DE35" s="847"/>
      <c r="DF35" s="847"/>
      <c r="DG35" s="847"/>
      <c r="DH35" s="847"/>
      <c r="DI35" s="847"/>
      <c r="DJ35" s="847"/>
    </row>
    <row r="36" spans="1:114" s="27" customFormat="1" ht="18.75" hidden="1">
      <c r="A36" s="760"/>
      <c r="B36" s="771"/>
      <c r="C36" s="767"/>
      <c r="D36" s="705"/>
      <c r="E36" s="707"/>
      <c r="F36" s="707">
        <v>9</v>
      </c>
      <c r="G36" s="707"/>
      <c r="H36" s="707">
        <v>8</v>
      </c>
      <c r="I36" s="707"/>
      <c r="J36" s="707">
        <v>3</v>
      </c>
      <c r="K36" s="705"/>
      <c r="L36" s="707">
        <v>6</v>
      </c>
      <c r="M36" s="706">
        <v>10</v>
      </c>
      <c r="N36" s="706"/>
      <c r="O36" s="705">
        <v>10</v>
      </c>
      <c r="P36" s="705"/>
      <c r="Q36" s="707">
        <v>8</v>
      </c>
      <c r="R36" s="705">
        <v>0</v>
      </c>
      <c r="S36" s="705">
        <v>0</v>
      </c>
      <c r="T36" s="705">
        <v>9</v>
      </c>
      <c r="U36" s="708">
        <v>4</v>
      </c>
      <c r="V36" s="705">
        <v>0</v>
      </c>
      <c r="W36" s="705"/>
      <c r="X36" s="705"/>
      <c r="Y36" s="705">
        <v>8</v>
      </c>
      <c r="Z36" s="705">
        <v>10</v>
      </c>
      <c r="AA36" s="705">
        <v>10</v>
      </c>
      <c r="AB36" s="705">
        <v>10</v>
      </c>
      <c r="AC36" s="719"/>
      <c r="AD36" s="705"/>
      <c r="AE36" s="705"/>
      <c r="AF36" s="705"/>
      <c r="AG36" s="705"/>
      <c r="AH36" s="705"/>
      <c r="AI36" s="706"/>
      <c r="AJ36" s="789"/>
      <c r="AK36" s="847"/>
      <c r="AL36" s="847"/>
      <c r="AM36" s="847"/>
      <c r="AN36" s="847"/>
      <c r="AO36" s="847"/>
      <c r="AP36" s="847"/>
      <c r="AQ36" s="847"/>
      <c r="AR36" s="847"/>
      <c r="AS36" s="847"/>
      <c r="AT36" s="847"/>
      <c r="AU36" s="847"/>
      <c r="AV36" s="847"/>
      <c r="AW36" s="847"/>
      <c r="AX36" s="847"/>
      <c r="AY36" s="847"/>
      <c r="AZ36" s="847"/>
      <c r="BA36" s="847"/>
      <c r="BB36" s="847"/>
      <c r="BC36" s="847"/>
      <c r="BD36" s="847"/>
      <c r="BE36" s="847"/>
      <c r="BF36" s="847"/>
      <c r="BG36" s="847"/>
      <c r="BH36" s="847"/>
      <c r="BI36" s="847"/>
      <c r="BJ36" s="847"/>
      <c r="BK36" s="847"/>
      <c r="BL36" s="847"/>
      <c r="BM36" s="847"/>
      <c r="BN36" s="847"/>
      <c r="BO36" s="847"/>
      <c r="BP36" s="847"/>
      <c r="BQ36" s="847"/>
      <c r="BR36" s="847"/>
      <c r="BS36" s="847"/>
      <c r="BT36" s="847"/>
      <c r="BU36" s="847"/>
      <c r="BV36" s="847"/>
      <c r="BW36" s="847"/>
      <c r="BX36" s="847"/>
      <c r="BY36" s="847"/>
      <c r="BZ36" s="847"/>
      <c r="CA36" s="847"/>
      <c r="CB36" s="847"/>
      <c r="CC36" s="847"/>
      <c r="CD36" s="847"/>
      <c r="CE36" s="847"/>
      <c r="CF36" s="847"/>
      <c r="CG36" s="847"/>
      <c r="CH36" s="847"/>
      <c r="CI36" s="847"/>
      <c r="CJ36" s="847"/>
      <c r="CK36" s="847"/>
      <c r="CL36" s="847"/>
      <c r="CM36" s="847"/>
      <c r="CN36" s="847"/>
      <c r="CO36" s="847"/>
      <c r="CP36" s="847"/>
      <c r="CQ36" s="847"/>
      <c r="CR36" s="847"/>
      <c r="CS36" s="847"/>
      <c r="CT36" s="847"/>
      <c r="CU36" s="847"/>
      <c r="CV36" s="847"/>
      <c r="CW36" s="847"/>
      <c r="CX36" s="847"/>
      <c r="CY36" s="847"/>
      <c r="CZ36" s="847"/>
      <c r="DA36" s="847"/>
      <c r="DB36" s="847"/>
      <c r="DC36" s="847"/>
      <c r="DD36" s="847"/>
      <c r="DE36" s="847"/>
      <c r="DF36" s="847"/>
      <c r="DG36" s="847"/>
      <c r="DH36" s="847"/>
      <c r="DI36" s="847"/>
      <c r="DJ36" s="847"/>
    </row>
    <row r="37" spans="1:114" ht="18.75">
      <c r="A37" s="761">
        <v>8</v>
      </c>
      <c r="B37" s="772" t="s">
        <v>58</v>
      </c>
      <c r="C37" s="766">
        <v>158</v>
      </c>
      <c r="D37" s="712"/>
      <c r="E37" s="714">
        <v>19</v>
      </c>
      <c r="F37" s="697">
        <f>E37/AI37*100</f>
        <v>3.5457684053373142E-2</v>
      </c>
      <c r="G37" s="714">
        <v>37</v>
      </c>
      <c r="H37" s="699">
        <f>G37/AI37*100</f>
        <v>6.9049174209200342E-2</v>
      </c>
      <c r="I37" s="714">
        <v>82</v>
      </c>
      <c r="J37" s="699">
        <f>I37/AI37*100</f>
        <v>0.15302789959876831</v>
      </c>
      <c r="K37" s="728"/>
      <c r="L37" s="714">
        <v>31</v>
      </c>
      <c r="M37" s="713">
        <v>0</v>
      </c>
      <c r="N37" s="696"/>
      <c r="O37" s="712" t="s">
        <v>297</v>
      </c>
      <c r="P37" s="712"/>
      <c r="Q37" s="714">
        <v>80</v>
      </c>
      <c r="R37" s="712" t="s">
        <v>81</v>
      </c>
      <c r="S37" s="712" t="s">
        <v>81</v>
      </c>
      <c r="T37" s="712">
        <v>0.69</v>
      </c>
      <c r="U37" s="715">
        <f>66*100/C37</f>
        <v>41.77215189873418</v>
      </c>
      <c r="V37" s="712">
        <v>0</v>
      </c>
      <c r="W37" s="712"/>
      <c r="X37" s="712"/>
      <c r="Y37" s="716"/>
      <c r="Z37" s="716"/>
      <c r="AA37" s="716"/>
      <c r="AB37" s="716"/>
      <c r="AC37" s="717"/>
      <c r="AD37" s="712"/>
      <c r="AE37" s="712"/>
      <c r="AF37" s="712"/>
      <c r="AG37" s="712"/>
      <c r="AH37" s="712"/>
      <c r="AI37" s="713">
        <v>53585</v>
      </c>
      <c r="AJ37" s="789">
        <f>SUM(C38:AH38)</f>
        <v>63</v>
      </c>
      <c r="AK37" s="847"/>
      <c r="AL37" s="847"/>
      <c r="AM37" s="847"/>
      <c r="AN37" s="847"/>
      <c r="AO37" s="847"/>
      <c r="AP37" s="847"/>
      <c r="AQ37" s="847"/>
      <c r="AR37" s="847"/>
      <c r="AS37" s="847"/>
      <c r="AT37" s="847"/>
      <c r="AU37" s="847"/>
      <c r="AV37" s="847"/>
      <c r="AW37" s="847"/>
      <c r="AX37" s="847"/>
      <c r="AY37" s="847"/>
      <c r="AZ37" s="847"/>
      <c r="BA37" s="847"/>
      <c r="BB37" s="847"/>
      <c r="BC37" s="847"/>
      <c r="BD37" s="847"/>
      <c r="BE37" s="847"/>
      <c r="BF37" s="847"/>
      <c r="BG37" s="847"/>
      <c r="BH37" s="847"/>
      <c r="BI37" s="847"/>
      <c r="BJ37" s="847"/>
      <c r="BK37" s="847"/>
      <c r="BL37" s="847"/>
      <c r="BM37" s="847"/>
      <c r="BN37" s="847"/>
      <c r="BO37" s="847"/>
      <c r="BP37" s="847"/>
      <c r="BQ37" s="847"/>
      <c r="BR37" s="847"/>
      <c r="BS37" s="847"/>
      <c r="BT37" s="847"/>
      <c r="BU37" s="847"/>
      <c r="BV37" s="847"/>
      <c r="BW37" s="847"/>
      <c r="BX37" s="847"/>
      <c r="BY37" s="847"/>
      <c r="BZ37" s="847"/>
      <c r="CA37" s="847"/>
      <c r="CB37" s="847"/>
      <c r="CC37" s="847"/>
      <c r="CD37" s="847"/>
      <c r="CE37" s="847"/>
      <c r="CF37" s="847"/>
      <c r="CG37" s="847"/>
      <c r="CH37" s="847"/>
      <c r="CI37" s="847"/>
      <c r="CJ37" s="847"/>
      <c r="CK37" s="847"/>
      <c r="CL37" s="847"/>
      <c r="CM37" s="847"/>
      <c r="CN37" s="847"/>
      <c r="CO37" s="847"/>
      <c r="CP37" s="847"/>
      <c r="CQ37" s="847"/>
      <c r="CR37" s="847"/>
      <c r="CS37" s="847"/>
      <c r="CT37" s="847"/>
      <c r="CU37" s="847"/>
      <c r="CV37" s="847"/>
      <c r="CW37" s="847"/>
      <c r="CX37" s="847"/>
      <c r="CY37" s="847"/>
      <c r="CZ37" s="847"/>
      <c r="DA37" s="847"/>
      <c r="DB37" s="847"/>
      <c r="DC37" s="847"/>
      <c r="DD37" s="847"/>
      <c r="DE37" s="847"/>
      <c r="DF37" s="847"/>
      <c r="DG37" s="847"/>
      <c r="DH37" s="847"/>
      <c r="DI37" s="847"/>
      <c r="DJ37" s="847"/>
    </row>
    <row r="38" spans="1:114" s="27" customFormat="1" ht="18.75" hidden="1">
      <c r="A38" s="760"/>
      <c r="B38" s="771"/>
      <c r="C38" s="767"/>
      <c r="D38" s="705"/>
      <c r="E38" s="707"/>
      <c r="F38" s="707">
        <v>5</v>
      </c>
      <c r="G38" s="707"/>
      <c r="H38" s="707">
        <v>7</v>
      </c>
      <c r="I38" s="707"/>
      <c r="J38" s="707">
        <v>9</v>
      </c>
      <c r="K38" s="705"/>
      <c r="L38" s="707">
        <v>10</v>
      </c>
      <c r="M38" s="706">
        <v>10</v>
      </c>
      <c r="N38" s="706"/>
      <c r="O38" s="705">
        <v>10</v>
      </c>
      <c r="P38" s="705"/>
      <c r="Q38" s="707">
        <v>1</v>
      </c>
      <c r="R38" s="705">
        <v>0</v>
      </c>
      <c r="S38" s="705">
        <v>0</v>
      </c>
      <c r="T38" s="705">
        <v>0</v>
      </c>
      <c r="U38" s="708">
        <v>0</v>
      </c>
      <c r="V38" s="705">
        <v>0</v>
      </c>
      <c r="W38" s="705"/>
      <c r="X38" s="705"/>
      <c r="Y38" s="705">
        <v>5</v>
      </c>
      <c r="Z38" s="705">
        <v>2</v>
      </c>
      <c r="AA38" s="705">
        <v>2</v>
      </c>
      <c r="AB38" s="705">
        <v>2</v>
      </c>
      <c r="AC38" s="710"/>
      <c r="AD38" s="705"/>
      <c r="AE38" s="705"/>
      <c r="AF38" s="705"/>
      <c r="AG38" s="705"/>
      <c r="AH38" s="705"/>
      <c r="AI38" s="706"/>
      <c r="AJ38" s="789"/>
      <c r="AK38" s="847"/>
      <c r="AL38" s="847"/>
      <c r="AM38" s="847"/>
      <c r="AN38" s="847"/>
      <c r="AO38" s="847"/>
      <c r="AP38" s="847"/>
      <c r="AQ38" s="847"/>
      <c r="AR38" s="847"/>
      <c r="AS38" s="847"/>
      <c r="AT38" s="847"/>
      <c r="AU38" s="847"/>
      <c r="AV38" s="847"/>
      <c r="AW38" s="847"/>
      <c r="AX38" s="847"/>
      <c r="AY38" s="847"/>
      <c r="AZ38" s="847"/>
      <c r="BA38" s="847"/>
      <c r="BB38" s="847"/>
      <c r="BC38" s="847"/>
      <c r="BD38" s="847"/>
      <c r="BE38" s="847"/>
      <c r="BF38" s="847"/>
      <c r="BG38" s="847"/>
      <c r="BH38" s="847"/>
      <c r="BI38" s="847"/>
      <c r="BJ38" s="847"/>
      <c r="BK38" s="847"/>
      <c r="BL38" s="847"/>
      <c r="BM38" s="847"/>
      <c r="BN38" s="847"/>
      <c r="BO38" s="847"/>
      <c r="BP38" s="847"/>
      <c r="BQ38" s="847"/>
      <c r="BR38" s="847"/>
      <c r="BS38" s="847"/>
      <c r="BT38" s="847"/>
      <c r="BU38" s="847"/>
      <c r="BV38" s="847"/>
      <c r="BW38" s="847"/>
      <c r="BX38" s="847"/>
      <c r="BY38" s="847"/>
      <c r="BZ38" s="847"/>
      <c r="CA38" s="847"/>
      <c r="CB38" s="847"/>
      <c r="CC38" s="847"/>
      <c r="CD38" s="847"/>
      <c r="CE38" s="847"/>
      <c r="CF38" s="847"/>
      <c r="CG38" s="847"/>
      <c r="CH38" s="847"/>
      <c r="CI38" s="847"/>
      <c r="CJ38" s="847"/>
      <c r="CK38" s="847"/>
      <c r="CL38" s="847"/>
      <c r="CM38" s="847"/>
      <c r="CN38" s="847"/>
      <c r="CO38" s="847"/>
      <c r="CP38" s="847"/>
      <c r="CQ38" s="847"/>
      <c r="CR38" s="847"/>
      <c r="CS38" s="847"/>
      <c r="CT38" s="847"/>
      <c r="CU38" s="847"/>
      <c r="CV38" s="847"/>
      <c r="CW38" s="847"/>
      <c r="CX38" s="847"/>
      <c r="CY38" s="847"/>
      <c r="CZ38" s="847"/>
      <c r="DA38" s="847"/>
      <c r="DB38" s="847"/>
      <c r="DC38" s="847"/>
      <c r="DD38" s="847"/>
      <c r="DE38" s="847"/>
      <c r="DF38" s="847"/>
      <c r="DG38" s="847"/>
      <c r="DH38" s="847"/>
      <c r="DI38" s="847"/>
      <c r="DJ38" s="847"/>
    </row>
    <row r="39" spans="1:114" ht="18.75">
      <c r="A39" s="761">
        <v>13</v>
      </c>
      <c r="B39" s="772" t="s">
        <v>12</v>
      </c>
      <c r="C39" s="766">
        <v>30</v>
      </c>
      <c r="D39" s="725"/>
      <c r="E39" s="714">
        <v>2</v>
      </c>
      <c r="F39" s="697">
        <f>E39/AI39*100</f>
        <v>2.9218407596785973E-2</v>
      </c>
      <c r="G39" s="714">
        <v>9</v>
      </c>
      <c r="H39" s="699">
        <f>G39/AI39*100</f>
        <v>0.13148283418553688</v>
      </c>
      <c r="I39" s="714">
        <v>16</v>
      </c>
      <c r="J39" s="699">
        <f>I39/AI39*100</f>
        <v>0.23374726077428779</v>
      </c>
      <c r="K39" s="738"/>
      <c r="L39" s="714">
        <v>4</v>
      </c>
      <c r="M39" s="713">
        <v>0</v>
      </c>
      <c r="N39" s="722"/>
      <c r="O39" s="679">
        <v>0</v>
      </c>
      <c r="P39" s="723"/>
      <c r="Q39" s="714">
        <v>29</v>
      </c>
      <c r="R39" s="711" t="s">
        <v>81</v>
      </c>
      <c r="S39" s="711" t="s">
        <v>81</v>
      </c>
      <c r="T39" s="711">
        <v>1.4</v>
      </c>
      <c r="U39" s="715">
        <v>0</v>
      </c>
      <c r="V39" s="711">
        <v>0</v>
      </c>
      <c r="W39" s="712"/>
      <c r="X39" s="712"/>
      <c r="Y39" s="716"/>
      <c r="Z39" s="716"/>
      <c r="AA39" s="716"/>
      <c r="AB39" s="716"/>
      <c r="AC39" s="717"/>
      <c r="AD39" s="712"/>
      <c r="AE39" s="712"/>
      <c r="AF39" s="712"/>
      <c r="AG39" s="712"/>
      <c r="AH39" s="712"/>
      <c r="AI39" s="713">
        <f>6170+675</f>
        <v>6845</v>
      </c>
      <c r="AJ39" s="789">
        <f>SUM(C40:AH40)</f>
        <v>65</v>
      </c>
      <c r="AK39" s="847"/>
      <c r="AL39" s="847"/>
      <c r="AM39" s="847"/>
      <c r="AN39" s="847"/>
      <c r="AO39" s="847"/>
      <c r="AP39" s="847"/>
      <c r="AQ39" s="847"/>
      <c r="AR39" s="847"/>
      <c r="AS39" s="847"/>
      <c r="AT39" s="847"/>
      <c r="AU39" s="847"/>
      <c r="AV39" s="847"/>
      <c r="AW39" s="847"/>
      <c r="AX39" s="847"/>
      <c r="AY39" s="847"/>
      <c r="AZ39" s="847"/>
      <c r="BA39" s="847"/>
      <c r="BB39" s="847"/>
      <c r="BC39" s="847"/>
      <c r="BD39" s="847"/>
      <c r="BE39" s="847"/>
      <c r="BF39" s="847"/>
      <c r="BG39" s="847"/>
      <c r="BH39" s="847"/>
      <c r="BI39" s="847"/>
      <c r="BJ39" s="847"/>
      <c r="BK39" s="847"/>
      <c r="BL39" s="847"/>
      <c r="BM39" s="847"/>
      <c r="BN39" s="847"/>
      <c r="BO39" s="847"/>
      <c r="BP39" s="847"/>
      <c r="BQ39" s="847"/>
      <c r="BR39" s="847"/>
      <c r="BS39" s="847"/>
      <c r="BT39" s="847"/>
      <c r="BU39" s="847"/>
      <c r="BV39" s="847"/>
      <c r="BW39" s="847"/>
      <c r="BX39" s="847"/>
      <c r="BY39" s="847"/>
      <c r="BZ39" s="847"/>
      <c r="CA39" s="847"/>
      <c r="CB39" s="847"/>
      <c r="CC39" s="847"/>
      <c r="CD39" s="847"/>
      <c r="CE39" s="847"/>
      <c r="CF39" s="847"/>
      <c r="CG39" s="847"/>
      <c r="CH39" s="847"/>
      <c r="CI39" s="847"/>
      <c r="CJ39" s="847"/>
      <c r="CK39" s="847"/>
      <c r="CL39" s="847"/>
      <c r="CM39" s="847"/>
      <c r="CN39" s="847"/>
      <c r="CO39" s="847"/>
      <c r="CP39" s="847"/>
      <c r="CQ39" s="847"/>
      <c r="CR39" s="847"/>
      <c r="CS39" s="847"/>
      <c r="CT39" s="847"/>
      <c r="CU39" s="847"/>
      <c r="CV39" s="847"/>
      <c r="CW39" s="847"/>
      <c r="CX39" s="847"/>
      <c r="CY39" s="847"/>
      <c r="CZ39" s="847"/>
      <c r="DA39" s="847"/>
      <c r="DB39" s="847"/>
      <c r="DC39" s="847"/>
      <c r="DD39" s="847"/>
      <c r="DE39" s="847"/>
      <c r="DF39" s="847"/>
      <c r="DG39" s="847"/>
      <c r="DH39" s="847"/>
      <c r="DI39" s="847"/>
      <c r="DJ39" s="847"/>
    </row>
    <row r="40" spans="1:114" s="27" customFormat="1" ht="18.75" hidden="1">
      <c r="A40" s="760"/>
      <c r="B40" s="771"/>
      <c r="C40" s="767"/>
      <c r="D40" s="704"/>
      <c r="E40" s="707"/>
      <c r="F40" s="707">
        <v>5</v>
      </c>
      <c r="G40" s="707"/>
      <c r="H40" s="707">
        <v>7</v>
      </c>
      <c r="I40" s="707"/>
      <c r="J40" s="707">
        <v>4</v>
      </c>
      <c r="K40" s="704"/>
      <c r="L40" s="707">
        <v>10</v>
      </c>
      <c r="M40" s="706">
        <v>10</v>
      </c>
      <c r="N40" s="706"/>
      <c r="O40" s="707">
        <v>10</v>
      </c>
      <c r="P40" s="704"/>
      <c r="Q40" s="707">
        <v>3</v>
      </c>
      <c r="R40" s="704">
        <v>0</v>
      </c>
      <c r="S40" s="704">
        <v>0</v>
      </c>
      <c r="T40" s="704">
        <v>4</v>
      </c>
      <c r="U40" s="708">
        <v>0</v>
      </c>
      <c r="V40" s="704">
        <v>0</v>
      </c>
      <c r="W40" s="704"/>
      <c r="X40" s="704"/>
      <c r="Y40" s="707">
        <v>4</v>
      </c>
      <c r="Z40" s="707">
        <v>0</v>
      </c>
      <c r="AA40" s="707">
        <v>0</v>
      </c>
      <c r="AB40" s="707">
        <v>8</v>
      </c>
      <c r="AC40" s="710"/>
      <c r="AD40" s="704"/>
      <c r="AE40" s="704"/>
      <c r="AF40" s="705"/>
      <c r="AG40" s="704"/>
      <c r="AH40" s="704"/>
      <c r="AI40" s="706"/>
      <c r="AJ40" s="789"/>
      <c r="AK40" s="847"/>
      <c r="AL40" s="847"/>
      <c r="AM40" s="847"/>
      <c r="AN40" s="847"/>
      <c r="AO40" s="847"/>
      <c r="AP40" s="847"/>
      <c r="AQ40" s="847"/>
      <c r="AR40" s="847"/>
      <c r="AS40" s="847"/>
      <c r="AT40" s="847"/>
      <c r="AU40" s="847"/>
      <c r="AV40" s="847"/>
      <c r="AW40" s="847"/>
      <c r="AX40" s="847"/>
      <c r="AY40" s="847"/>
      <c r="AZ40" s="847"/>
      <c r="BA40" s="847"/>
      <c r="BB40" s="847"/>
      <c r="BC40" s="847"/>
      <c r="BD40" s="847"/>
      <c r="BE40" s="847"/>
      <c r="BF40" s="847"/>
      <c r="BG40" s="847"/>
      <c r="BH40" s="847"/>
      <c r="BI40" s="847"/>
      <c r="BJ40" s="847"/>
      <c r="BK40" s="847"/>
      <c r="BL40" s="847"/>
      <c r="BM40" s="847"/>
      <c r="BN40" s="847"/>
      <c r="BO40" s="847"/>
      <c r="BP40" s="847"/>
      <c r="BQ40" s="847"/>
      <c r="BR40" s="847"/>
      <c r="BS40" s="847"/>
      <c r="BT40" s="847"/>
      <c r="BU40" s="847"/>
      <c r="BV40" s="847"/>
      <c r="BW40" s="847"/>
      <c r="BX40" s="847"/>
      <c r="BY40" s="847"/>
      <c r="BZ40" s="847"/>
      <c r="CA40" s="847"/>
      <c r="CB40" s="847"/>
      <c r="CC40" s="847"/>
      <c r="CD40" s="847"/>
      <c r="CE40" s="847"/>
      <c r="CF40" s="847"/>
      <c r="CG40" s="847"/>
      <c r="CH40" s="847"/>
      <c r="CI40" s="847"/>
      <c r="CJ40" s="847"/>
      <c r="CK40" s="847"/>
      <c r="CL40" s="847"/>
      <c r="CM40" s="847"/>
      <c r="CN40" s="847"/>
      <c r="CO40" s="847"/>
      <c r="CP40" s="847"/>
      <c r="CQ40" s="847"/>
      <c r="CR40" s="847"/>
      <c r="CS40" s="847"/>
      <c r="CT40" s="847"/>
      <c r="CU40" s="847"/>
      <c r="CV40" s="847"/>
      <c r="CW40" s="847"/>
      <c r="CX40" s="847"/>
      <c r="CY40" s="847"/>
      <c r="CZ40" s="847"/>
      <c r="DA40" s="847"/>
      <c r="DB40" s="847"/>
      <c r="DC40" s="847"/>
      <c r="DD40" s="847"/>
      <c r="DE40" s="847"/>
      <c r="DF40" s="847"/>
      <c r="DG40" s="847"/>
      <c r="DH40" s="847"/>
      <c r="DI40" s="847"/>
      <c r="DJ40" s="847"/>
    </row>
    <row r="41" spans="1:114" s="3" customFormat="1" ht="18.75" hidden="1">
      <c r="A41" s="761">
        <v>17</v>
      </c>
      <c r="B41" s="772" t="s">
        <v>18</v>
      </c>
      <c r="C41" s="766">
        <v>15</v>
      </c>
      <c r="D41" s="725"/>
      <c r="E41" s="714"/>
      <c r="F41" s="697" t="e">
        <f>E41/AI41*100</f>
        <v>#DIV/0!</v>
      </c>
      <c r="G41" s="714"/>
      <c r="H41" s="699" t="e">
        <f>G41/AI41*100</f>
        <v>#DIV/0!</v>
      </c>
      <c r="I41" s="714"/>
      <c r="J41" s="699" t="e">
        <f>I41/AI41*100</f>
        <v>#DIV/0!</v>
      </c>
      <c r="K41" s="725"/>
      <c r="L41" s="714"/>
      <c r="M41" s="713"/>
      <c r="N41" s="722"/>
      <c r="O41" s="723"/>
      <c r="P41" s="723"/>
      <c r="Q41" s="714">
        <v>10</v>
      </c>
      <c r="R41" s="711"/>
      <c r="S41" s="711"/>
      <c r="T41" s="711">
        <v>0.11</v>
      </c>
      <c r="U41" s="715"/>
      <c r="V41" s="711"/>
      <c r="W41" s="712"/>
      <c r="X41" s="712"/>
      <c r="Y41" s="716"/>
      <c r="Z41" s="716"/>
      <c r="AA41" s="716"/>
      <c r="AB41" s="716"/>
      <c r="AC41" s="717"/>
      <c r="AD41" s="712"/>
      <c r="AE41" s="712"/>
      <c r="AF41" s="712"/>
      <c r="AG41" s="712"/>
      <c r="AH41" s="712"/>
      <c r="AI41" s="713"/>
      <c r="AJ41" s="789">
        <f>SUM(C42:AH42)</f>
        <v>51</v>
      </c>
      <c r="AK41" s="847"/>
      <c r="AL41" s="847"/>
      <c r="AM41" s="847"/>
      <c r="AN41" s="847"/>
      <c r="AO41" s="847"/>
      <c r="AP41" s="847"/>
      <c r="AQ41" s="847"/>
      <c r="AR41" s="847"/>
      <c r="AS41" s="847"/>
      <c r="AT41" s="847"/>
      <c r="AU41" s="847"/>
      <c r="AV41" s="847"/>
      <c r="AW41" s="847"/>
      <c r="AX41" s="847"/>
      <c r="AY41" s="847"/>
      <c r="AZ41" s="847"/>
      <c r="BA41" s="847"/>
      <c r="BB41" s="847"/>
      <c r="BC41" s="847"/>
      <c r="BD41" s="847"/>
      <c r="BE41" s="847"/>
      <c r="BF41" s="847"/>
      <c r="BG41" s="847"/>
      <c r="BH41" s="847"/>
      <c r="BI41" s="847"/>
      <c r="BJ41" s="847"/>
      <c r="BK41" s="847"/>
      <c r="BL41" s="847"/>
      <c r="BM41" s="847"/>
      <c r="BN41" s="847"/>
      <c r="BO41" s="847"/>
      <c r="BP41" s="847"/>
      <c r="BQ41" s="847"/>
      <c r="BR41" s="847"/>
      <c r="BS41" s="847"/>
      <c r="BT41" s="847"/>
      <c r="BU41" s="847"/>
      <c r="BV41" s="847"/>
      <c r="BW41" s="847"/>
      <c r="BX41" s="847"/>
      <c r="BY41" s="847"/>
      <c r="BZ41" s="847"/>
      <c r="CA41" s="847"/>
      <c r="CB41" s="847"/>
      <c r="CC41" s="847"/>
      <c r="CD41" s="847"/>
      <c r="CE41" s="847"/>
      <c r="CF41" s="847"/>
      <c r="CG41" s="847"/>
      <c r="CH41" s="847"/>
      <c r="CI41" s="847"/>
      <c r="CJ41" s="847"/>
      <c r="CK41" s="847"/>
      <c r="CL41" s="847"/>
      <c r="CM41" s="847"/>
      <c r="CN41" s="847"/>
      <c r="CO41" s="847"/>
      <c r="CP41" s="847"/>
      <c r="CQ41" s="847"/>
      <c r="CR41" s="847"/>
      <c r="CS41" s="847"/>
      <c r="CT41" s="847"/>
      <c r="CU41" s="847"/>
      <c r="CV41" s="847"/>
      <c r="CW41" s="847"/>
      <c r="CX41" s="847"/>
      <c r="CY41" s="847"/>
      <c r="CZ41" s="847"/>
      <c r="DA41" s="847"/>
      <c r="DB41" s="847"/>
      <c r="DC41" s="847"/>
      <c r="DD41" s="847"/>
      <c r="DE41" s="847"/>
      <c r="DF41" s="847"/>
      <c r="DG41" s="847"/>
      <c r="DH41" s="847"/>
      <c r="DI41" s="847"/>
      <c r="DJ41" s="847"/>
    </row>
    <row r="42" spans="1:114" s="31" customFormat="1" ht="18.75" hidden="1">
      <c r="A42" s="760"/>
      <c r="B42" s="771"/>
      <c r="C42" s="767"/>
      <c r="D42" s="731"/>
      <c r="E42" s="707"/>
      <c r="F42" s="707">
        <v>16</v>
      </c>
      <c r="G42" s="707"/>
      <c r="H42" s="707">
        <v>16</v>
      </c>
      <c r="I42" s="707"/>
      <c r="J42" s="707">
        <v>18</v>
      </c>
      <c r="K42" s="731"/>
      <c r="L42" s="707"/>
      <c r="M42" s="706"/>
      <c r="N42" s="730"/>
      <c r="O42" s="729"/>
      <c r="P42" s="729"/>
      <c r="Q42" s="707">
        <v>1</v>
      </c>
      <c r="R42" s="704"/>
      <c r="S42" s="704"/>
      <c r="T42" s="704">
        <v>0</v>
      </c>
      <c r="U42" s="708"/>
      <c r="V42" s="704"/>
      <c r="W42" s="705"/>
      <c r="X42" s="705"/>
      <c r="Y42" s="707"/>
      <c r="Z42" s="707"/>
      <c r="AA42" s="707"/>
      <c r="AB42" s="707"/>
      <c r="AC42" s="710"/>
      <c r="AD42" s="705"/>
      <c r="AE42" s="705"/>
      <c r="AF42" s="705"/>
      <c r="AG42" s="705"/>
      <c r="AH42" s="705"/>
      <c r="AI42" s="706"/>
      <c r="AJ42" s="789"/>
      <c r="AK42" s="847"/>
      <c r="AL42" s="847"/>
      <c r="AM42" s="847"/>
      <c r="AN42" s="847"/>
      <c r="AO42" s="847"/>
      <c r="AP42" s="847"/>
      <c r="AQ42" s="847"/>
      <c r="AR42" s="847"/>
      <c r="AS42" s="847"/>
      <c r="AT42" s="847"/>
      <c r="AU42" s="847"/>
      <c r="AV42" s="847"/>
      <c r="AW42" s="847"/>
      <c r="AX42" s="847"/>
      <c r="AY42" s="847"/>
      <c r="AZ42" s="847"/>
      <c r="BA42" s="847"/>
      <c r="BB42" s="847"/>
      <c r="BC42" s="847"/>
      <c r="BD42" s="847"/>
      <c r="BE42" s="847"/>
      <c r="BF42" s="847"/>
      <c r="BG42" s="847"/>
      <c r="BH42" s="847"/>
      <c r="BI42" s="847"/>
      <c r="BJ42" s="847"/>
      <c r="BK42" s="847"/>
      <c r="BL42" s="847"/>
      <c r="BM42" s="847"/>
      <c r="BN42" s="847"/>
      <c r="BO42" s="847"/>
      <c r="BP42" s="847"/>
      <c r="BQ42" s="847"/>
      <c r="BR42" s="847"/>
      <c r="BS42" s="847"/>
      <c r="BT42" s="847"/>
      <c r="BU42" s="847"/>
      <c r="BV42" s="847"/>
      <c r="BW42" s="847"/>
      <c r="BX42" s="847"/>
      <c r="BY42" s="847"/>
      <c r="BZ42" s="847"/>
      <c r="CA42" s="847"/>
      <c r="CB42" s="847"/>
      <c r="CC42" s="847"/>
      <c r="CD42" s="847"/>
      <c r="CE42" s="847"/>
      <c r="CF42" s="847"/>
      <c r="CG42" s="847"/>
      <c r="CH42" s="847"/>
      <c r="CI42" s="847"/>
      <c r="CJ42" s="847"/>
      <c r="CK42" s="847"/>
      <c r="CL42" s="847"/>
      <c r="CM42" s="847"/>
      <c r="CN42" s="847"/>
      <c r="CO42" s="847"/>
      <c r="CP42" s="847"/>
      <c r="CQ42" s="847"/>
      <c r="CR42" s="847"/>
      <c r="CS42" s="847"/>
      <c r="CT42" s="847"/>
      <c r="CU42" s="847"/>
      <c r="CV42" s="847"/>
      <c r="CW42" s="847"/>
      <c r="CX42" s="847"/>
      <c r="CY42" s="847"/>
      <c r="CZ42" s="847"/>
      <c r="DA42" s="847"/>
      <c r="DB42" s="847"/>
      <c r="DC42" s="847"/>
      <c r="DD42" s="847"/>
      <c r="DE42" s="847"/>
      <c r="DF42" s="847"/>
      <c r="DG42" s="847"/>
      <c r="DH42" s="847"/>
      <c r="DI42" s="847"/>
      <c r="DJ42" s="847"/>
    </row>
    <row r="43" spans="1:114" ht="18.75" hidden="1">
      <c r="A43" s="761">
        <v>18</v>
      </c>
      <c r="B43" s="772" t="s">
        <v>61</v>
      </c>
      <c r="C43" s="766">
        <v>5</v>
      </c>
      <c r="D43" s="712"/>
      <c r="E43" s="714">
        <v>0</v>
      </c>
      <c r="F43" s="697" t="e">
        <f>E43/AI43*100</f>
        <v>#DIV/0!</v>
      </c>
      <c r="G43" s="714"/>
      <c r="H43" s="699" t="e">
        <f>G43/AI43*100</f>
        <v>#DIV/0!</v>
      </c>
      <c r="I43" s="714"/>
      <c r="J43" s="699" t="e">
        <f>I43/AI43*100</f>
        <v>#DIV/0!</v>
      </c>
      <c r="K43" s="712"/>
      <c r="L43" s="714"/>
      <c r="M43" s="713"/>
      <c r="N43" s="696"/>
      <c r="O43" s="712"/>
      <c r="P43" s="712"/>
      <c r="Q43" s="714">
        <v>5</v>
      </c>
      <c r="R43" s="712"/>
      <c r="S43" s="712"/>
      <c r="T43" s="712">
        <v>0</v>
      </c>
      <c r="U43" s="715"/>
      <c r="V43" s="712"/>
      <c r="W43" s="712"/>
      <c r="X43" s="712"/>
      <c r="Y43" s="716"/>
      <c r="Z43" s="716"/>
      <c r="AA43" s="716"/>
      <c r="AB43" s="716"/>
      <c r="AC43" s="717"/>
      <c r="AD43" s="712"/>
      <c r="AE43" s="712"/>
      <c r="AF43" s="712"/>
      <c r="AG43" s="712"/>
      <c r="AH43" s="712"/>
      <c r="AI43" s="713"/>
      <c r="AJ43" s="789">
        <f>SUM(C44:AH44)</f>
        <v>63</v>
      </c>
      <c r="AK43" s="847"/>
      <c r="AL43" s="847"/>
      <c r="AM43" s="847"/>
      <c r="AN43" s="847"/>
      <c r="AO43" s="847"/>
      <c r="AP43" s="847"/>
      <c r="AQ43" s="847"/>
      <c r="AR43" s="847"/>
      <c r="AS43" s="847"/>
      <c r="AT43" s="847"/>
      <c r="AU43" s="847"/>
      <c r="AV43" s="847"/>
      <c r="AW43" s="847"/>
      <c r="AX43" s="847"/>
      <c r="AY43" s="847"/>
      <c r="AZ43" s="847"/>
      <c r="BA43" s="847"/>
      <c r="BB43" s="847"/>
      <c r="BC43" s="847"/>
      <c r="BD43" s="847"/>
      <c r="BE43" s="847"/>
      <c r="BF43" s="847"/>
      <c r="BG43" s="847"/>
      <c r="BH43" s="847"/>
      <c r="BI43" s="847"/>
      <c r="BJ43" s="847"/>
      <c r="BK43" s="847"/>
      <c r="BL43" s="847"/>
      <c r="BM43" s="847"/>
      <c r="BN43" s="847"/>
      <c r="BO43" s="847"/>
      <c r="BP43" s="847"/>
      <c r="BQ43" s="847"/>
      <c r="BR43" s="847"/>
      <c r="BS43" s="847"/>
      <c r="BT43" s="847"/>
      <c r="BU43" s="847"/>
      <c r="BV43" s="847"/>
      <c r="BW43" s="847"/>
      <c r="BX43" s="847"/>
      <c r="BY43" s="847"/>
      <c r="BZ43" s="847"/>
      <c r="CA43" s="847"/>
      <c r="CB43" s="847"/>
      <c r="CC43" s="847"/>
      <c r="CD43" s="847"/>
      <c r="CE43" s="847"/>
      <c r="CF43" s="847"/>
      <c r="CG43" s="847"/>
      <c r="CH43" s="847"/>
      <c r="CI43" s="847"/>
      <c r="CJ43" s="847"/>
      <c r="CK43" s="847"/>
      <c r="CL43" s="847"/>
      <c r="CM43" s="847"/>
      <c r="CN43" s="847"/>
      <c r="CO43" s="847"/>
      <c r="CP43" s="847"/>
      <c r="CQ43" s="847"/>
      <c r="CR43" s="847"/>
      <c r="CS43" s="847"/>
      <c r="CT43" s="847"/>
      <c r="CU43" s="847"/>
      <c r="CV43" s="847"/>
      <c r="CW43" s="847"/>
      <c r="CX43" s="847"/>
      <c r="CY43" s="847"/>
      <c r="CZ43" s="847"/>
      <c r="DA43" s="847"/>
      <c r="DB43" s="847"/>
      <c r="DC43" s="847"/>
      <c r="DD43" s="847"/>
      <c r="DE43" s="847"/>
      <c r="DF43" s="847"/>
      <c r="DG43" s="847"/>
      <c r="DH43" s="847"/>
      <c r="DI43" s="847"/>
      <c r="DJ43" s="847"/>
    </row>
    <row r="44" spans="1:114" s="27" customFormat="1" ht="18.75" hidden="1">
      <c r="A44" s="762"/>
      <c r="B44" s="775"/>
      <c r="C44" s="769"/>
      <c r="D44" s="740"/>
      <c r="E44" s="741">
        <v>10</v>
      </c>
      <c r="F44" s="707">
        <v>17</v>
      </c>
      <c r="G44" s="741"/>
      <c r="H44" s="707">
        <v>17</v>
      </c>
      <c r="I44" s="741"/>
      <c r="J44" s="707">
        <v>19</v>
      </c>
      <c r="K44" s="740"/>
      <c r="L44" s="741"/>
      <c r="M44" s="742"/>
      <c r="N44" s="696"/>
      <c r="O44" s="740"/>
      <c r="P44" s="740"/>
      <c r="Q44" s="741"/>
      <c r="R44" s="740"/>
      <c r="S44" s="740"/>
      <c r="T44" s="740"/>
      <c r="U44" s="743"/>
      <c r="V44" s="740"/>
      <c r="W44" s="740"/>
      <c r="X44" s="740"/>
      <c r="Y44" s="741"/>
      <c r="Z44" s="741"/>
      <c r="AA44" s="741"/>
      <c r="AB44" s="741"/>
      <c r="AC44" s="744"/>
      <c r="AD44" s="740"/>
      <c r="AE44" s="740"/>
      <c r="AF44" s="740"/>
      <c r="AG44" s="740"/>
      <c r="AH44" s="740"/>
      <c r="AI44" s="742"/>
      <c r="AJ44" s="789"/>
      <c r="AK44" s="847"/>
      <c r="AL44" s="847"/>
      <c r="AM44" s="847"/>
      <c r="AN44" s="847"/>
      <c r="AO44" s="847"/>
      <c r="AP44" s="847"/>
      <c r="AQ44" s="847"/>
      <c r="AR44" s="847"/>
      <c r="AS44" s="847"/>
      <c r="AT44" s="847"/>
      <c r="AU44" s="847"/>
      <c r="AV44" s="847"/>
      <c r="AW44" s="847"/>
      <c r="AX44" s="847"/>
      <c r="AY44" s="847"/>
      <c r="AZ44" s="847"/>
      <c r="BA44" s="847"/>
      <c r="BB44" s="847"/>
      <c r="BC44" s="847"/>
      <c r="BD44" s="847"/>
      <c r="BE44" s="847"/>
      <c r="BF44" s="847"/>
      <c r="BG44" s="847"/>
      <c r="BH44" s="847"/>
      <c r="BI44" s="847"/>
      <c r="BJ44" s="847"/>
      <c r="BK44" s="847"/>
      <c r="BL44" s="847"/>
      <c r="BM44" s="847"/>
      <c r="BN44" s="847"/>
      <c r="BO44" s="847"/>
      <c r="BP44" s="847"/>
      <c r="BQ44" s="847"/>
      <c r="BR44" s="847"/>
      <c r="BS44" s="847"/>
      <c r="BT44" s="847"/>
      <c r="BU44" s="847"/>
      <c r="BV44" s="847"/>
      <c r="BW44" s="847"/>
      <c r="BX44" s="847"/>
      <c r="BY44" s="847"/>
      <c r="BZ44" s="847"/>
      <c r="CA44" s="847"/>
      <c r="CB44" s="847"/>
      <c r="CC44" s="847"/>
      <c r="CD44" s="847"/>
      <c r="CE44" s="847"/>
      <c r="CF44" s="847"/>
      <c r="CG44" s="847"/>
      <c r="CH44" s="847"/>
      <c r="CI44" s="847"/>
      <c r="CJ44" s="847"/>
      <c r="CK44" s="847"/>
      <c r="CL44" s="847"/>
      <c r="CM44" s="847"/>
      <c r="CN44" s="847"/>
      <c r="CO44" s="847"/>
      <c r="CP44" s="847"/>
      <c r="CQ44" s="847"/>
      <c r="CR44" s="847"/>
      <c r="CS44" s="847"/>
      <c r="CT44" s="847"/>
      <c r="CU44" s="847"/>
      <c r="CV44" s="847"/>
      <c r="CW44" s="847"/>
      <c r="CX44" s="847"/>
      <c r="CY44" s="847"/>
      <c r="CZ44" s="847"/>
      <c r="DA44" s="847"/>
      <c r="DB44" s="847"/>
      <c r="DC44" s="847"/>
      <c r="DD44" s="847"/>
      <c r="DE44" s="847"/>
      <c r="DF44" s="847"/>
      <c r="DG44" s="847"/>
      <c r="DH44" s="847"/>
      <c r="DI44" s="847"/>
      <c r="DJ44" s="847"/>
    </row>
    <row r="45" spans="1:114" ht="18.75">
      <c r="A45" s="761">
        <v>5</v>
      </c>
      <c r="B45" s="772" t="s">
        <v>57</v>
      </c>
      <c r="C45" s="765">
        <v>12</v>
      </c>
      <c r="D45" s="712"/>
      <c r="E45" s="714">
        <v>2</v>
      </c>
      <c r="F45" s="697">
        <f>E45/AI45*100</f>
        <v>8.3056478405315617E-2</v>
      </c>
      <c r="G45" s="714">
        <v>4</v>
      </c>
      <c r="H45" s="699">
        <f>G45/AI45*100</f>
        <v>0.16611295681063123</v>
      </c>
      <c r="I45" s="714">
        <v>2</v>
      </c>
      <c r="J45" s="699">
        <f>I45/AI45*100</f>
        <v>8.3056478405315617E-2</v>
      </c>
      <c r="K45" s="724"/>
      <c r="L45" s="714">
        <v>4</v>
      </c>
      <c r="M45" s="713">
        <v>0</v>
      </c>
      <c r="N45" s="696"/>
      <c r="O45" s="712">
        <v>0</v>
      </c>
      <c r="P45" s="712"/>
      <c r="Q45" s="714">
        <v>0</v>
      </c>
      <c r="R45" s="712" t="s">
        <v>81</v>
      </c>
      <c r="S45" s="712" t="s">
        <v>81</v>
      </c>
      <c r="T45" s="712">
        <v>0</v>
      </c>
      <c r="U45" s="715">
        <v>0</v>
      </c>
      <c r="V45" s="712">
        <v>0</v>
      </c>
      <c r="W45" s="712"/>
      <c r="X45" s="712"/>
      <c r="Y45" s="695"/>
      <c r="Z45" s="716"/>
      <c r="AA45" s="716"/>
      <c r="AB45" s="716"/>
      <c r="AC45" s="717"/>
      <c r="AD45" s="712"/>
      <c r="AE45" s="712"/>
      <c r="AF45" s="712"/>
      <c r="AG45" s="712"/>
      <c r="AH45" s="712"/>
      <c r="AI45" s="713">
        <v>2408</v>
      </c>
      <c r="AJ45" s="789">
        <f>SUM(C46:AH46)</f>
        <v>94</v>
      </c>
      <c r="AK45" s="847"/>
      <c r="AL45" s="847"/>
      <c r="AM45" s="847"/>
      <c r="AN45" s="847"/>
      <c r="AO45" s="847"/>
      <c r="AP45" s="847"/>
      <c r="AQ45" s="847"/>
      <c r="AR45" s="847"/>
      <c r="AS45" s="847"/>
      <c r="AT45" s="847"/>
      <c r="AU45" s="847"/>
      <c r="AV45" s="847"/>
      <c r="AW45" s="847"/>
      <c r="AX45" s="847"/>
      <c r="AY45" s="847"/>
      <c r="AZ45" s="847"/>
      <c r="BA45" s="847"/>
      <c r="BB45" s="847"/>
      <c r="BC45" s="847"/>
      <c r="BD45" s="847"/>
      <c r="BE45" s="847"/>
      <c r="BF45" s="847"/>
      <c r="BG45" s="847"/>
      <c r="BH45" s="847"/>
      <c r="BI45" s="847"/>
      <c r="BJ45" s="847"/>
      <c r="BK45" s="847"/>
      <c r="BL45" s="847"/>
      <c r="BM45" s="847"/>
      <c r="BN45" s="847"/>
      <c r="BO45" s="847"/>
      <c r="BP45" s="847"/>
      <c r="BQ45" s="847"/>
      <c r="BR45" s="847"/>
      <c r="BS45" s="847"/>
      <c r="BT45" s="847"/>
      <c r="BU45" s="847"/>
      <c r="BV45" s="847"/>
      <c r="BW45" s="847"/>
      <c r="BX45" s="847"/>
      <c r="BY45" s="847"/>
      <c r="BZ45" s="847"/>
      <c r="CA45" s="847"/>
      <c r="CB45" s="847"/>
      <c r="CC45" s="847"/>
      <c r="CD45" s="847"/>
      <c r="CE45" s="847"/>
      <c r="CF45" s="847"/>
      <c r="CG45" s="847"/>
      <c r="CH45" s="847"/>
      <c r="CI45" s="847"/>
      <c r="CJ45" s="847"/>
      <c r="CK45" s="847"/>
      <c r="CL45" s="847"/>
      <c r="CM45" s="847"/>
      <c r="CN45" s="847"/>
      <c r="CO45" s="847"/>
      <c r="CP45" s="847"/>
      <c r="CQ45" s="847"/>
      <c r="CR45" s="847"/>
      <c r="CS45" s="847"/>
      <c r="CT45" s="847"/>
      <c r="CU45" s="847"/>
      <c r="CV45" s="847"/>
      <c r="CW45" s="847"/>
      <c r="CX45" s="847"/>
      <c r="CY45" s="847"/>
      <c r="CZ45" s="847"/>
      <c r="DA45" s="847"/>
      <c r="DB45" s="847"/>
      <c r="DC45" s="847"/>
      <c r="DD45" s="847"/>
      <c r="DE45" s="847"/>
      <c r="DF45" s="847"/>
      <c r="DG45" s="847"/>
      <c r="DH45" s="847"/>
      <c r="DI45" s="847"/>
      <c r="DJ45" s="847"/>
    </row>
    <row r="46" spans="1:114" s="27" customFormat="1" ht="18.75" hidden="1">
      <c r="A46" s="760"/>
      <c r="B46" s="771"/>
      <c r="C46" s="767"/>
      <c r="D46" s="704"/>
      <c r="E46" s="707"/>
      <c r="F46" s="707">
        <v>10</v>
      </c>
      <c r="G46" s="707"/>
      <c r="H46" s="707">
        <v>10</v>
      </c>
      <c r="I46" s="707"/>
      <c r="J46" s="707">
        <v>4</v>
      </c>
      <c r="K46" s="704"/>
      <c r="L46" s="707">
        <v>10</v>
      </c>
      <c r="M46" s="706">
        <v>10</v>
      </c>
      <c r="N46" s="706"/>
      <c r="O46" s="704">
        <v>10</v>
      </c>
      <c r="P46" s="704"/>
      <c r="Q46" s="707">
        <v>0</v>
      </c>
      <c r="R46" s="704">
        <v>0</v>
      </c>
      <c r="S46" s="704">
        <v>0</v>
      </c>
      <c r="T46" s="704">
        <v>0</v>
      </c>
      <c r="U46" s="708">
        <v>0</v>
      </c>
      <c r="V46" s="704">
        <v>0</v>
      </c>
      <c r="W46" s="704"/>
      <c r="X46" s="704"/>
      <c r="Y46" s="707">
        <v>10</v>
      </c>
      <c r="Z46" s="707">
        <v>10</v>
      </c>
      <c r="AA46" s="707">
        <v>10</v>
      </c>
      <c r="AB46" s="707">
        <v>10</v>
      </c>
      <c r="AC46" s="710"/>
      <c r="AD46" s="704"/>
      <c r="AE46" s="704"/>
      <c r="AF46" s="705"/>
      <c r="AG46" s="704"/>
      <c r="AH46" s="704"/>
      <c r="AI46" s="706"/>
      <c r="AJ46" s="789"/>
      <c r="AK46" s="847"/>
      <c r="AL46" s="847"/>
      <c r="AM46" s="847"/>
      <c r="AN46" s="847"/>
      <c r="AO46" s="847"/>
      <c r="AP46" s="847"/>
      <c r="AQ46" s="847"/>
      <c r="AR46" s="847"/>
      <c r="AS46" s="847"/>
      <c r="AT46" s="847"/>
      <c r="AU46" s="847"/>
      <c r="AV46" s="847"/>
      <c r="AW46" s="847"/>
      <c r="AX46" s="847"/>
      <c r="AY46" s="847"/>
      <c r="AZ46" s="847"/>
      <c r="BA46" s="847"/>
      <c r="BB46" s="847"/>
      <c r="BC46" s="847"/>
      <c r="BD46" s="847"/>
      <c r="BE46" s="847"/>
      <c r="BF46" s="847"/>
      <c r="BG46" s="847"/>
      <c r="BH46" s="847"/>
      <c r="BI46" s="847"/>
      <c r="BJ46" s="847"/>
      <c r="BK46" s="847"/>
      <c r="BL46" s="847"/>
      <c r="BM46" s="847"/>
      <c r="BN46" s="847"/>
      <c r="BO46" s="847"/>
      <c r="BP46" s="847"/>
      <c r="BQ46" s="847"/>
      <c r="BR46" s="847"/>
      <c r="BS46" s="847"/>
      <c r="BT46" s="847"/>
      <c r="BU46" s="847"/>
      <c r="BV46" s="847"/>
      <c r="BW46" s="847"/>
      <c r="BX46" s="847"/>
      <c r="BY46" s="847"/>
      <c r="BZ46" s="847"/>
      <c r="CA46" s="847"/>
      <c r="CB46" s="847"/>
      <c r="CC46" s="847"/>
      <c r="CD46" s="847"/>
      <c r="CE46" s="847"/>
      <c r="CF46" s="847"/>
      <c r="CG46" s="847"/>
      <c r="CH46" s="847"/>
      <c r="CI46" s="847"/>
      <c r="CJ46" s="847"/>
      <c r="CK46" s="847"/>
      <c r="CL46" s="847"/>
      <c r="CM46" s="847"/>
      <c r="CN46" s="847"/>
      <c r="CO46" s="847"/>
      <c r="CP46" s="847"/>
      <c r="CQ46" s="847"/>
      <c r="CR46" s="847"/>
      <c r="CS46" s="847"/>
      <c r="CT46" s="847"/>
      <c r="CU46" s="847"/>
      <c r="CV46" s="847"/>
      <c r="CW46" s="847"/>
      <c r="CX46" s="847"/>
      <c r="CY46" s="847"/>
      <c r="CZ46" s="847"/>
      <c r="DA46" s="847"/>
      <c r="DB46" s="847"/>
      <c r="DC46" s="847"/>
      <c r="DD46" s="847"/>
      <c r="DE46" s="847"/>
      <c r="DF46" s="847"/>
      <c r="DG46" s="847"/>
      <c r="DH46" s="847"/>
      <c r="DI46" s="847"/>
      <c r="DJ46" s="847"/>
    </row>
    <row r="47" spans="1:114" s="3" customFormat="1" ht="18.75">
      <c r="A47" s="761">
        <v>3</v>
      </c>
      <c r="B47" s="772" t="s">
        <v>56</v>
      </c>
      <c r="C47" s="766">
        <v>526</v>
      </c>
      <c r="D47" s="711">
        <v>1269182</v>
      </c>
      <c r="E47" s="714">
        <v>55</v>
      </c>
      <c r="F47" s="697">
        <f>E47/AI47*100</f>
        <v>8.5215828452790424E-2</v>
      </c>
      <c r="G47" s="714">
        <v>234</v>
      </c>
      <c r="H47" s="699">
        <f>G47/AI47*100</f>
        <v>0.36255461559914476</v>
      </c>
      <c r="I47" s="714">
        <v>144</v>
      </c>
      <c r="J47" s="699">
        <f>I47/AI47*100</f>
        <v>0.22311053267639677</v>
      </c>
      <c r="K47" s="718"/>
      <c r="L47" s="714">
        <v>30</v>
      </c>
      <c r="M47" s="713">
        <v>0</v>
      </c>
      <c r="N47" s="696"/>
      <c r="O47" s="711">
        <v>0</v>
      </c>
      <c r="P47" s="711"/>
      <c r="Q47" s="714">
        <v>141</v>
      </c>
      <c r="R47" s="711" t="s">
        <v>81</v>
      </c>
      <c r="S47" s="711" t="s">
        <v>81</v>
      </c>
      <c r="T47" s="711">
        <v>14.82</v>
      </c>
      <c r="U47" s="715">
        <f>10*100/C47</f>
        <v>1.9011406844106464</v>
      </c>
      <c r="V47" s="711">
        <v>0</v>
      </c>
      <c r="W47" s="711"/>
      <c r="X47" s="711"/>
      <c r="Y47" s="695">
        <v>32.619999999999997</v>
      </c>
      <c r="Z47" s="716">
        <v>49.36</v>
      </c>
      <c r="AA47" s="716">
        <v>50.65</v>
      </c>
      <c r="AB47" s="716">
        <v>64.510000000000005</v>
      </c>
      <c r="AC47" s="717"/>
      <c r="AD47" s="711"/>
      <c r="AE47" s="711"/>
      <c r="AF47" s="712"/>
      <c r="AG47" s="711"/>
      <c r="AH47" s="711"/>
      <c r="AI47" s="713">
        <v>64542</v>
      </c>
      <c r="AJ47" s="789">
        <f>SUM(C48:AH48)</f>
        <v>59.1</v>
      </c>
      <c r="AK47" s="847"/>
      <c r="AL47" s="847"/>
      <c r="AM47" s="847"/>
      <c r="AN47" s="847"/>
      <c r="AO47" s="847"/>
      <c r="AP47" s="847"/>
      <c r="AQ47" s="847"/>
      <c r="AR47" s="847"/>
      <c r="AS47" s="847"/>
      <c r="AT47" s="847"/>
      <c r="AU47" s="847"/>
      <c r="AV47" s="847"/>
      <c r="AW47" s="847"/>
      <c r="AX47" s="847"/>
      <c r="AY47" s="847"/>
      <c r="AZ47" s="847"/>
      <c r="BA47" s="847"/>
      <c r="BB47" s="847"/>
      <c r="BC47" s="847"/>
      <c r="BD47" s="847"/>
      <c r="BE47" s="847"/>
      <c r="BF47" s="847"/>
      <c r="BG47" s="847"/>
      <c r="BH47" s="847"/>
      <c r="BI47" s="847"/>
      <c r="BJ47" s="847"/>
      <c r="BK47" s="847"/>
      <c r="BL47" s="847"/>
      <c r="BM47" s="847"/>
      <c r="BN47" s="847"/>
      <c r="BO47" s="847"/>
      <c r="BP47" s="847"/>
      <c r="BQ47" s="847"/>
      <c r="BR47" s="847"/>
      <c r="BS47" s="847"/>
      <c r="BT47" s="847"/>
      <c r="BU47" s="847"/>
      <c r="BV47" s="847"/>
      <c r="BW47" s="847"/>
      <c r="BX47" s="847"/>
      <c r="BY47" s="847"/>
      <c r="BZ47" s="847"/>
      <c r="CA47" s="847"/>
      <c r="CB47" s="847"/>
      <c r="CC47" s="847"/>
      <c r="CD47" s="847"/>
      <c r="CE47" s="847"/>
      <c r="CF47" s="847"/>
      <c r="CG47" s="847"/>
      <c r="CH47" s="847"/>
      <c r="CI47" s="847"/>
      <c r="CJ47" s="847"/>
      <c r="CK47" s="847"/>
      <c r="CL47" s="847"/>
      <c r="CM47" s="847"/>
      <c r="CN47" s="847"/>
      <c r="CO47" s="847"/>
      <c r="CP47" s="847"/>
      <c r="CQ47" s="847"/>
      <c r="CR47" s="847"/>
      <c r="CS47" s="847"/>
      <c r="CT47" s="847"/>
      <c r="CU47" s="847"/>
      <c r="CV47" s="847"/>
      <c r="CW47" s="847"/>
      <c r="CX47" s="847"/>
      <c r="CY47" s="847"/>
      <c r="CZ47" s="847"/>
      <c r="DA47" s="847"/>
      <c r="DB47" s="847"/>
      <c r="DC47" s="847"/>
      <c r="DD47" s="847"/>
      <c r="DE47" s="847"/>
      <c r="DF47" s="847"/>
      <c r="DG47" s="847"/>
      <c r="DH47" s="847"/>
      <c r="DI47" s="847"/>
      <c r="DJ47" s="847"/>
    </row>
    <row r="48" spans="1:114" s="31" customFormat="1" ht="18.75" hidden="1">
      <c r="A48" s="760"/>
      <c r="B48" s="771"/>
      <c r="C48" s="767"/>
      <c r="D48" s="731"/>
      <c r="E48" s="707"/>
      <c r="F48" s="707">
        <v>6</v>
      </c>
      <c r="G48" s="707"/>
      <c r="H48" s="707">
        <v>6</v>
      </c>
      <c r="I48" s="707"/>
      <c r="J48" s="707">
        <v>7</v>
      </c>
      <c r="K48" s="704">
        <v>-1.9</v>
      </c>
      <c r="L48" s="707">
        <v>9</v>
      </c>
      <c r="M48" s="706">
        <v>10</v>
      </c>
      <c r="N48" s="706"/>
      <c r="O48" s="704">
        <v>10</v>
      </c>
      <c r="P48" s="731"/>
      <c r="Q48" s="707">
        <v>6</v>
      </c>
      <c r="R48" s="704">
        <v>0</v>
      </c>
      <c r="S48" s="704">
        <v>0</v>
      </c>
      <c r="T48" s="704">
        <v>7</v>
      </c>
      <c r="U48" s="708">
        <v>0</v>
      </c>
      <c r="V48" s="704">
        <v>0</v>
      </c>
      <c r="W48" s="705"/>
      <c r="X48" s="705"/>
      <c r="Y48" s="707"/>
      <c r="Z48" s="707"/>
      <c r="AA48" s="707"/>
      <c r="AB48" s="707"/>
      <c r="AC48" s="710"/>
      <c r="AD48" s="705"/>
      <c r="AE48" s="705"/>
      <c r="AF48" s="705"/>
      <c r="AG48" s="705"/>
      <c r="AH48" s="705"/>
      <c r="AI48" s="706"/>
      <c r="AJ48" s="789"/>
      <c r="AK48" s="847"/>
      <c r="AL48" s="847"/>
      <c r="AM48" s="847"/>
      <c r="AN48" s="847"/>
      <c r="AO48" s="847"/>
      <c r="AP48" s="847"/>
      <c r="AQ48" s="847"/>
      <c r="AR48" s="847"/>
      <c r="AS48" s="847"/>
      <c r="AT48" s="847"/>
      <c r="AU48" s="847"/>
      <c r="AV48" s="847"/>
      <c r="AW48" s="847"/>
      <c r="AX48" s="847"/>
      <c r="AY48" s="847"/>
      <c r="AZ48" s="847"/>
      <c r="BA48" s="847"/>
      <c r="BB48" s="847"/>
      <c r="BC48" s="847"/>
      <c r="BD48" s="847"/>
      <c r="BE48" s="847"/>
      <c r="BF48" s="847"/>
      <c r="BG48" s="847"/>
      <c r="BH48" s="847"/>
      <c r="BI48" s="847"/>
      <c r="BJ48" s="847"/>
      <c r="BK48" s="847"/>
      <c r="BL48" s="847"/>
      <c r="BM48" s="847"/>
      <c r="BN48" s="847"/>
      <c r="BO48" s="847"/>
      <c r="BP48" s="847"/>
      <c r="BQ48" s="847"/>
      <c r="BR48" s="847"/>
      <c r="BS48" s="847"/>
      <c r="BT48" s="847"/>
      <c r="BU48" s="847"/>
      <c r="BV48" s="847"/>
      <c r="BW48" s="847"/>
      <c r="BX48" s="847"/>
      <c r="BY48" s="847"/>
      <c r="BZ48" s="847"/>
      <c r="CA48" s="847"/>
      <c r="CB48" s="847"/>
      <c r="CC48" s="847"/>
      <c r="CD48" s="847"/>
      <c r="CE48" s="847"/>
      <c r="CF48" s="847"/>
      <c r="CG48" s="847"/>
      <c r="CH48" s="847"/>
      <c r="CI48" s="847"/>
      <c r="CJ48" s="847"/>
      <c r="CK48" s="847"/>
      <c r="CL48" s="847"/>
      <c r="CM48" s="847"/>
      <c r="CN48" s="847"/>
      <c r="CO48" s="847"/>
      <c r="CP48" s="847"/>
      <c r="CQ48" s="847"/>
      <c r="CR48" s="847"/>
      <c r="CS48" s="847"/>
      <c r="CT48" s="847"/>
      <c r="CU48" s="847"/>
      <c r="CV48" s="847"/>
      <c r="CW48" s="847"/>
      <c r="CX48" s="847"/>
      <c r="CY48" s="847"/>
      <c r="CZ48" s="847"/>
      <c r="DA48" s="847"/>
      <c r="DB48" s="847"/>
      <c r="DC48" s="847"/>
      <c r="DD48" s="847"/>
      <c r="DE48" s="847"/>
      <c r="DF48" s="847"/>
      <c r="DG48" s="847"/>
      <c r="DH48" s="847"/>
      <c r="DI48" s="847"/>
      <c r="DJ48" s="847"/>
    </row>
    <row r="49" spans="1:114" s="4" customFormat="1" ht="18.75" hidden="1">
      <c r="A49" s="761">
        <v>21</v>
      </c>
      <c r="B49" s="774" t="s">
        <v>64</v>
      </c>
      <c r="C49" s="768">
        <v>6</v>
      </c>
      <c r="D49" s="732"/>
      <c r="E49" s="733">
        <v>0</v>
      </c>
      <c r="F49" s="697" t="e">
        <f>E49/AI49*100</f>
        <v>#DIV/0!</v>
      </c>
      <c r="G49" s="733"/>
      <c r="H49" s="699" t="e">
        <f>G49/AI49*100</f>
        <v>#DIV/0!</v>
      </c>
      <c r="I49" s="733"/>
      <c r="J49" s="699" t="e">
        <f>I49/AI49*100</f>
        <v>#DIV/0!</v>
      </c>
      <c r="K49" s="732"/>
      <c r="L49" s="733"/>
      <c r="M49" s="734"/>
      <c r="N49" s="696"/>
      <c r="O49" s="732"/>
      <c r="P49" s="732"/>
      <c r="Q49" s="733">
        <v>2</v>
      </c>
      <c r="R49" s="732"/>
      <c r="S49" s="732"/>
      <c r="T49" s="732">
        <v>51.01</v>
      </c>
      <c r="U49" s="735"/>
      <c r="V49" s="732"/>
      <c r="W49" s="732"/>
      <c r="X49" s="732"/>
      <c r="Y49" s="736"/>
      <c r="Z49" s="736"/>
      <c r="AA49" s="736"/>
      <c r="AB49" s="736"/>
      <c r="AC49" s="737"/>
      <c r="AD49" s="732"/>
      <c r="AE49" s="732"/>
      <c r="AF49" s="732"/>
      <c r="AG49" s="732"/>
      <c r="AH49" s="732"/>
      <c r="AI49" s="734"/>
      <c r="AJ49" s="789">
        <f>SUM(C50:AH50)</f>
        <v>78</v>
      </c>
      <c r="AK49" s="847"/>
      <c r="AL49" s="847"/>
      <c r="AM49" s="847"/>
      <c r="AN49" s="847"/>
      <c r="AO49" s="847"/>
      <c r="AP49" s="847"/>
      <c r="AQ49" s="847"/>
      <c r="AR49" s="847"/>
      <c r="AS49" s="847"/>
      <c r="AT49" s="847"/>
      <c r="AU49" s="847"/>
      <c r="AV49" s="847"/>
      <c r="AW49" s="847"/>
      <c r="AX49" s="847"/>
      <c r="AY49" s="847"/>
      <c r="AZ49" s="847"/>
      <c r="BA49" s="847"/>
      <c r="BB49" s="847"/>
      <c r="BC49" s="847"/>
      <c r="BD49" s="847"/>
      <c r="BE49" s="847"/>
      <c r="BF49" s="847"/>
      <c r="BG49" s="847"/>
      <c r="BH49" s="847"/>
      <c r="BI49" s="847"/>
      <c r="BJ49" s="847"/>
      <c r="BK49" s="847"/>
      <c r="BL49" s="847"/>
      <c r="BM49" s="847"/>
      <c r="BN49" s="847"/>
      <c r="BO49" s="847"/>
      <c r="BP49" s="847"/>
      <c r="BQ49" s="847"/>
      <c r="BR49" s="847"/>
      <c r="BS49" s="847"/>
      <c r="BT49" s="847"/>
      <c r="BU49" s="847"/>
      <c r="BV49" s="847"/>
      <c r="BW49" s="847"/>
      <c r="BX49" s="847"/>
      <c r="BY49" s="847"/>
      <c r="BZ49" s="847"/>
      <c r="CA49" s="847"/>
      <c r="CB49" s="847"/>
      <c r="CC49" s="847"/>
      <c r="CD49" s="847"/>
      <c r="CE49" s="847"/>
      <c r="CF49" s="847"/>
      <c r="CG49" s="847"/>
      <c r="CH49" s="847"/>
      <c r="CI49" s="847"/>
      <c r="CJ49" s="847"/>
      <c r="CK49" s="847"/>
      <c r="CL49" s="847"/>
      <c r="CM49" s="847"/>
      <c r="CN49" s="847"/>
      <c r="CO49" s="847"/>
      <c r="CP49" s="847"/>
      <c r="CQ49" s="847"/>
      <c r="CR49" s="847"/>
      <c r="CS49" s="847"/>
      <c r="CT49" s="847"/>
      <c r="CU49" s="847"/>
      <c r="CV49" s="847"/>
      <c r="CW49" s="847"/>
      <c r="CX49" s="847"/>
      <c r="CY49" s="847"/>
      <c r="CZ49" s="847"/>
      <c r="DA49" s="847"/>
      <c r="DB49" s="847"/>
      <c r="DC49" s="847"/>
      <c r="DD49" s="847"/>
      <c r="DE49" s="847"/>
      <c r="DF49" s="847"/>
      <c r="DG49" s="847"/>
      <c r="DH49" s="847"/>
      <c r="DI49" s="847"/>
      <c r="DJ49" s="847"/>
    </row>
    <row r="50" spans="1:114" s="27" customFormat="1" ht="18.75" hidden="1">
      <c r="A50" s="762"/>
      <c r="B50" s="775"/>
      <c r="C50" s="769"/>
      <c r="D50" s="740"/>
      <c r="E50" s="741">
        <v>10</v>
      </c>
      <c r="F50" s="707">
        <v>20</v>
      </c>
      <c r="G50" s="741"/>
      <c r="H50" s="707">
        <v>20</v>
      </c>
      <c r="I50" s="741"/>
      <c r="J50" s="707">
        <v>22</v>
      </c>
      <c r="K50" s="740"/>
      <c r="L50" s="741"/>
      <c r="M50" s="742"/>
      <c r="N50" s="696"/>
      <c r="O50" s="740"/>
      <c r="P50" s="740"/>
      <c r="Q50" s="741"/>
      <c r="R50" s="740"/>
      <c r="S50" s="740"/>
      <c r="T50" s="740">
        <v>6</v>
      </c>
      <c r="U50" s="743"/>
      <c r="V50" s="740"/>
      <c r="W50" s="740"/>
      <c r="X50" s="740"/>
      <c r="Y50" s="741"/>
      <c r="Z50" s="741"/>
      <c r="AA50" s="741"/>
      <c r="AB50" s="741"/>
      <c r="AC50" s="744"/>
      <c r="AD50" s="740"/>
      <c r="AE50" s="740"/>
      <c r="AF50" s="740"/>
      <c r="AG50" s="740"/>
      <c r="AH50" s="740"/>
      <c r="AI50" s="742"/>
      <c r="AJ50" s="789"/>
      <c r="AK50" s="847"/>
      <c r="AL50" s="847"/>
      <c r="AM50" s="847"/>
      <c r="AN50" s="847"/>
      <c r="AO50" s="847"/>
      <c r="AP50" s="847"/>
      <c r="AQ50" s="847"/>
      <c r="AR50" s="847"/>
      <c r="AS50" s="847"/>
      <c r="AT50" s="847"/>
      <c r="AU50" s="847"/>
      <c r="AV50" s="847"/>
      <c r="AW50" s="847"/>
      <c r="AX50" s="847"/>
      <c r="AY50" s="847"/>
      <c r="AZ50" s="847"/>
      <c r="BA50" s="847"/>
      <c r="BB50" s="847"/>
      <c r="BC50" s="847"/>
      <c r="BD50" s="847"/>
      <c r="BE50" s="847"/>
      <c r="BF50" s="847"/>
      <c r="BG50" s="847"/>
      <c r="BH50" s="847"/>
      <c r="BI50" s="847"/>
      <c r="BJ50" s="847"/>
      <c r="BK50" s="847"/>
      <c r="BL50" s="847"/>
      <c r="BM50" s="847"/>
      <c r="BN50" s="847"/>
      <c r="BO50" s="847"/>
      <c r="BP50" s="847"/>
      <c r="BQ50" s="847"/>
      <c r="BR50" s="847"/>
      <c r="BS50" s="847"/>
      <c r="BT50" s="847"/>
      <c r="BU50" s="847"/>
      <c r="BV50" s="847"/>
      <c r="BW50" s="847"/>
      <c r="BX50" s="847"/>
      <c r="BY50" s="847"/>
      <c r="BZ50" s="847"/>
      <c r="CA50" s="847"/>
      <c r="CB50" s="847"/>
      <c r="CC50" s="847"/>
      <c r="CD50" s="847"/>
      <c r="CE50" s="847"/>
      <c r="CF50" s="847"/>
      <c r="CG50" s="847"/>
      <c r="CH50" s="847"/>
      <c r="CI50" s="847"/>
      <c r="CJ50" s="847"/>
      <c r="CK50" s="847"/>
      <c r="CL50" s="847"/>
      <c r="CM50" s="847"/>
      <c r="CN50" s="847"/>
      <c r="CO50" s="847"/>
      <c r="CP50" s="847"/>
      <c r="CQ50" s="847"/>
      <c r="CR50" s="847"/>
      <c r="CS50" s="847"/>
      <c r="CT50" s="847"/>
      <c r="CU50" s="847"/>
      <c r="CV50" s="847"/>
      <c r="CW50" s="847"/>
      <c r="CX50" s="847"/>
      <c r="CY50" s="847"/>
      <c r="CZ50" s="847"/>
      <c r="DA50" s="847"/>
      <c r="DB50" s="847"/>
      <c r="DC50" s="847"/>
      <c r="DD50" s="847"/>
      <c r="DE50" s="847"/>
      <c r="DF50" s="847"/>
      <c r="DG50" s="847"/>
      <c r="DH50" s="847"/>
      <c r="DI50" s="847"/>
      <c r="DJ50" s="847"/>
    </row>
    <row r="51" spans="1:114" ht="18.75" hidden="1">
      <c r="A51" s="761">
        <v>22</v>
      </c>
      <c r="B51" s="772" t="s">
        <v>65</v>
      </c>
      <c r="C51" s="766">
        <v>4</v>
      </c>
      <c r="D51" s="714"/>
      <c r="E51" s="714">
        <v>0</v>
      </c>
      <c r="F51" s="697" t="e">
        <f>E51/AI51*100</f>
        <v>#DIV/0!</v>
      </c>
      <c r="G51" s="714"/>
      <c r="H51" s="699" t="e">
        <f>G51/AI51*100</f>
        <v>#DIV/0!</v>
      </c>
      <c r="I51" s="714"/>
      <c r="J51" s="699" t="e">
        <f>I51/AI51*100</f>
        <v>#DIV/0!</v>
      </c>
      <c r="K51" s="714"/>
      <c r="L51" s="714"/>
      <c r="M51" s="713"/>
      <c r="N51" s="696"/>
      <c r="O51" s="711"/>
      <c r="P51" s="711"/>
      <c r="Q51" s="714">
        <v>0</v>
      </c>
      <c r="R51" s="711"/>
      <c r="S51" s="711"/>
      <c r="T51" s="711">
        <v>100</v>
      </c>
      <c r="U51" s="715"/>
      <c r="V51" s="711"/>
      <c r="W51" s="712"/>
      <c r="X51" s="711"/>
      <c r="Y51" s="716"/>
      <c r="Z51" s="716"/>
      <c r="AA51" s="716"/>
      <c r="AB51" s="716"/>
      <c r="AC51" s="717"/>
      <c r="AD51" s="711"/>
      <c r="AE51" s="711"/>
      <c r="AF51" s="712"/>
      <c r="AG51" s="711"/>
      <c r="AH51" s="711"/>
      <c r="AI51" s="713"/>
      <c r="AJ51" s="789">
        <f>SUM(C52:AH52)</f>
        <v>85</v>
      </c>
      <c r="AK51" s="847"/>
      <c r="AL51" s="847"/>
      <c r="AM51" s="847"/>
      <c r="AN51" s="847"/>
      <c r="AO51" s="847"/>
      <c r="AP51" s="847"/>
      <c r="AQ51" s="847"/>
      <c r="AR51" s="847"/>
      <c r="AS51" s="847"/>
      <c r="AT51" s="847"/>
      <c r="AU51" s="847"/>
      <c r="AV51" s="847"/>
      <c r="AW51" s="847"/>
      <c r="AX51" s="847"/>
      <c r="AY51" s="847"/>
      <c r="AZ51" s="847"/>
      <c r="BA51" s="847"/>
      <c r="BB51" s="847"/>
      <c r="BC51" s="847"/>
      <c r="BD51" s="847"/>
      <c r="BE51" s="847"/>
      <c r="BF51" s="847"/>
      <c r="BG51" s="847"/>
      <c r="BH51" s="847"/>
      <c r="BI51" s="847"/>
      <c r="BJ51" s="847"/>
      <c r="BK51" s="847"/>
      <c r="BL51" s="847"/>
      <c r="BM51" s="847"/>
      <c r="BN51" s="847"/>
      <c r="BO51" s="847"/>
      <c r="BP51" s="847"/>
      <c r="BQ51" s="847"/>
      <c r="BR51" s="847"/>
      <c r="BS51" s="847"/>
      <c r="BT51" s="847"/>
      <c r="BU51" s="847"/>
      <c r="BV51" s="847"/>
      <c r="BW51" s="847"/>
      <c r="BX51" s="847"/>
      <c r="BY51" s="847"/>
      <c r="BZ51" s="847"/>
      <c r="CA51" s="847"/>
      <c r="CB51" s="847"/>
      <c r="CC51" s="847"/>
      <c r="CD51" s="847"/>
      <c r="CE51" s="847"/>
      <c r="CF51" s="847"/>
      <c r="CG51" s="847"/>
      <c r="CH51" s="847"/>
      <c r="CI51" s="847"/>
      <c r="CJ51" s="847"/>
      <c r="CK51" s="847"/>
      <c r="CL51" s="847"/>
      <c r="CM51" s="847"/>
      <c r="CN51" s="847"/>
      <c r="CO51" s="847"/>
      <c r="CP51" s="847"/>
      <c r="CQ51" s="847"/>
      <c r="CR51" s="847"/>
      <c r="CS51" s="847"/>
      <c r="CT51" s="847"/>
      <c r="CU51" s="847"/>
      <c r="CV51" s="847"/>
      <c r="CW51" s="847"/>
      <c r="CX51" s="847"/>
      <c r="CY51" s="847"/>
      <c r="CZ51" s="847"/>
      <c r="DA51" s="847"/>
      <c r="DB51" s="847"/>
      <c r="DC51" s="847"/>
      <c r="DD51" s="847"/>
      <c r="DE51" s="847"/>
      <c r="DF51" s="847"/>
      <c r="DG51" s="847"/>
      <c r="DH51" s="847"/>
      <c r="DI51" s="847"/>
      <c r="DJ51" s="847"/>
    </row>
    <row r="52" spans="1:114" s="27" customFormat="1" ht="18.75" hidden="1">
      <c r="A52" s="762"/>
      <c r="B52" s="775"/>
      <c r="C52" s="769"/>
      <c r="D52" s="741"/>
      <c r="E52" s="741">
        <v>10</v>
      </c>
      <c r="F52" s="707">
        <v>21</v>
      </c>
      <c r="G52" s="741"/>
      <c r="H52" s="707">
        <v>21</v>
      </c>
      <c r="I52" s="741"/>
      <c r="J52" s="707">
        <v>23</v>
      </c>
      <c r="K52" s="741"/>
      <c r="L52" s="741"/>
      <c r="M52" s="742"/>
      <c r="N52" s="696"/>
      <c r="O52" s="739"/>
      <c r="P52" s="739"/>
      <c r="Q52" s="741"/>
      <c r="R52" s="739"/>
      <c r="S52" s="739"/>
      <c r="T52" s="739">
        <v>10</v>
      </c>
      <c r="U52" s="743"/>
      <c r="V52" s="739"/>
      <c r="W52" s="740"/>
      <c r="X52" s="739"/>
      <c r="Y52" s="741"/>
      <c r="Z52" s="741"/>
      <c r="AA52" s="741"/>
      <c r="AB52" s="741"/>
      <c r="AC52" s="744"/>
      <c r="AD52" s="739"/>
      <c r="AE52" s="739"/>
      <c r="AF52" s="740"/>
      <c r="AG52" s="739"/>
      <c r="AH52" s="739"/>
      <c r="AI52" s="742"/>
      <c r="AJ52" s="789"/>
      <c r="AK52" s="847"/>
      <c r="AL52" s="847"/>
      <c r="AM52" s="847"/>
      <c r="AN52" s="847"/>
      <c r="AO52" s="847"/>
      <c r="AP52" s="847"/>
      <c r="AQ52" s="847"/>
      <c r="AR52" s="847"/>
      <c r="AS52" s="847"/>
      <c r="AT52" s="847"/>
      <c r="AU52" s="847"/>
      <c r="AV52" s="847"/>
      <c r="AW52" s="847"/>
      <c r="AX52" s="847"/>
      <c r="AY52" s="847"/>
      <c r="AZ52" s="847"/>
      <c r="BA52" s="847"/>
      <c r="BB52" s="847"/>
      <c r="BC52" s="847"/>
      <c r="BD52" s="847"/>
      <c r="BE52" s="847"/>
      <c r="BF52" s="847"/>
      <c r="BG52" s="847"/>
      <c r="BH52" s="847"/>
      <c r="BI52" s="847"/>
      <c r="BJ52" s="847"/>
      <c r="BK52" s="847"/>
      <c r="BL52" s="847"/>
      <c r="BM52" s="847"/>
      <c r="BN52" s="847"/>
      <c r="BO52" s="847"/>
      <c r="BP52" s="847"/>
      <c r="BQ52" s="847"/>
      <c r="BR52" s="847"/>
      <c r="BS52" s="847"/>
      <c r="BT52" s="847"/>
      <c r="BU52" s="847"/>
      <c r="BV52" s="847"/>
      <c r="BW52" s="847"/>
      <c r="BX52" s="847"/>
      <c r="BY52" s="847"/>
      <c r="BZ52" s="847"/>
      <c r="CA52" s="847"/>
      <c r="CB52" s="847"/>
      <c r="CC52" s="847"/>
      <c r="CD52" s="847"/>
      <c r="CE52" s="847"/>
      <c r="CF52" s="847"/>
      <c r="CG52" s="847"/>
      <c r="CH52" s="847"/>
      <c r="CI52" s="847"/>
      <c r="CJ52" s="847"/>
      <c r="CK52" s="847"/>
      <c r="CL52" s="847"/>
      <c r="CM52" s="847"/>
      <c r="CN52" s="847"/>
      <c r="CO52" s="847"/>
      <c r="CP52" s="847"/>
      <c r="CQ52" s="847"/>
      <c r="CR52" s="847"/>
      <c r="CS52" s="847"/>
      <c r="CT52" s="847"/>
      <c r="CU52" s="847"/>
      <c r="CV52" s="847"/>
      <c r="CW52" s="847"/>
      <c r="CX52" s="847"/>
      <c r="CY52" s="847"/>
      <c r="CZ52" s="847"/>
      <c r="DA52" s="847"/>
      <c r="DB52" s="847"/>
      <c r="DC52" s="847"/>
      <c r="DD52" s="847"/>
      <c r="DE52" s="847"/>
      <c r="DF52" s="847"/>
      <c r="DG52" s="847"/>
      <c r="DH52" s="847"/>
      <c r="DI52" s="847"/>
      <c r="DJ52" s="847"/>
    </row>
    <row r="53" spans="1:114" s="3" customFormat="1" ht="18.75" hidden="1">
      <c r="A53" s="761">
        <v>23</v>
      </c>
      <c r="B53" s="772" t="s">
        <v>66</v>
      </c>
      <c r="C53" s="766">
        <v>1</v>
      </c>
      <c r="D53" s="725"/>
      <c r="E53" s="745"/>
      <c r="F53" s="697" t="e">
        <f>E53/AI53*100</f>
        <v>#DIV/0!</v>
      </c>
      <c r="G53" s="745"/>
      <c r="H53" s="699" t="e">
        <f>G53/AI53*100</f>
        <v>#DIV/0!</v>
      </c>
      <c r="I53" s="745"/>
      <c r="J53" s="699" t="e">
        <f>I53/AI53*100</f>
        <v>#DIV/0!</v>
      </c>
      <c r="K53" s="725"/>
      <c r="L53" s="745"/>
      <c r="M53" s="721"/>
      <c r="N53" s="722"/>
      <c r="O53" s="723"/>
      <c r="P53" s="723"/>
      <c r="Q53" s="714">
        <v>0</v>
      </c>
      <c r="R53" s="711"/>
      <c r="S53" s="711"/>
      <c r="T53" s="711">
        <v>100</v>
      </c>
      <c r="U53" s="715"/>
      <c r="V53" s="711"/>
      <c r="W53" s="712"/>
      <c r="X53" s="712"/>
      <c r="Y53" s="716"/>
      <c r="Z53" s="716"/>
      <c r="AA53" s="716"/>
      <c r="AB53" s="716"/>
      <c r="AC53" s="717"/>
      <c r="AD53" s="712"/>
      <c r="AE53" s="712"/>
      <c r="AF53" s="712"/>
      <c r="AG53" s="712"/>
      <c r="AH53" s="712"/>
      <c r="AI53" s="713"/>
      <c r="AJ53" s="789">
        <f>SUM(C54:AH54)</f>
        <v>78</v>
      </c>
      <c r="AK53" s="847"/>
      <c r="AL53" s="847"/>
      <c r="AM53" s="847"/>
      <c r="AN53" s="847"/>
      <c r="AO53" s="847"/>
      <c r="AP53" s="847"/>
      <c r="AQ53" s="847"/>
      <c r="AR53" s="847"/>
      <c r="AS53" s="847"/>
      <c r="AT53" s="847"/>
      <c r="AU53" s="847"/>
      <c r="AV53" s="847"/>
      <c r="AW53" s="847"/>
      <c r="AX53" s="847"/>
      <c r="AY53" s="847"/>
      <c r="AZ53" s="847"/>
      <c r="BA53" s="847"/>
      <c r="BB53" s="847"/>
      <c r="BC53" s="847"/>
      <c r="BD53" s="847"/>
      <c r="BE53" s="847"/>
      <c r="BF53" s="847"/>
      <c r="BG53" s="847"/>
      <c r="BH53" s="847"/>
      <c r="BI53" s="847"/>
      <c r="BJ53" s="847"/>
      <c r="BK53" s="847"/>
      <c r="BL53" s="847"/>
      <c r="BM53" s="847"/>
      <c r="BN53" s="847"/>
      <c r="BO53" s="847"/>
      <c r="BP53" s="847"/>
      <c r="BQ53" s="847"/>
      <c r="BR53" s="847"/>
      <c r="BS53" s="847"/>
      <c r="BT53" s="847"/>
      <c r="BU53" s="847"/>
      <c r="BV53" s="847"/>
      <c r="BW53" s="847"/>
      <c r="BX53" s="847"/>
      <c r="BY53" s="847"/>
      <c r="BZ53" s="847"/>
      <c r="CA53" s="847"/>
      <c r="CB53" s="847"/>
      <c r="CC53" s="847"/>
      <c r="CD53" s="847"/>
      <c r="CE53" s="847"/>
      <c r="CF53" s="847"/>
      <c r="CG53" s="847"/>
      <c r="CH53" s="847"/>
      <c r="CI53" s="847"/>
      <c r="CJ53" s="847"/>
      <c r="CK53" s="847"/>
      <c r="CL53" s="847"/>
      <c r="CM53" s="847"/>
      <c r="CN53" s="847"/>
      <c r="CO53" s="847"/>
      <c r="CP53" s="847"/>
      <c r="CQ53" s="847"/>
      <c r="CR53" s="847"/>
      <c r="CS53" s="847"/>
      <c r="CT53" s="847"/>
      <c r="CU53" s="847"/>
      <c r="CV53" s="847"/>
      <c r="CW53" s="847"/>
      <c r="CX53" s="847"/>
      <c r="CY53" s="847"/>
      <c r="CZ53" s="847"/>
      <c r="DA53" s="847"/>
      <c r="DB53" s="847"/>
      <c r="DC53" s="847"/>
      <c r="DD53" s="847"/>
      <c r="DE53" s="847"/>
      <c r="DF53" s="847"/>
      <c r="DG53" s="847"/>
      <c r="DH53" s="847"/>
      <c r="DI53" s="847"/>
      <c r="DJ53" s="847"/>
    </row>
    <row r="54" spans="1:114" s="31" customFormat="1" ht="18.75" hidden="1">
      <c r="A54" s="762"/>
      <c r="B54" s="775"/>
      <c r="C54" s="769"/>
      <c r="D54" s="746"/>
      <c r="E54" s="747"/>
      <c r="F54" s="707">
        <v>22</v>
      </c>
      <c r="G54" s="747"/>
      <c r="H54" s="707">
        <v>22</v>
      </c>
      <c r="I54" s="747"/>
      <c r="J54" s="707">
        <v>24</v>
      </c>
      <c r="K54" s="746"/>
      <c r="L54" s="747"/>
      <c r="M54" s="748"/>
      <c r="N54" s="722"/>
      <c r="O54" s="749"/>
      <c r="P54" s="749"/>
      <c r="Q54" s="741"/>
      <c r="R54" s="739"/>
      <c r="S54" s="739"/>
      <c r="T54" s="739">
        <v>10</v>
      </c>
      <c r="U54" s="743"/>
      <c r="V54" s="739"/>
      <c r="W54" s="740"/>
      <c r="X54" s="740"/>
      <c r="Y54" s="741"/>
      <c r="Z54" s="741"/>
      <c r="AA54" s="741"/>
      <c r="AB54" s="741"/>
      <c r="AC54" s="744"/>
      <c r="AD54" s="740"/>
      <c r="AE54" s="740"/>
      <c r="AF54" s="740"/>
      <c r="AG54" s="740"/>
      <c r="AH54" s="740"/>
      <c r="AI54" s="742"/>
      <c r="AJ54" s="789"/>
      <c r="AK54" s="847"/>
      <c r="AL54" s="847"/>
      <c r="AM54" s="847"/>
      <c r="AN54" s="847"/>
      <c r="AO54" s="847"/>
      <c r="AP54" s="847"/>
      <c r="AQ54" s="847"/>
      <c r="AR54" s="847"/>
      <c r="AS54" s="847"/>
      <c r="AT54" s="847"/>
      <c r="AU54" s="847"/>
      <c r="AV54" s="847"/>
      <c r="AW54" s="847"/>
      <c r="AX54" s="847"/>
      <c r="AY54" s="847"/>
      <c r="AZ54" s="847"/>
      <c r="BA54" s="847"/>
      <c r="BB54" s="847"/>
      <c r="BC54" s="847"/>
      <c r="BD54" s="847"/>
      <c r="BE54" s="847"/>
      <c r="BF54" s="847"/>
      <c r="BG54" s="847"/>
      <c r="BH54" s="847"/>
      <c r="BI54" s="847"/>
      <c r="BJ54" s="847"/>
      <c r="BK54" s="847"/>
      <c r="BL54" s="847"/>
      <c r="BM54" s="847"/>
      <c r="BN54" s="847"/>
      <c r="BO54" s="847"/>
      <c r="BP54" s="847"/>
      <c r="BQ54" s="847"/>
      <c r="BR54" s="847"/>
      <c r="BS54" s="847"/>
      <c r="BT54" s="847"/>
      <c r="BU54" s="847"/>
      <c r="BV54" s="847"/>
      <c r="BW54" s="847"/>
      <c r="BX54" s="847"/>
      <c r="BY54" s="847"/>
      <c r="BZ54" s="847"/>
      <c r="CA54" s="847"/>
      <c r="CB54" s="847"/>
      <c r="CC54" s="847"/>
      <c r="CD54" s="847"/>
      <c r="CE54" s="847"/>
      <c r="CF54" s="847"/>
      <c r="CG54" s="847"/>
      <c r="CH54" s="847"/>
      <c r="CI54" s="847"/>
      <c r="CJ54" s="847"/>
      <c r="CK54" s="847"/>
      <c r="CL54" s="847"/>
      <c r="CM54" s="847"/>
      <c r="CN54" s="847"/>
      <c r="CO54" s="847"/>
      <c r="CP54" s="847"/>
      <c r="CQ54" s="847"/>
      <c r="CR54" s="847"/>
      <c r="CS54" s="847"/>
      <c r="CT54" s="847"/>
      <c r="CU54" s="847"/>
      <c r="CV54" s="847"/>
      <c r="CW54" s="847"/>
      <c r="CX54" s="847"/>
      <c r="CY54" s="847"/>
      <c r="CZ54" s="847"/>
      <c r="DA54" s="847"/>
      <c r="DB54" s="847"/>
      <c r="DC54" s="847"/>
      <c r="DD54" s="847"/>
      <c r="DE54" s="847"/>
      <c r="DF54" s="847"/>
      <c r="DG54" s="847"/>
      <c r="DH54" s="847"/>
      <c r="DI54" s="847"/>
      <c r="DJ54" s="847"/>
    </row>
    <row r="55" spans="1:114" s="4" customFormat="1" ht="19.5" thickBot="1">
      <c r="A55" s="610">
        <v>1</v>
      </c>
      <c r="B55" s="791" t="s">
        <v>7</v>
      </c>
      <c r="C55" s="792">
        <v>384</v>
      </c>
      <c r="D55" s="117">
        <v>1086589</v>
      </c>
      <c r="E55" s="562">
        <v>34</v>
      </c>
      <c r="F55" s="619">
        <f>E55/AI55*100</f>
        <v>8.2904586574333722E-2</v>
      </c>
      <c r="G55" s="563">
        <v>166</v>
      </c>
      <c r="H55" s="620">
        <f>G55/AI55*100</f>
        <v>0.40476945209821757</v>
      </c>
      <c r="I55" s="563">
        <v>132</v>
      </c>
      <c r="J55" s="620">
        <f>I55/AI55*100</f>
        <v>0.32186486552388383</v>
      </c>
      <c r="K55" s="793"/>
      <c r="L55" s="563">
        <v>26</v>
      </c>
      <c r="M55" s="562">
        <v>0</v>
      </c>
      <c r="N55" s="562"/>
      <c r="O55" s="562" t="s">
        <v>296</v>
      </c>
      <c r="P55" s="562"/>
      <c r="Q55" s="563">
        <v>71</v>
      </c>
      <c r="R55" s="562" t="s">
        <v>81</v>
      </c>
      <c r="S55" s="562" t="s">
        <v>81</v>
      </c>
      <c r="T55" s="562">
        <v>36.24</v>
      </c>
      <c r="U55" s="564">
        <f>26*100/C55</f>
        <v>6.770833333333333</v>
      </c>
      <c r="V55" s="562">
        <v>5.73</v>
      </c>
      <c r="W55" s="562"/>
      <c r="X55" s="562"/>
      <c r="Y55" s="794">
        <v>5.6</v>
      </c>
      <c r="Z55" s="564">
        <v>6</v>
      </c>
      <c r="AA55" s="564">
        <v>11.3</v>
      </c>
      <c r="AB55" s="564">
        <v>7</v>
      </c>
      <c r="AC55" s="795"/>
      <c r="AD55" s="562"/>
      <c r="AE55" s="562"/>
      <c r="AF55" s="562"/>
      <c r="AG55" s="562"/>
      <c r="AH55" s="562"/>
      <c r="AI55" s="117">
        <v>41011</v>
      </c>
      <c r="AJ55" s="790">
        <f>SUM(C56:AH56)</f>
        <v>54</v>
      </c>
      <c r="AK55" s="847"/>
      <c r="AL55" s="847"/>
      <c r="AM55" s="847"/>
      <c r="AN55" s="847"/>
      <c r="AO55" s="847"/>
      <c r="AP55" s="847"/>
      <c r="AQ55" s="847"/>
      <c r="AR55" s="847"/>
      <c r="AS55" s="847"/>
      <c r="AT55" s="847"/>
      <c r="AU55" s="847"/>
      <c r="AV55" s="847"/>
      <c r="AW55" s="847"/>
      <c r="AX55" s="847"/>
      <c r="AY55" s="847"/>
      <c r="AZ55" s="847"/>
      <c r="BA55" s="847"/>
      <c r="BB55" s="847"/>
      <c r="BC55" s="847"/>
      <c r="BD55" s="847"/>
      <c r="BE55" s="847"/>
      <c r="BF55" s="847"/>
      <c r="BG55" s="847"/>
      <c r="BH55" s="847"/>
      <c r="BI55" s="847"/>
      <c r="BJ55" s="847"/>
      <c r="BK55" s="847"/>
      <c r="BL55" s="847"/>
      <c r="BM55" s="847"/>
      <c r="BN55" s="847"/>
      <c r="BO55" s="847"/>
      <c r="BP55" s="847"/>
      <c r="BQ55" s="847"/>
      <c r="BR55" s="847"/>
      <c r="BS55" s="847"/>
      <c r="BT55" s="847"/>
      <c r="BU55" s="847"/>
      <c r="BV55" s="847"/>
      <c r="BW55" s="847"/>
      <c r="BX55" s="847"/>
      <c r="BY55" s="847"/>
      <c r="BZ55" s="847"/>
      <c r="CA55" s="847"/>
      <c r="CB55" s="847"/>
      <c r="CC55" s="847"/>
      <c r="CD55" s="847"/>
      <c r="CE55" s="847"/>
      <c r="CF55" s="847"/>
      <c r="CG55" s="847"/>
      <c r="CH55" s="847"/>
      <c r="CI55" s="847"/>
      <c r="CJ55" s="847"/>
      <c r="CK55" s="847"/>
      <c r="CL55" s="847"/>
      <c r="CM55" s="847"/>
      <c r="CN55" s="847"/>
      <c r="CO55" s="847"/>
      <c r="CP55" s="847"/>
      <c r="CQ55" s="847"/>
      <c r="CR55" s="847"/>
      <c r="CS55" s="847"/>
      <c r="CT55" s="847"/>
      <c r="CU55" s="847"/>
      <c r="CV55" s="847"/>
      <c r="CW55" s="847"/>
      <c r="CX55" s="847"/>
      <c r="CY55" s="847"/>
      <c r="CZ55" s="847"/>
      <c r="DA55" s="847"/>
      <c r="DB55" s="847"/>
      <c r="DC55" s="847"/>
      <c r="DD55" s="847"/>
      <c r="DE55" s="847"/>
      <c r="DF55" s="847"/>
      <c r="DG55" s="847"/>
      <c r="DH55" s="847"/>
      <c r="DI55" s="847"/>
      <c r="DJ55" s="847"/>
    </row>
    <row r="56" spans="1:114" s="27" customFormat="1" ht="15" hidden="1" customHeight="1">
      <c r="A56" s="751"/>
      <c r="B56" s="752"/>
      <c r="C56" s="753"/>
      <c r="D56" s="751"/>
      <c r="E56" s="754"/>
      <c r="F56" s="754">
        <v>10</v>
      </c>
      <c r="G56" s="754"/>
      <c r="H56" s="754">
        <v>5</v>
      </c>
      <c r="I56" s="754"/>
      <c r="J56" s="754">
        <v>5</v>
      </c>
      <c r="K56" s="751"/>
      <c r="L56" s="754">
        <v>10</v>
      </c>
      <c r="M56" s="755">
        <v>10</v>
      </c>
      <c r="N56" s="755"/>
      <c r="O56" s="751">
        <v>10</v>
      </c>
      <c r="P56" s="751"/>
      <c r="Q56" s="754">
        <v>3</v>
      </c>
      <c r="R56" s="751">
        <v>0</v>
      </c>
      <c r="S56" s="751">
        <v>0</v>
      </c>
      <c r="T56" s="751">
        <v>1</v>
      </c>
      <c r="U56" s="756">
        <v>0</v>
      </c>
      <c r="V56" s="751">
        <v>0</v>
      </c>
      <c r="W56" s="751"/>
      <c r="X56" s="751"/>
      <c r="Y56" s="754">
        <v>0</v>
      </c>
      <c r="Z56" s="754">
        <v>0</v>
      </c>
      <c r="AA56" s="754">
        <v>0</v>
      </c>
      <c r="AB56" s="754">
        <v>0</v>
      </c>
      <c r="AC56" s="757"/>
      <c r="AD56" s="751"/>
      <c r="AE56" s="751"/>
      <c r="AF56" s="751"/>
      <c r="AG56" s="751"/>
      <c r="AH56" s="751"/>
      <c r="AI56" s="755"/>
      <c r="AJ56" s="758"/>
      <c r="AK56" s="847"/>
      <c r="AL56" s="847"/>
      <c r="AM56" s="847"/>
      <c r="AN56" s="847"/>
      <c r="AO56" s="847"/>
      <c r="AP56" s="847"/>
      <c r="AQ56" s="847"/>
      <c r="AR56" s="847"/>
      <c r="AS56" s="847"/>
      <c r="AT56" s="847"/>
      <c r="AU56" s="847"/>
      <c r="AV56" s="847"/>
      <c r="AW56" s="847"/>
      <c r="AX56" s="847"/>
      <c r="AY56" s="847"/>
      <c r="AZ56" s="847"/>
      <c r="BA56" s="847"/>
      <c r="BB56" s="847"/>
      <c r="BC56" s="847"/>
      <c r="BD56" s="847"/>
      <c r="BE56" s="847"/>
      <c r="BF56" s="847"/>
      <c r="BG56" s="847"/>
      <c r="BH56" s="847"/>
      <c r="BI56" s="847"/>
      <c r="BJ56" s="847"/>
      <c r="BK56" s="847"/>
      <c r="BL56" s="847"/>
      <c r="BM56" s="847"/>
      <c r="BN56" s="847"/>
      <c r="BO56" s="847"/>
      <c r="BP56" s="847"/>
      <c r="BQ56" s="847"/>
      <c r="BR56" s="847"/>
      <c r="BS56" s="847"/>
      <c r="BT56" s="847"/>
      <c r="BU56" s="847"/>
      <c r="BV56" s="847"/>
      <c r="BW56" s="847"/>
      <c r="BX56" s="847"/>
      <c r="BY56" s="847"/>
      <c r="BZ56" s="847"/>
      <c r="CA56" s="847"/>
      <c r="CB56" s="847"/>
      <c r="CC56" s="847"/>
      <c r="CD56" s="847"/>
      <c r="CE56" s="847"/>
      <c r="CF56" s="847"/>
      <c r="CG56" s="847"/>
      <c r="CH56" s="847"/>
      <c r="CI56" s="847"/>
      <c r="CJ56" s="847"/>
      <c r="CK56" s="847"/>
      <c r="CL56" s="847"/>
      <c r="CM56" s="847"/>
      <c r="CN56" s="847"/>
      <c r="CO56" s="847"/>
      <c r="CP56" s="847"/>
      <c r="CQ56" s="847"/>
      <c r="CR56" s="847"/>
      <c r="CS56" s="847"/>
      <c r="CT56" s="847"/>
      <c r="CU56" s="847"/>
      <c r="CV56" s="847"/>
      <c r="CW56" s="847"/>
      <c r="CX56" s="847"/>
      <c r="CY56" s="847"/>
      <c r="CZ56" s="847"/>
      <c r="DA56" s="847"/>
      <c r="DB56" s="847"/>
      <c r="DC56" s="847"/>
      <c r="DD56" s="847"/>
      <c r="DE56" s="847"/>
      <c r="DF56" s="847"/>
      <c r="DG56" s="847"/>
      <c r="DH56" s="847"/>
      <c r="DI56" s="847"/>
      <c r="DJ56" s="847"/>
    </row>
    <row r="57" spans="1:114" ht="18.75" hidden="1">
      <c r="A57" s="750">
        <v>25</v>
      </c>
      <c r="B57" s="685" t="s">
        <v>67</v>
      </c>
      <c r="C57" s="686">
        <v>2</v>
      </c>
      <c r="D57" s="687"/>
      <c r="E57" s="688">
        <v>0</v>
      </c>
      <c r="F57" s="533" t="e">
        <f t="shared" ref="F57" si="0">E57/AI57*100</f>
        <v>#DIV/0!</v>
      </c>
      <c r="G57" s="688"/>
      <c r="H57" s="523" t="e">
        <f t="shared" ref="H57" si="1">G57/AI57*100</f>
        <v>#DIV/0!</v>
      </c>
      <c r="I57" s="688"/>
      <c r="J57" s="523" t="e">
        <f t="shared" ref="J57" si="2">I57/AI57*100</f>
        <v>#DIV/0!</v>
      </c>
      <c r="K57" s="687"/>
      <c r="L57" s="688"/>
      <c r="M57" s="689"/>
      <c r="N57" s="92"/>
      <c r="O57" s="687"/>
      <c r="P57" s="687"/>
      <c r="Q57" s="688">
        <v>0</v>
      </c>
      <c r="R57" s="687"/>
      <c r="S57" s="687"/>
      <c r="T57" s="687">
        <v>100</v>
      </c>
      <c r="U57" s="690"/>
      <c r="V57" s="687"/>
      <c r="W57" s="687"/>
      <c r="X57" s="691"/>
      <c r="Y57" s="692"/>
      <c r="Z57" s="692"/>
      <c r="AA57" s="692"/>
      <c r="AB57" s="692"/>
      <c r="AC57" s="693"/>
      <c r="AD57" s="687"/>
      <c r="AE57" s="687"/>
      <c r="AF57" s="694"/>
      <c r="AG57" s="687"/>
      <c r="AH57" s="691"/>
      <c r="AI57" s="269"/>
      <c r="AJ57" s="105"/>
      <c r="AK57" s="847"/>
      <c r="AL57" s="847"/>
      <c r="AM57" s="847"/>
      <c r="AN57" s="847"/>
      <c r="AO57" s="847"/>
      <c r="AP57" s="847"/>
      <c r="AQ57" s="847"/>
      <c r="AR57" s="847"/>
      <c r="AS57" s="847"/>
      <c r="AT57" s="847"/>
      <c r="AU57" s="847"/>
      <c r="AV57" s="847"/>
      <c r="AW57" s="847"/>
      <c r="AX57" s="847"/>
      <c r="AY57" s="847"/>
      <c r="AZ57" s="847"/>
      <c r="BA57" s="847"/>
      <c r="BB57" s="847"/>
      <c r="BC57" s="847"/>
      <c r="BD57" s="847"/>
      <c r="BE57" s="847"/>
      <c r="BF57" s="847"/>
      <c r="BG57" s="847"/>
      <c r="BH57" s="847"/>
      <c r="BI57" s="847"/>
      <c r="BJ57" s="847"/>
      <c r="BK57" s="847"/>
      <c r="BL57" s="847"/>
      <c r="BM57" s="847"/>
      <c r="BN57" s="847"/>
      <c r="BO57" s="847"/>
      <c r="BP57" s="847"/>
      <c r="BQ57" s="847"/>
      <c r="BR57" s="847"/>
      <c r="BS57" s="847"/>
      <c r="BT57" s="847"/>
      <c r="BU57" s="847"/>
      <c r="BV57" s="847"/>
      <c r="BW57" s="847"/>
      <c r="BX57" s="847"/>
      <c r="BY57" s="847"/>
      <c r="BZ57" s="847"/>
      <c r="CA57" s="847"/>
      <c r="CB57" s="847"/>
      <c r="CC57" s="847"/>
      <c r="CD57" s="847"/>
      <c r="CE57" s="847"/>
      <c r="CF57" s="847"/>
      <c r="CG57" s="847"/>
      <c r="CH57" s="847"/>
      <c r="CI57" s="847"/>
      <c r="CJ57" s="847"/>
      <c r="CK57" s="847"/>
      <c r="CL57" s="847"/>
      <c r="CM57" s="847"/>
      <c r="CN57" s="847"/>
      <c r="CO57" s="847"/>
      <c r="CP57" s="847"/>
      <c r="CQ57" s="847"/>
      <c r="CR57" s="847"/>
      <c r="CS57" s="847"/>
      <c r="CT57" s="847"/>
      <c r="CU57" s="847"/>
      <c r="CV57" s="847"/>
      <c r="CW57" s="847"/>
      <c r="CX57" s="847"/>
      <c r="CY57" s="847"/>
      <c r="CZ57" s="847"/>
      <c r="DA57" s="847"/>
      <c r="DB57" s="847"/>
      <c r="DC57" s="847"/>
      <c r="DD57" s="847"/>
      <c r="DE57" s="847"/>
      <c r="DF57" s="847"/>
      <c r="DG57" s="847"/>
      <c r="DH57" s="847"/>
      <c r="DI57" s="847"/>
      <c r="DJ57" s="847"/>
    </row>
    <row r="58" spans="1:114" s="27" customFormat="1" ht="15.75" hidden="1" customHeight="1" thickBot="1">
      <c r="A58" s="24"/>
      <c r="B58" s="25"/>
      <c r="C58" s="50"/>
      <c r="D58" s="36"/>
      <c r="E58" s="57">
        <v>10</v>
      </c>
      <c r="F58" s="207">
        <v>24</v>
      </c>
      <c r="G58" s="57"/>
      <c r="H58" s="207">
        <v>24</v>
      </c>
      <c r="I58" s="57"/>
      <c r="J58" s="207">
        <v>26</v>
      </c>
      <c r="K58" s="36"/>
      <c r="L58" s="57"/>
      <c r="M58" s="46"/>
      <c r="N58" s="117"/>
      <c r="O58" s="36"/>
      <c r="P58" s="36"/>
      <c r="Q58" s="57"/>
      <c r="R58" s="36"/>
      <c r="S58" s="36"/>
      <c r="T58" s="36">
        <v>10</v>
      </c>
      <c r="U58" s="253"/>
      <c r="V58" s="36"/>
      <c r="W58" s="36"/>
      <c r="X58" s="47"/>
      <c r="Y58" s="57"/>
      <c r="Z58" s="57"/>
      <c r="AA58" s="57"/>
      <c r="AB58" s="57"/>
      <c r="AC58" s="60"/>
      <c r="AD58" s="36"/>
      <c r="AE58" s="36"/>
      <c r="AF58" s="26"/>
      <c r="AG58" s="36"/>
      <c r="AH58" s="47"/>
      <c r="AI58" s="275"/>
      <c r="AJ58" s="101">
        <f>SUM(C58:AH58)</f>
        <v>94</v>
      </c>
      <c r="AK58" s="847"/>
      <c r="AL58" s="847"/>
      <c r="AM58" s="847"/>
      <c r="AN58" s="847"/>
      <c r="AO58" s="847"/>
      <c r="AP58" s="847"/>
      <c r="AQ58" s="847"/>
      <c r="AR58" s="847"/>
      <c r="AS58" s="847"/>
      <c r="AT58" s="847"/>
      <c r="AU58" s="847"/>
      <c r="AV58" s="847"/>
      <c r="AW58" s="847"/>
      <c r="AX58" s="847"/>
      <c r="AY58" s="847"/>
      <c r="AZ58" s="847"/>
      <c r="BA58" s="847"/>
      <c r="BB58" s="847"/>
      <c r="BC58" s="847"/>
      <c r="BD58" s="847"/>
      <c r="BE58" s="847"/>
      <c r="BF58" s="847"/>
      <c r="BG58" s="847"/>
      <c r="BH58" s="847"/>
      <c r="BI58" s="847"/>
      <c r="BJ58" s="847"/>
      <c r="BK58" s="847"/>
      <c r="BL58" s="847"/>
      <c r="BM58" s="847"/>
      <c r="BN58" s="847"/>
      <c r="BO58" s="847"/>
      <c r="BP58" s="847"/>
      <c r="BQ58" s="847"/>
      <c r="BR58" s="847"/>
      <c r="BS58" s="847"/>
      <c r="BT58" s="847"/>
      <c r="BU58" s="847"/>
      <c r="BV58" s="847"/>
      <c r="BW58" s="847"/>
      <c r="BX58" s="847"/>
      <c r="BY58" s="847"/>
      <c r="BZ58" s="847"/>
      <c r="CA58" s="847"/>
      <c r="CB58" s="847"/>
      <c r="CC58" s="847"/>
      <c r="CD58" s="847"/>
      <c r="CE58" s="847"/>
      <c r="CF58" s="847"/>
      <c r="CG58" s="847"/>
      <c r="CH58" s="847"/>
      <c r="CI58" s="847"/>
      <c r="CJ58" s="847"/>
      <c r="CK58" s="847"/>
      <c r="CL58" s="847"/>
      <c r="CM58" s="847"/>
      <c r="CN58" s="847"/>
      <c r="CO58" s="847"/>
      <c r="CP58" s="847"/>
      <c r="CQ58" s="847"/>
      <c r="CR58" s="847"/>
      <c r="CS58" s="847"/>
      <c r="CT58" s="847"/>
      <c r="CU58" s="847"/>
      <c r="CV58" s="847"/>
      <c r="CW58" s="847"/>
      <c r="CX58" s="847"/>
      <c r="CY58" s="847"/>
      <c r="CZ58" s="847"/>
      <c r="DA58" s="847"/>
      <c r="DB58" s="847"/>
      <c r="DC58" s="847"/>
      <c r="DD58" s="847"/>
      <c r="DE58" s="847"/>
      <c r="DF58" s="847"/>
      <c r="DG58" s="847"/>
      <c r="DH58" s="847"/>
      <c r="DI58" s="847"/>
      <c r="DJ58" s="847"/>
    </row>
    <row r="59" spans="1:114" ht="18.75" hidden="1">
      <c r="A59" s="19">
        <v>26</v>
      </c>
      <c r="B59" s="20" t="s">
        <v>16</v>
      </c>
      <c r="C59" s="48">
        <v>188</v>
      </c>
      <c r="D59" s="34"/>
      <c r="E59" s="56">
        <v>2</v>
      </c>
      <c r="F59" s="533" t="e">
        <f t="shared" ref="F59" si="3">E59/AI59*100</f>
        <v>#DIV/0!</v>
      </c>
      <c r="G59" s="56">
        <v>10</v>
      </c>
      <c r="H59" s="523" t="e">
        <f t="shared" ref="H59" si="4">G59/AI59*100</f>
        <v>#DIV/0!</v>
      </c>
      <c r="I59" s="56">
        <v>4</v>
      </c>
      <c r="J59" s="523" t="e">
        <f t="shared" ref="J59" si="5">I59/AI59*100</f>
        <v>#DIV/0!</v>
      </c>
      <c r="K59" s="244"/>
      <c r="L59" s="56">
        <v>0</v>
      </c>
      <c r="M59" s="44">
        <v>0</v>
      </c>
      <c r="N59" s="116"/>
      <c r="O59" s="34">
        <v>0</v>
      </c>
      <c r="P59" s="34"/>
      <c r="Q59" s="56">
        <v>0</v>
      </c>
      <c r="R59" s="40" t="s">
        <v>81</v>
      </c>
      <c r="S59" s="40" t="s">
        <v>81</v>
      </c>
      <c r="T59" s="40">
        <v>0</v>
      </c>
      <c r="U59" s="250">
        <v>0</v>
      </c>
      <c r="V59" s="40">
        <v>0</v>
      </c>
      <c r="W59" s="34"/>
      <c r="X59" s="45"/>
      <c r="Y59" s="69"/>
      <c r="Z59" s="69"/>
      <c r="AA59" s="69"/>
      <c r="AB59" s="69"/>
      <c r="AC59" s="59"/>
      <c r="AD59" s="34"/>
      <c r="AE59" s="34"/>
      <c r="AF59" s="21"/>
      <c r="AG59" s="34"/>
      <c r="AH59" s="45"/>
      <c r="AI59" s="267"/>
      <c r="AJ59" s="102"/>
      <c r="AK59" s="847"/>
      <c r="AL59" s="847"/>
      <c r="AM59" s="847"/>
      <c r="AN59" s="847"/>
      <c r="AO59" s="847"/>
      <c r="AP59" s="847"/>
      <c r="AQ59" s="847"/>
      <c r="AR59" s="847"/>
      <c r="AS59" s="847"/>
      <c r="AT59" s="847"/>
      <c r="AU59" s="847"/>
      <c r="AV59" s="847"/>
      <c r="AW59" s="847"/>
      <c r="AX59" s="847"/>
      <c r="AY59" s="847"/>
      <c r="AZ59" s="847"/>
      <c r="BA59" s="847"/>
      <c r="BB59" s="847"/>
      <c r="BC59" s="847"/>
      <c r="BD59" s="847"/>
      <c r="BE59" s="847"/>
      <c r="BF59" s="847"/>
      <c r="BG59" s="847"/>
      <c r="BH59" s="847"/>
      <c r="BI59" s="847"/>
      <c r="BJ59" s="847"/>
      <c r="BK59" s="847"/>
      <c r="BL59" s="847"/>
      <c r="BM59" s="847"/>
      <c r="BN59" s="847"/>
      <c r="BO59" s="847"/>
      <c r="BP59" s="847"/>
      <c r="BQ59" s="847"/>
      <c r="BR59" s="847"/>
      <c r="BS59" s="847"/>
      <c r="BT59" s="847"/>
      <c r="BU59" s="847"/>
      <c r="BV59" s="847"/>
      <c r="BW59" s="847"/>
      <c r="BX59" s="847"/>
      <c r="BY59" s="847"/>
      <c r="BZ59" s="847"/>
      <c r="CA59" s="847"/>
      <c r="CB59" s="847"/>
      <c r="CC59" s="847"/>
      <c r="CD59" s="847"/>
      <c r="CE59" s="847"/>
      <c r="CF59" s="847"/>
      <c r="CG59" s="847"/>
      <c r="CH59" s="847"/>
      <c r="CI59" s="847"/>
      <c r="CJ59" s="847"/>
      <c r="CK59" s="847"/>
      <c r="CL59" s="847"/>
      <c r="CM59" s="847"/>
      <c r="CN59" s="847"/>
      <c r="CO59" s="847"/>
      <c r="CP59" s="847"/>
      <c r="CQ59" s="847"/>
      <c r="CR59" s="847"/>
      <c r="CS59" s="847"/>
      <c r="CT59" s="847"/>
      <c r="CU59" s="847"/>
      <c r="CV59" s="847"/>
      <c r="CW59" s="847"/>
      <c r="CX59" s="847"/>
      <c r="CY59" s="847"/>
      <c r="CZ59" s="847"/>
      <c r="DA59" s="847"/>
      <c r="DB59" s="847"/>
      <c r="DC59" s="847"/>
      <c r="DD59" s="847"/>
      <c r="DE59" s="847"/>
      <c r="DF59" s="847"/>
      <c r="DG59" s="847"/>
      <c r="DH59" s="847"/>
      <c r="DI59" s="847"/>
      <c r="DJ59" s="847"/>
    </row>
    <row r="60" spans="1:114" s="27" customFormat="1" ht="19.5" hidden="1" thickBot="1">
      <c r="A60" s="203"/>
      <c r="B60" s="204"/>
      <c r="C60" s="214"/>
      <c r="D60" s="205"/>
      <c r="E60" s="207"/>
      <c r="F60" s="207">
        <v>25</v>
      </c>
      <c r="G60" s="207"/>
      <c r="H60" s="207">
        <v>25</v>
      </c>
      <c r="I60" s="207"/>
      <c r="J60" s="207">
        <v>27</v>
      </c>
      <c r="K60" s="215"/>
      <c r="L60" s="207">
        <v>10</v>
      </c>
      <c r="M60" s="206">
        <v>10</v>
      </c>
      <c r="N60" s="206"/>
      <c r="O60" s="205">
        <v>10</v>
      </c>
      <c r="P60" s="205"/>
      <c r="Q60" s="207">
        <v>0</v>
      </c>
      <c r="R60" s="215">
        <v>0</v>
      </c>
      <c r="S60" s="215">
        <v>0</v>
      </c>
      <c r="T60" s="215">
        <v>0</v>
      </c>
      <c r="U60" s="249">
        <v>0</v>
      </c>
      <c r="V60" s="215">
        <v>0</v>
      </c>
      <c r="W60" s="205"/>
      <c r="X60" s="208"/>
      <c r="Y60" s="207"/>
      <c r="Z60" s="207"/>
      <c r="AA60" s="207"/>
      <c r="AB60" s="207"/>
      <c r="AC60" s="210"/>
      <c r="AD60" s="205"/>
      <c r="AE60" s="205"/>
      <c r="AF60" s="211"/>
      <c r="AG60" s="205"/>
      <c r="AH60" s="208"/>
      <c r="AI60" s="268"/>
      <c r="AJ60" s="213">
        <f>SUM(C60:AH60)</f>
        <v>107</v>
      </c>
      <c r="AK60" s="847"/>
      <c r="AL60" s="847"/>
      <c r="AM60" s="847"/>
      <c r="AN60" s="847"/>
      <c r="AO60" s="847"/>
      <c r="AP60" s="847"/>
      <c r="AQ60" s="847"/>
      <c r="AR60" s="847"/>
      <c r="AS60" s="847"/>
      <c r="AT60" s="847"/>
      <c r="AU60" s="847"/>
      <c r="AV60" s="847"/>
      <c r="AW60" s="847"/>
      <c r="AX60" s="847"/>
      <c r="AY60" s="847"/>
      <c r="AZ60" s="847"/>
      <c r="BA60" s="847"/>
      <c r="BB60" s="847"/>
      <c r="BC60" s="847"/>
      <c r="BD60" s="847"/>
      <c r="BE60" s="847"/>
      <c r="BF60" s="847"/>
      <c r="BG60" s="847"/>
      <c r="BH60" s="847"/>
      <c r="BI60" s="847"/>
      <c r="BJ60" s="847"/>
      <c r="BK60" s="847"/>
      <c r="BL60" s="847"/>
      <c r="BM60" s="847"/>
      <c r="BN60" s="847"/>
      <c r="BO60" s="847"/>
      <c r="BP60" s="847"/>
      <c r="BQ60" s="847"/>
      <c r="BR60" s="847"/>
      <c r="BS60" s="847"/>
      <c r="BT60" s="847"/>
      <c r="BU60" s="847"/>
      <c r="BV60" s="847"/>
      <c r="BW60" s="847"/>
      <c r="BX60" s="847"/>
      <c r="BY60" s="847"/>
      <c r="BZ60" s="847"/>
      <c r="CA60" s="847"/>
      <c r="CB60" s="847"/>
      <c r="CC60" s="847"/>
      <c r="CD60" s="847"/>
      <c r="CE60" s="847"/>
      <c r="CF60" s="847"/>
      <c r="CG60" s="847"/>
      <c r="CH60" s="847"/>
      <c r="CI60" s="847"/>
      <c r="CJ60" s="847"/>
      <c r="CK60" s="847"/>
      <c r="CL60" s="847"/>
      <c r="CM60" s="847"/>
      <c r="CN60" s="847"/>
      <c r="CO60" s="847"/>
      <c r="CP60" s="847"/>
      <c r="CQ60" s="847"/>
      <c r="CR60" s="847"/>
      <c r="CS60" s="847"/>
      <c r="CT60" s="847"/>
      <c r="CU60" s="847"/>
      <c r="CV60" s="847"/>
      <c r="CW60" s="847"/>
      <c r="CX60" s="847"/>
      <c r="CY60" s="847"/>
      <c r="CZ60" s="847"/>
      <c r="DA60" s="847"/>
      <c r="DB60" s="847"/>
      <c r="DC60" s="847"/>
      <c r="DD60" s="847"/>
      <c r="DE60" s="847"/>
      <c r="DF60" s="847"/>
      <c r="DG60" s="847"/>
      <c r="DH60" s="847"/>
      <c r="DI60" s="847"/>
      <c r="DJ60" s="847"/>
    </row>
    <row r="61" spans="1:114" s="3" customFormat="1" ht="18.75" hidden="1">
      <c r="A61" s="19">
        <v>27</v>
      </c>
      <c r="B61" s="20" t="s">
        <v>68</v>
      </c>
      <c r="C61" s="48">
        <v>1</v>
      </c>
      <c r="D61" s="37"/>
      <c r="E61" s="58"/>
      <c r="F61" s="536"/>
      <c r="G61" s="58"/>
      <c r="H61" s="525"/>
      <c r="I61" s="58"/>
      <c r="J61" s="525"/>
      <c r="K61" s="37"/>
      <c r="L61" s="58"/>
      <c r="M61" s="110"/>
      <c r="N61" s="110"/>
      <c r="O61" s="37"/>
      <c r="P61" s="37"/>
      <c r="Q61" s="56">
        <v>0</v>
      </c>
      <c r="R61" s="40"/>
      <c r="S61" s="40"/>
      <c r="T61" s="40">
        <v>0</v>
      </c>
      <c r="U61" s="40"/>
      <c r="V61" s="40"/>
      <c r="W61" s="34"/>
      <c r="X61" s="49"/>
      <c r="Y61" s="69"/>
      <c r="Z61" s="69"/>
      <c r="AA61" s="69"/>
      <c r="AB61" s="69"/>
      <c r="AC61" s="59"/>
      <c r="AD61" s="40"/>
      <c r="AE61" s="40"/>
      <c r="AF61" s="21"/>
      <c r="AG61" s="40"/>
      <c r="AH61" s="49"/>
      <c r="AI61" s="262"/>
      <c r="AJ61" s="104"/>
      <c r="AK61" s="847"/>
      <c r="AL61" s="847"/>
      <c r="AM61" s="847"/>
      <c r="AN61" s="847"/>
      <c r="AO61" s="847"/>
      <c r="AP61" s="847"/>
      <c r="AQ61" s="847"/>
      <c r="AR61" s="847"/>
      <c r="AS61" s="847"/>
      <c r="AT61" s="847"/>
      <c r="AU61" s="847"/>
      <c r="AV61" s="847"/>
      <c r="AW61" s="847"/>
      <c r="AX61" s="847"/>
      <c r="AY61" s="847"/>
      <c r="AZ61" s="847"/>
      <c r="BA61" s="847"/>
      <c r="BB61" s="847"/>
      <c r="BC61" s="847"/>
      <c r="BD61" s="847"/>
      <c r="BE61" s="847"/>
      <c r="BF61" s="847"/>
      <c r="BG61" s="847"/>
      <c r="BH61" s="847"/>
      <c r="BI61" s="847"/>
      <c r="BJ61" s="847"/>
      <c r="BK61" s="847"/>
      <c r="BL61" s="847"/>
      <c r="BM61" s="847"/>
      <c r="BN61" s="847"/>
      <c r="BO61" s="847"/>
      <c r="BP61" s="847"/>
      <c r="BQ61" s="847"/>
      <c r="BR61" s="847"/>
      <c r="BS61" s="847"/>
      <c r="BT61" s="847"/>
      <c r="BU61" s="847"/>
      <c r="BV61" s="847"/>
      <c r="BW61" s="847"/>
      <c r="BX61" s="847"/>
      <c r="BY61" s="847"/>
      <c r="BZ61" s="847"/>
      <c r="CA61" s="847"/>
      <c r="CB61" s="847"/>
      <c r="CC61" s="847"/>
      <c r="CD61" s="847"/>
      <c r="CE61" s="847"/>
      <c r="CF61" s="847"/>
      <c r="CG61" s="847"/>
      <c r="CH61" s="847"/>
      <c r="CI61" s="847"/>
      <c r="CJ61" s="847"/>
      <c r="CK61" s="847"/>
      <c r="CL61" s="847"/>
      <c r="CM61" s="847"/>
      <c r="CN61" s="847"/>
      <c r="CO61" s="847"/>
      <c r="CP61" s="847"/>
      <c r="CQ61" s="847"/>
      <c r="CR61" s="847"/>
      <c r="CS61" s="847"/>
      <c r="CT61" s="847"/>
      <c r="CU61" s="847"/>
      <c r="CV61" s="847"/>
      <c r="CW61" s="847"/>
      <c r="CX61" s="847"/>
      <c r="CY61" s="847"/>
      <c r="CZ61" s="847"/>
      <c r="DA61" s="847"/>
      <c r="DB61" s="847"/>
      <c r="DC61" s="847"/>
      <c r="DD61" s="847"/>
      <c r="DE61" s="847"/>
      <c r="DF61" s="847"/>
      <c r="DG61" s="847"/>
      <c r="DH61" s="847"/>
      <c r="DI61" s="847"/>
      <c r="DJ61" s="847"/>
    </row>
    <row r="62" spans="1:114" s="31" customFormat="1" ht="17.25" hidden="1" customHeight="1" thickBot="1">
      <c r="A62" s="24"/>
      <c r="B62" s="25"/>
      <c r="C62" s="50"/>
      <c r="D62" s="38"/>
      <c r="E62" s="65"/>
      <c r="F62" s="537"/>
      <c r="G62" s="65"/>
      <c r="H62" s="526"/>
      <c r="I62" s="65"/>
      <c r="J62" s="526"/>
      <c r="K62" s="38"/>
      <c r="L62" s="65"/>
      <c r="M62" s="114"/>
      <c r="N62" s="114"/>
      <c r="O62" s="38"/>
      <c r="P62" s="38"/>
      <c r="Q62" s="57"/>
      <c r="R62" s="41"/>
      <c r="S62" s="41"/>
      <c r="T62" s="41"/>
      <c r="U62" s="41"/>
      <c r="V62" s="41"/>
      <c r="W62" s="36"/>
      <c r="X62" s="51"/>
      <c r="Y62" s="57"/>
      <c r="Z62" s="57"/>
      <c r="AA62" s="57"/>
      <c r="AB62" s="57"/>
      <c r="AC62" s="60"/>
      <c r="AD62" s="41"/>
      <c r="AE62" s="41"/>
      <c r="AF62" s="26"/>
      <c r="AG62" s="41"/>
      <c r="AH62" s="51"/>
      <c r="AI62" s="264"/>
      <c r="AJ62" s="101">
        <f>SUM(C62:AH62)</f>
        <v>0</v>
      </c>
      <c r="AK62" s="847"/>
      <c r="AL62" s="847"/>
      <c r="AM62" s="847"/>
      <c r="AN62" s="847"/>
      <c r="AO62" s="847"/>
      <c r="AP62" s="847"/>
      <c r="AQ62" s="847"/>
      <c r="AR62" s="847"/>
      <c r="AS62" s="847"/>
      <c r="AT62" s="847"/>
      <c r="AU62" s="847"/>
      <c r="AV62" s="847"/>
      <c r="AW62" s="847"/>
      <c r="AX62" s="847"/>
      <c r="AY62" s="847"/>
      <c r="AZ62" s="847"/>
      <c r="BA62" s="847"/>
      <c r="BB62" s="847"/>
      <c r="BC62" s="847"/>
      <c r="BD62" s="847"/>
      <c r="BE62" s="847"/>
      <c r="BF62" s="847"/>
      <c r="BG62" s="847"/>
      <c r="BH62" s="847"/>
      <c r="BI62" s="847"/>
      <c r="BJ62" s="847"/>
      <c r="BK62" s="847"/>
      <c r="BL62" s="847"/>
      <c r="BM62" s="847"/>
      <c r="BN62" s="847"/>
      <c r="BO62" s="847"/>
      <c r="BP62" s="847"/>
      <c r="BQ62" s="847"/>
      <c r="BR62" s="847"/>
      <c r="BS62" s="847"/>
      <c r="BT62" s="847"/>
      <c r="BU62" s="847"/>
      <c r="BV62" s="847"/>
      <c r="BW62" s="847"/>
      <c r="BX62" s="847"/>
      <c r="BY62" s="847"/>
      <c r="BZ62" s="847"/>
      <c r="CA62" s="847"/>
      <c r="CB62" s="847"/>
      <c r="CC62" s="847"/>
      <c r="CD62" s="847"/>
      <c r="CE62" s="847"/>
      <c r="CF62" s="847"/>
      <c r="CG62" s="847"/>
      <c r="CH62" s="847"/>
      <c r="CI62" s="847"/>
      <c r="CJ62" s="847"/>
      <c r="CK62" s="847"/>
      <c r="CL62" s="847"/>
      <c r="CM62" s="847"/>
      <c r="CN62" s="847"/>
      <c r="CO62" s="847"/>
      <c r="CP62" s="847"/>
      <c r="CQ62" s="847"/>
      <c r="CR62" s="847"/>
      <c r="CS62" s="847"/>
      <c r="CT62" s="847"/>
      <c r="CU62" s="847"/>
      <c r="CV62" s="847"/>
      <c r="CW62" s="847"/>
      <c r="CX62" s="847"/>
      <c r="CY62" s="847"/>
      <c r="CZ62" s="847"/>
      <c r="DA62" s="847"/>
      <c r="DB62" s="847"/>
      <c r="DC62" s="847"/>
      <c r="DD62" s="847"/>
      <c r="DE62" s="847"/>
      <c r="DF62" s="847"/>
      <c r="DG62" s="847"/>
      <c r="DH62" s="847"/>
      <c r="DI62" s="847"/>
      <c r="DJ62" s="847"/>
    </row>
    <row r="63" spans="1:114" ht="18.75" hidden="1">
      <c r="A63" s="19">
        <v>28</v>
      </c>
      <c r="B63" s="20" t="s">
        <v>69</v>
      </c>
      <c r="C63" s="48">
        <v>2</v>
      </c>
      <c r="D63" s="34"/>
      <c r="E63" s="56">
        <v>0</v>
      </c>
      <c r="F63" s="534"/>
      <c r="G63" s="56">
        <v>0</v>
      </c>
      <c r="H63" s="69"/>
      <c r="I63" s="56">
        <v>0</v>
      </c>
      <c r="J63" s="69"/>
      <c r="K63" s="34"/>
      <c r="L63" s="56">
        <v>0</v>
      </c>
      <c r="M63" s="44">
        <v>0</v>
      </c>
      <c r="N63" s="44"/>
      <c r="O63" s="34"/>
      <c r="P63" s="34"/>
      <c r="Q63" s="56">
        <v>2</v>
      </c>
      <c r="R63" s="34"/>
      <c r="S63" s="34"/>
      <c r="T63" s="34">
        <v>0</v>
      </c>
      <c r="U63" s="34"/>
      <c r="V63" s="34"/>
      <c r="W63" s="34"/>
      <c r="X63" s="45"/>
      <c r="Y63" s="69"/>
      <c r="Z63" s="69"/>
      <c r="AA63" s="69"/>
      <c r="AB63" s="69"/>
      <c r="AC63" s="59"/>
      <c r="AD63" s="34"/>
      <c r="AE63" s="34"/>
      <c r="AF63" s="21"/>
      <c r="AG63" s="34"/>
      <c r="AH63" s="45"/>
      <c r="AI63" s="261"/>
      <c r="AJ63" s="102"/>
      <c r="AK63" s="847"/>
      <c r="AL63" s="847"/>
      <c r="AM63" s="847"/>
      <c r="AN63" s="847"/>
      <c r="AO63" s="847"/>
      <c r="AP63" s="847"/>
      <c r="AQ63" s="847"/>
      <c r="AR63" s="847"/>
      <c r="AS63" s="847"/>
      <c r="AT63" s="847"/>
      <c r="AU63" s="847"/>
      <c r="AV63" s="847"/>
      <c r="AW63" s="847"/>
      <c r="AX63" s="847"/>
      <c r="AY63" s="847"/>
      <c r="AZ63" s="847"/>
      <c r="BA63" s="847"/>
      <c r="BB63" s="847"/>
      <c r="BC63" s="847"/>
      <c r="BD63" s="847"/>
      <c r="BE63" s="847"/>
      <c r="BF63" s="847"/>
      <c r="BG63" s="847"/>
      <c r="BH63" s="847"/>
      <c r="BI63" s="847"/>
      <c r="BJ63" s="847"/>
      <c r="BK63" s="847"/>
      <c r="BL63" s="847"/>
      <c r="BM63" s="847"/>
      <c r="BN63" s="847"/>
      <c r="BO63" s="847"/>
      <c r="BP63" s="847"/>
      <c r="BQ63" s="847"/>
      <c r="BR63" s="847"/>
      <c r="BS63" s="847"/>
      <c r="BT63" s="847"/>
      <c r="BU63" s="847"/>
      <c r="BV63" s="847"/>
      <c r="BW63" s="847"/>
      <c r="BX63" s="847"/>
      <c r="BY63" s="847"/>
      <c r="BZ63" s="847"/>
      <c r="CA63" s="847"/>
      <c r="CB63" s="847"/>
      <c r="CC63" s="847"/>
      <c r="CD63" s="847"/>
      <c r="CE63" s="847"/>
      <c r="CF63" s="847"/>
      <c r="CG63" s="847"/>
      <c r="CH63" s="847"/>
      <c r="CI63" s="847"/>
      <c r="CJ63" s="847"/>
      <c r="CK63" s="847"/>
      <c r="CL63" s="847"/>
      <c r="CM63" s="847"/>
      <c r="CN63" s="847"/>
      <c r="CO63" s="847"/>
      <c r="CP63" s="847"/>
      <c r="CQ63" s="847"/>
      <c r="CR63" s="847"/>
      <c r="CS63" s="847"/>
      <c r="CT63" s="847"/>
      <c r="CU63" s="847"/>
      <c r="CV63" s="847"/>
      <c r="CW63" s="847"/>
      <c r="CX63" s="847"/>
      <c r="CY63" s="847"/>
      <c r="CZ63" s="847"/>
      <c r="DA63" s="847"/>
      <c r="DB63" s="847"/>
      <c r="DC63" s="847"/>
      <c r="DD63" s="847"/>
      <c r="DE63" s="847"/>
      <c r="DF63" s="847"/>
      <c r="DG63" s="847"/>
      <c r="DH63" s="847"/>
      <c r="DI63" s="847"/>
      <c r="DJ63" s="847"/>
    </row>
    <row r="64" spans="1:114" s="27" customFormat="1" ht="16.5" hidden="1" customHeight="1" thickBot="1">
      <c r="A64" s="24"/>
      <c r="B64" s="25"/>
      <c r="C64" s="50"/>
      <c r="D64" s="36"/>
      <c r="E64" s="57">
        <v>10</v>
      </c>
      <c r="F64" s="535"/>
      <c r="G64" s="57">
        <v>10</v>
      </c>
      <c r="H64" s="524"/>
      <c r="I64" s="57">
        <v>10</v>
      </c>
      <c r="J64" s="524"/>
      <c r="K64" s="36"/>
      <c r="L64" s="57">
        <v>10</v>
      </c>
      <c r="M64" s="46">
        <v>10</v>
      </c>
      <c r="N64" s="46"/>
      <c r="O64" s="36"/>
      <c r="P64" s="36"/>
      <c r="Q64" s="57"/>
      <c r="R64" s="36"/>
      <c r="S64" s="36"/>
      <c r="T64" s="36"/>
      <c r="U64" s="36"/>
      <c r="V64" s="36"/>
      <c r="W64" s="36"/>
      <c r="X64" s="47"/>
      <c r="Y64" s="57"/>
      <c r="Z64" s="57"/>
      <c r="AA64" s="57"/>
      <c r="AB64" s="57"/>
      <c r="AC64" s="60"/>
      <c r="AD64" s="36"/>
      <c r="AE64" s="36"/>
      <c r="AF64" s="26"/>
      <c r="AG64" s="36"/>
      <c r="AH64" s="47"/>
      <c r="AI64" s="263"/>
      <c r="AJ64" s="103">
        <f>SUM(C64:AH64)</f>
        <v>50</v>
      </c>
      <c r="AK64" s="847"/>
      <c r="AL64" s="847"/>
      <c r="AM64" s="847"/>
      <c r="AN64" s="847"/>
      <c r="AO64" s="847"/>
      <c r="AP64" s="847"/>
      <c r="AQ64" s="847"/>
      <c r="AR64" s="847"/>
      <c r="AS64" s="847"/>
      <c r="AT64" s="847"/>
      <c r="AU64" s="847"/>
      <c r="AV64" s="847"/>
      <c r="AW64" s="847"/>
      <c r="AX64" s="847"/>
      <c r="AY64" s="847"/>
      <c r="AZ64" s="847"/>
      <c r="BA64" s="847"/>
      <c r="BB64" s="847"/>
      <c r="BC64" s="847"/>
      <c r="BD64" s="847"/>
      <c r="BE64" s="847"/>
      <c r="BF64" s="847"/>
      <c r="BG64" s="847"/>
      <c r="BH64" s="847"/>
      <c r="BI64" s="847"/>
      <c r="BJ64" s="847"/>
      <c r="BK64" s="847"/>
      <c r="BL64" s="847"/>
      <c r="BM64" s="847"/>
      <c r="BN64" s="847"/>
      <c r="BO64" s="847"/>
      <c r="BP64" s="847"/>
      <c r="BQ64" s="847"/>
      <c r="BR64" s="847"/>
      <c r="BS64" s="847"/>
      <c r="BT64" s="847"/>
      <c r="BU64" s="847"/>
      <c r="BV64" s="847"/>
      <c r="BW64" s="847"/>
      <c r="BX64" s="847"/>
      <c r="BY64" s="847"/>
      <c r="BZ64" s="847"/>
      <c r="CA64" s="847"/>
      <c r="CB64" s="847"/>
      <c r="CC64" s="847"/>
      <c r="CD64" s="847"/>
      <c r="CE64" s="847"/>
      <c r="CF64" s="847"/>
      <c r="CG64" s="847"/>
      <c r="CH64" s="847"/>
      <c r="CI64" s="847"/>
      <c r="CJ64" s="847"/>
      <c r="CK64" s="847"/>
      <c r="CL64" s="847"/>
      <c r="CM64" s="847"/>
      <c r="CN64" s="847"/>
      <c r="CO64" s="847"/>
      <c r="CP64" s="847"/>
      <c r="CQ64" s="847"/>
      <c r="CR64" s="847"/>
      <c r="CS64" s="847"/>
      <c r="CT64" s="847"/>
      <c r="CU64" s="847"/>
      <c r="CV64" s="847"/>
      <c r="CW64" s="847"/>
      <c r="CX64" s="847"/>
      <c r="CY64" s="847"/>
      <c r="CZ64" s="847"/>
      <c r="DA64" s="847"/>
      <c r="DB64" s="847"/>
      <c r="DC64" s="847"/>
      <c r="DD64" s="847"/>
      <c r="DE64" s="847"/>
      <c r="DF64" s="847"/>
      <c r="DG64" s="847"/>
      <c r="DH64" s="847"/>
      <c r="DI64" s="847"/>
      <c r="DJ64" s="847"/>
    </row>
    <row r="65" spans="1:114" ht="18.75" hidden="1">
      <c r="A65" s="19">
        <v>29</v>
      </c>
      <c r="B65" s="20" t="s">
        <v>70</v>
      </c>
      <c r="C65" s="48">
        <v>145</v>
      </c>
      <c r="D65" s="40"/>
      <c r="E65" s="56"/>
      <c r="F65" s="534"/>
      <c r="G65" s="56"/>
      <c r="H65" s="69"/>
      <c r="I65" s="56"/>
      <c r="J65" s="69"/>
      <c r="K65" s="40"/>
      <c r="L65" s="56"/>
      <c r="M65" s="40"/>
      <c r="N65" s="40"/>
      <c r="O65" s="40"/>
      <c r="P65" s="40"/>
      <c r="Q65" s="56">
        <v>0</v>
      </c>
      <c r="R65" s="40"/>
      <c r="S65" s="40"/>
      <c r="T65" s="40">
        <v>0</v>
      </c>
      <c r="U65" s="40"/>
      <c r="V65" s="40"/>
      <c r="W65" s="40"/>
      <c r="X65" s="49"/>
      <c r="Y65" s="69"/>
      <c r="Z65" s="69"/>
      <c r="AA65" s="69"/>
      <c r="AB65" s="69"/>
      <c r="AC65" s="59"/>
      <c r="AD65" s="40"/>
      <c r="AE65" s="40"/>
      <c r="AF65" s="21"/>
      <c r="AG65" s="40"/>
      <c r="AH65" s="49"/>
      <c r="AI65" s="262"/>
      <c r="AJ65" s="104"/>
      <c r="AK65" s="847"/>
      <c r="AL65" s="847"/>
      <c r="AM65" s="847"/>
      <c r="AN65" s="847"/>
      <c r="AO65" s="847"/>
      <c r="AP65" s="847"/>
      <c r="AQ65" s="847"/>
      <c r="AR65" s="847"/>
      <c r="AS65" s="847"/>
      <c r="AT65" s="847"/>
      <c r="AU65" s="847"/>
      <c r="AV65" s="847"/>
      <c r="AW65" s="847"/>
      <c r="AX65" s="847"/>
      <c r="AY65" s="847"/>
      <c r="AZ65" s="847"/>
      <c r="BA65" s="847"/>
      <c r="BB65" s="847"/>
      <c r="BC65" s="847"/>
      <c r="BD65" s="847"/>
      <c r="BE65" s="847"/>
      <c r="BF65" s="847"/>
      <c r="BG65" s="847"/>
      <c r="BH65" s="847"/>
      <c r="BI65" s="847"/>
      <c r="BJ65" s="847"/>
      <c r="BK65" s="847"/>
      <c r="BL65" s="847"/>
      <c r="BM65" s="847"/>
      <c r="BN65" s="847"/>
      <c r="BO65" s="847"/>
      <c r="BP65" s="847"/>
      <c r="BQ65" s="847"/>
      <c r="BR65" s="847"/>
      <c r="BS65" s="847"/>
      <c r="BT65" s="847"/>
      <c r="BU65" s="847"/>
      <c r="BV65" s="847"/>
      <c r="BW65" s="847"/>
      <c r="BX65" s="847"/>
      <c r="BY65" s="847"/>
      <c r="BZ65" s="847"/>
      <c r="CA65" s="847"/>
      <c r="CB65" s="847"/>
      <c r="CC65" s="847"/>
      <c r="CD65" s="847"/>
      <c r="CE65" s="847"/>
      <c r="CF65" s="847"/>
      <c r="CG65" s="847"/>
      <c r="CH65" s="847"/>
      <c r="CI65" s="847"/>
      <c r="CJ65" s="847"/>
      <c r="CK65" s="847"/>
      <c r="CL65" s="847"/>
      <c r="CM65" s="847"/>
      <c r="CN65" s="847"/>
      <c r="CO65" s="847"/>
      <c r="CP65" s="847"/>
      <c r="CQ65" s="847"/>
      <c r="CR65" s="847"/>
      <c r="CS65" s="847"/>
      <c r="CT65" s="847"/>
      <c r="CU65" s="847"/>
      <c r="CV65" s="847"/>
      <c r="CW65" s="847"/>
      <c r="CX65" s="847"/>
      <c r="CY65" s="847"/>
      <c r="CZ65" s="847"/>
      <c r="DA65" s="847"/>
      <c r="DB65" s="847"/>
      <c r="DC65" s="847"/>
      <c r="DD65" s="847"/>
      <c r="DE65" s="847"/>
      <c r="DF65" s="847"/>
      <c r="DG65" s="847"/>
      <c r="DH65" s="847"/>
      <c r="DI65" s="847"/>
      <c r="DJ65" s="847"/>
    </row>
    <row r="66" spans="1:114" s="31" customFormat="1" ht="16.5" hidden="1" customHeight="1" thickBot="1">
      <c r="A66" s="24"/>
      <c r="B66" s="25"/>
      <c r="C66" s="38"/>
      <c r="D66" s="43"/>
      <c r="E66" s="65"/>
      <c r="F66" s="537"/>
      <c r="G66" s="65"/>
      <c r="H66" s="526"/>
      <c r="I66" s="65"/>
      <c r="J66" s="526"/>
      <c r="K66" s="38"/>
      <c r="L66" s="65"/>
      <c r="M66" s="38"/>
      <c r="N66" s="38"/>
      <c r="O66" s="38"/>
      <c r="P66" s="38"/>
      <c r="Q66" s="57"/>
      <c r="R66" s="36"/>
      <c r="S66" s="36"/>
      <c r="T66" s="41"/>
      <c r="U66" s="41"/>
      <c r="V66" s="41"/>
      <c r="W66" s="36"/>
      <c r="X66" s="47"/>
      <c r="Y66" s="57"/>
      <c r="Z66" s="57"/>
      <c r="AA66" s="57"/>
      <c r="AB66" s="57"/>
      <c r="AC66" s="60"/>
      <c r="AD66" s="36"/>
      <c r="AE66" s="36"/>
      <c r="AF66" s="26"/>
      <c r="AG66" s="36"/>
      <c r="AH66" s="47"/>
      <c r="AI66" s="263"/>
      <c r="AJ66" s="103">
        <f>SUM(C66:AH66)</f>
        <v>0</v>
      </c>
      <c r="AK66" s="847"/>
      <c r="AL66" s="847"/>
      <c r="AM66" s="847"/>
      <c r="AN66" s="847"/>
      <c r="AO66" s="847"/>
      <c r="AP66" s="847"/>
      <c r="AQ66" s="847"/>
      <c r="AR66" s="847"/>
      <c r="AS66" s="847"/>
      <c r="AT66" s="847"/>
      <c r="AU66" s="847"/>
      <c r="AV66" s="847"/>
      <c r="AW66" s="847"/>
      <c r="AX66" s="847"/>
      <c r="AY66" s="847"/>
      <c r="AZ66" s="847"/>
      <c r="BA66" s="847"/>
      <c r="BB66" s="847"/>
      <c r="BC66" s="847"/>
      <c r="BD66" s="847"/>
      <c r="BE66" s="847"/>
      <c r="BF66" s="847"/>
      <c r="BG66" s="847"/>
      <c r="BH66" s="847"/>
      <c r="BI66" s="847"/>
      <c r="BJ66" s="847"/>
      <c r="BK66" s="847"/>
      <c r="BL66" s="847"/>
      <c r="BM66" s="847"/>
      <c r="BN66" s="847"/>
      <c r="BO66" s="847"/>
      <c r="BP66" s="847"/>
      <c r="BQ66" s="847"/>
      <c r="BR66" s="847"/>
      <c r="BS66" s="847"/>
      <c r="BT66" s="847"/>
      <c r="BU66" s="847"/>
      <c r="BV66" s="847"/>
      <c r="BW66" s="847"/>
      <c r="BX66" s="847"/>
      <c r="BY66" s="847"/>
      <c r="BZ66" s="847"/>
      <c r="CA66" s="847"/>
      <c r="CB66" s="847"/>
      <c r="CC66" s="847"/>
      <c r="CD66" s="847"/>
      <c r="CE66" s="847"/>
      <c r="CF66" s="847"/>
      <c r="CG66" s="847"/>
      <c r="CH66" s="847"/>
      <c r="CI66" s="847"/>
      <c r="CJ66" s="847"/>
      <c r="CK66" s="847"/>
      <c r="CL66" s="847"/>
      <c r="CM66" s="847"/>
      <c r="CN66" s="847"/>
      <c r="CO66" s="847"/>
      <c r="CP66" s="847"/>
      <c r="CQ66" s="847"/>
      <c r="CR66" s="847"/>
      <c r="CS66" s="847"/>
      <c r="CT66" s="847"/>
      <c r="CU66" s="847"/>
      <c r="CV66" s="847"/>
      <c r="CW66" s="847"/>
      <c r="CX66" s="847"/>
      <c r="CY66" s="847"/>
      <c r="CZ66" s="847"/>
      <c r="DA66" s="847"/>
      <c r="DB66" s="847"/>
      <c r="DC66" s="847"/>
      <c r="DD66" s="847"/>
      <c r="DE66" s="847"/>
      <c r="DF66" s="847"/>
      <c r="DG66" s="847"/>
      <c r="DH66" s="847"/>
      <c r="DI66" s="847"/>
      <c r="DJ66" s="847"/>
    </row>
    <row r="67" spans="1:114" s="4" customFormat="1" ht="12.75">
      <c r="A67" s="857"/>
      <c r="B67" s="858"/>
      <c r="C67" s="858"/>
      <c r="D67" s="858"/>
      <c r="E67" s="858"/>
      <c r="F67" s="858"/>
      <c r="G67" s="858"/>
      <c r="H67" s="858"/>
      <c r="I67" s="858"/>
      <c r="J67" s="858"/>
      <c r="K67" s="858"/>
      <c r="L67" s="858"/>
      <c r="M67" s="858"/>
      <c r="N67" s="858"/>
      <c r="O67" s="858"/>
      <c r="P67" s="858"/>
      <c r="Q67" s="858"/>
      <c r="R67" s="858"/>
      <c r="S67" s="858"/>
      <c r="T67" s="858"/>
      <c r="U67" s="858"/>
      <c r="V67" s="858"/>
      <c r="W67" s="858"/>
      <c r="X67" s="858"/>
      <c r="Y67" s="858"/>
      <c r="Z67" s="858"/>
      <c r="AA67" s="858"/>
      <c r="AB67" s="858"/>
      <c r="AC67" s="858"/>
      <c r="AD67" s="858"/>
      <c r="AE67" s="858"/>
      <c r="AF67" s="858"/>
      <c r="AG67" s="858"/>
      <c r="AH67" s="859"/>
      <c r="AI67" s="83"/>
      <c r="AJ67" s="83"/>
      <c r="AK67" s="848"/>
      <c r="AL67" s="848"/>
      <c r="AM67" s="848"/>
      <c r="AN67" s="848"/>
      <c r="AO67" s="848"/>
      <c r="AP67" s="848"/>
      <c r="AQ67" s="848"/>
      <c r="AR67" s="848"/>
      <c r="AS67" s="848"/>
      <c r="AT67" s="848"/>
      <c r="AU67" s="848"/>
      <c r="AV67" s="848"/>
      <c r="AW67" s="848"/>
      <c r="AX67" s="848"/>
      <c r="AY67" s="848"/>
      <c r="AZ67" s="848"/>
      <c r="BA67" s="848"/>
      <c r="BB67" s="848"/>
      <c r="BC67" s="848"/>
      <c r="BD67" s="848"/>
      <c r="BE67" s="848"/>
      <c r="BF67" s="848"/>
      <c r="BG67" s="848"/>
      <c r="BH67" s="848"/>
      <c r="BI67" s="848"/>
      <c r="BJ67" s="848"/>
      <c r="BK67" s="848"/>
      <c r="BL67" s="848"/>
      <c r="BM67" s="848"/>
      <c r="BN67" s="848"/>
      <c r="BO67" s="848"/>
      <c r="BP67" s="848"/>
      <c r="BQ67" s="848"/>
      <c r="BR67" s="848"/>
      <c r="BS67" s="848"/>
      <c r="BT67" s="848"/>
      <c r="BU67" s="848"/>
      <c r="BV67" s="848"/>
      <c r="BW67" s="848"/>
      <c r="BX67" s="848"/>
      <c r="BY67" s="848"/>
      <c r="BZ67" s="848"/>
      <c r="CA67" s="848"/>
      <c r="CB67" s="848"/>
      <c r="CC67" s="848"/>
      <c r="CD67" s="848"/>
      <c r="CE67" s="848"/>
      <c r="CF67" s="848"/>
      <c r="CG67" s="848"/>
      <c r="CH67" s="848"/>
      <c r="CI67" s="848"/>
      <c r="CJ67" s="848"/>
      <c r="CK67" s="848"/>
      <c r="CL67" s="848"/>
      <c r="CM67" s="848"/>
      <c r="CN67" s="848"/>
      <c r="CO67" s="848"/>
      <c r="CP67" s="848"/>
      <c r="CQ67" s="848"/>
      <c r="CR67" s="848"/>
      <c r="CS67" s="848"/>
      <c r="CT67" s="848"/>
      <c r="CU67" s="848"/>
      <c r="CV67" s="848"/>
      <c r="CW67" s="848"/>
      <c r="CX67" s="848"/>
      <c r="CY67" s="848"/>
      <c r="CZ67" s="848"/>
      <c r="DA67" s="848"/>
      <c r="DB67" s="848"/>
      <c r="DC67" s="848"/>
      <c r="DD67" s="848"/>
      <c r="DE67" s="848"/>
      <c r="DF67" s="848"/>
      <c r="DG67" s="848"/>
      <c r="DH67" s="848"/>
      <c r="DI67" s="848"/>
      <c r="DJ67" s="848"/>
    </row>
    <row r="68" spans="1:114" ht="12.75">
      <c r="A68" s="860"/>
      <c r="B68" s="858"/>
      <c r="C68" s="858"/>
      <c r="D68" s="858"/>
      <c r="E68" s="858"/>
      <c r="F68" s="858"/>
      <c r="G68" s="858"/>
      <c r="H68" s="858"/>
      <c r="I68" s="858"/>
      <c r="J68" s="858"/>
      <c r="K68" s="858"/>
      <c r="L68" s="858"/>
      <c r="M68" s="858"/>
      <c r="N68" s="858"/>
      <c r="O68" s="858"/>
      <c r="P68" s="858"/>
      <c r="Q68" s="858"/>
      <c r="R68" s="858"/>
      <c r="S68" s="858"/>
      <c r="T68" s="858"/>
      <c r="U68" s="858"/>
      <c r="V68" s="858"/>
      <c r="W68" s="858"/>
      <c r="X68" s="858"/>
      <c r="Y68" s="858"/>
      <c r="Z68" s="858"/>
      <c r="AA68" s="858"/>
      <c r="AB68" s="858"/>
      <c r="AC68" s="858"/>
      <c r="AD68" s="858"/>
      <c r="AE68" s="858"/>
      <c r="AF68" s="858"/>
      <c r="AG68" s="858"/>
      <c r="AH68" s="859"/>
      <c r="AI68" s="83"/>
      <c r="AJ68" s="83"/>
      <c r="AK68" s="848"/>
      <c r="AL68" s="848"/>
      <c r="AM68" s="848"/>
      <c r="AN68" s="848"/>
      <c r="AO68" s="848"/>
      <c r="AP68" s="848"/>
      <c r="AQ68" s="848"/>
      <c r="AR68" s="848"/>
      <c r="AS68" s="848"/>
      <c r="AT68" s="848"/>
      <c r="AU68" s="848"/>
      <c r="AV68" s="848"/>
      <c r="AW68" s="848"/>
      <c r="AX68" s="848"/>
      <c r="AY68" s="848"/>
      <c r="AZ68" s="848"/>
      <c r="BA68" s="848"/>
      <c r="BB68" s="848"/>
      <c r="BC68" s="848"/>
      <c r="BD68" s="848"/>
      <c r="BE68" s="848"/>
      <c r="BF68" s="848"/>
      <c r="BG68" s="848"/>
      <c r="BH68" s="848"/>
      <c r="BI68" s="848"/>
      <c r="BJ68" s="848"/>
      <c r="BK68" s="848"/>
      <c r="BL68" s="848"/>
      <c r="BM68" s="848"/>
      <c r="BN68" s="848"/>
      <c r="BO68" s="848"/>
      <c r="BP68" s="848"/>
      <c r="BQ68" s="848"/>
      <c r="BR68" s="848"/>
      <c r="BS68" s="848"/>
      <c r="BT68" s="848"/>
      <c r="BU68" s="848"/>
      <c r="BV68" s="848"/>
      <c r="BW68" s="848"/>
      <c r="BX68" s="848"/>
      <c r="BY68" s="848"/>
      <c r="BZ68" s="848"/>
      <c r="CA68" s="848"/>
      <c r="CB68" s="848"/>
      <c r="CC68" s="848"/>
      <c r="CD68" s="848"/>
      <c r="CE68" s="848"/>
      <c r="CF68" s="848"/>
      <c r="CG68" s="848"/>
      <c r="CH68" s="848"/>
      <c r="CI68" s="848"/>
      <c r="CJ68" s="848"/>
      <c r="CK68" s="848"/>
      <c r="CL68" s="848"/>
      <c r="CM68" s="848"/>
      <c r="CN68" s="848"/>
      <c r="CO68" s="848"/>
      <c r="CP68" s="848"/>
      <c r="CQ68" s="848"/>
      <c r="CR68" s="848"/>
      <c r="CS68" s="848"/>
      <c r="CT68" s="848"/>
      <c r="CU68" s="848"/>
      <c r="CV68" s="848"/>
      <c r="CW68" s="848"/>
      <c r="CX68" s="848"/>
      <c r="CY68" s="848"/>
      <c r="CZ68" s="848"/>
      <c r="DA68" s="848"/>
      <c r="DB68" s="848"/>
      <c r="DC68" s="848"/>
      <c r="DD68" s="848"/>
      <c r="DE68" s="848"/>
      <c r="DF68" s="848"/>
      <c r="DG68" s="848"/>
      <c r="DH68" s="848"/>
      <c r="DI68" s="848"/>
      <c r="DJ68" s="848"/>
    </row>
    <row r="69" spans="1:114" ht="12.75">
      <c r="A69" s="860"/>
      <c r="B69" s="858"/>
      <c r="C69" s="858"/>
      <c r="D69" s="858"/>
      <c r="E69" s="858"/>
      <c r="F69" s="858"/>
      <c r="G69" s="858"/>
      <c r="H69" s="858"/>
      <c r="I69" s="858"/>
      <c r="J69" s="858"/>
      <c r="K69" s="858"/>
      <c r="L69" s="858"/>
      <c r="M69" s="858"/>
      <c r="N69" s="858"/>
      <c r="O69" s="858"/>
      <c r="P69" s="858"/>
      <c r="Q69" s="858"/>
      <c r="R69" s="858"/>
      <c r="S69" s="858"/>
      <c r="T69" s="858"/>
      <c r="U69" s="858"/>
      <c r="V69" s="858"/>
      <c r="W69" s="858"/>
      <c r="X69" s="858"/>
      <c r="Y69" s="858"/>
      <c r="Z69" s="858"/>
      <c r="AA69" s="858"/>
      <c r="AB69" s="858"/>
      <c r="AC69" s="858"/>
      <c r="AD69" s="858"/>
      <c r="AE69" s="858"/>
      <c r="AF69" s="858"/>
      <c r="AG69" s="858"/>
      <c r="AH69" s="859"/>
      <c r="AI69" s="83"/>
      <c r="AJ69" s="83"/>
      <c r="AK69" s="848"/>
      <c r="AL69" s="848"/>
      <c r="AM69" s="848"/>
      <c r="AN69" s="848"/>
      <c r="AO69" s="848"/>
      <c r="AP69" s="848"/>
      <c r="AQ69" s="848"/>
      <c r="AR69" s="848"/>
      <c r="AS69" s="848"/>
      <c r="AT69" s="848"/>
      <c r="AU69" s="848"/>
      <c r="AV69" s="848"/>
      <c r="AW69" s="848"/>
      <c r="AX69" s="848"/>
      <c r="AY69" s="848"/>
      <c r="AZ69" s="848"/>
      <c r="BA69" s="848"/>
      <c r="BB69" s="848"/>
      <c r="BC69" s="848"/>
      <c r="BD69" s="848"/>
      <c r="BE69" s="848"/>
      <c r="BF69" s="848"/>
      <c r="BG69" s="848"/>
      <c r="BH69" s="848"/>
      <c r="BI69" s="848"/>
      <c r="BJ69" s="848"/>
      <c r="BK69" s="848"/>
      <c r="BL69" s="848"/>
      <c r="BM69" s="848"/>
      <c r="BN69" s="848"/>
      <c r="BO69" s="848"/>
      <c r="BP69" s="848"/>
      <c r="BQ69" s="848"/>
      <c r="BR69" s="848"/>
      <c r="BS69" s="848"/>
      <c r="BT69" s="848"/>
      <c r="BU69" s="848"/>
      <c r="BV69" s="848"/>
      <c r="BW69" s="848"/>
      <c r="BX69" s="848"/>
      <c r="BY69" s="848"/>
      <c r="BZ69" s="848"/>
      <c r="CA69" s="848"/>
      <c r="CB69" s="848"/>
      <c r="CC69" s="848"/>
      <c r="CD69" s="848"/>
      <c r="CE69" s="848"/>
      <c r="CF69" s="848"/>
      <c r="CG69" s="848"/>
      <c r="CH69" s="848"/>
      <c r="CI69" s="848"/>
      <c r="CJ69" s="848"/>
      <c r="CK69" s="848"/>
      <c r="CL69" s="848"/>
      <c r="CM69" s="848"/>
      <c r="CN69" s="848"/>
      <c r="CO69" s="848"/>
      <c r="CP69" s="848"/>
      <c r="CQ69" s="848"/>
      <c r="CR69" s="848"/>
      <c r="CS69" s="848"/>
      <c r="CT69" s="848"/>
      <c r="CU69" s="848"/>
      <c r="CV69" s="848"/>
      <c r="CW69" s="848"/>
      <c r="CX69" s="848"/>
      <c r="CY69" s="848"/>
      <c r="CZ69" s="848"/>
      <c r="DA69" s="848"/>
      <c r="DB69" s="848"/>
      <c r="DC69" s="848"/>
      <c r="DD69" s="848"/>
      <c r="DE69" s="848"/>
      <c r="DF69" s="848"/>
      <c r="DG69" s="848"/>
      <c r="DH69" s="848"/>
      <c r="DI69" s="848"/>
      <c r="DJ69" s="848"/>
    </row>
    <row r="70" spans="1:114" s="3" customFormat="1" ht="12.75">
      <c r="A70" s="860"/>
      <c r="B70" s="858"/>
      <c r="C70" s="858"/>
      <c r="D70" s="858"/>
      <c r="E70" s="858"/>
      <c r="F70" s="858"/>
      <c r="G70" s="858"/>
      <c r="H70" s="858"/>
      <c r="I70" s="858"/>
      <c r="J70" s="858"/>
      <c r="K70" s="858"/>
      <c r="L70" s="858"/>
      <c r="M70" s="858"/>
      <c r="N70" s="858"/>
      <c r="O70" s="858"/>
      <c r="P70" s="858"/>
      <c r="Q70" s="858"/>
      <c r="R70" s="858"/>
      <c r="S70" s="858"/>
      <c r="T70" s="858"/>
      <c r="U70" s="858"/>
      <c r="V70" s="858"/>
      <c r="W70" s="858"/>
      <c r="X70" s="858"/>
      <c r="Y70" s="858"/>
      <c r="Z70" s="858"/>
      <c r="AA70" s="858"/>
      <c r="AB70" s="858"/>
      <c r="AC70" s="858"/>
      <c r="AD70" s="858"/>
      <c r="AE70" s="858"/>
      <c r="AF70" s="858"/>
      <c r="AG70" s="858"/>
      <c r="AH70" s="859"/>
      <c r="AI70" s="83"/>
      <c r="AJ70" s="83"/>
      <c r="AK70" s="848"/>
      <c r="AL70" s="848"/>
      <c r="AM70" s="848"/>
      <c r="AN70" s="848"/>
      <c r="AO70" s="848"/>
      <c r="AP70" s="848"/>
      <c r="AQ70" s="848"/>
      <c r="AR70" s="848"/>
      <c r="AS70" s="848"/>
      <c r="AT70" s="848"/>
      <c r="AU70" s="848"/>
      <c r="AV70" s="848"/>
      <c r="AW70" s="848"/>
      <c r="AX70" s="848"/>
      <c r="AY70" s="848"/>
      <c r="AZ70" s="848"/>
      <c r="BA70" s="848"/>
      <c r="BB70" s="848"/>
      <c r="BC70" s="848"/>
      <c r="BD70" s="848"/>
      <c r="BE70" s="848"/>
      <c r="BF70" s="848"/>
      <c r="BG70" s="848"/>
      <c r="BH70" s="848"/>
      <c r="BI70" s="848"/>
      <c r="BJ70" s="848"/>
      <c r="BK70" s="848"/>
      <c r="BL70" s="848"/>
      <c r="BM70" s="848"/>
      <c r="BN70" s="848"/>
      <c r="BO70" s="848"/>
      <c r="BP70" s="848"/>
      <c r="BQ70" s="848"/>
      <c r="BR70" s="848"/>
      <c r="BS70" s="848"/>
      <c r="BT70" s="848"/>
      <c r="BU70" s="848"/>
      <c r="BV70" s="848"/>
      <c r="BW70" s="848"/>
      <c r="BX70" s="848"/>
      <c r="BY70" s="848"/>
      <c r="BZ70" s="848"/>
      <c r="CA70" s="848"/>
      <c r="CB70" s="848"/>
      <c r="CC70" s="848"/>
      <c r="CD70" s="848"/>
      <c r="CE70" s="848"/>
      <c r="CF70" s="848"/>
      <c r="CG70" s="848"/>
      <c r="CH70" s="848"/>
      <c r="CI70" s="848"/>
      <c r="CJ70" s="848"/>
      <c r="CK70" s="848"/>
      <c r="CL70" s="848"/>
      <c r="CM70" s="848"/>
      <c r="CN70" s="848"/>
      <c r="CO70" s="848"/>
      <c r="CP70" s="848"/>
      <c r="CQ70" s="848"/>
      <c r="CR70" s="848"/>
      <c r="CS70" s="848"/>
      <c r="CT70" s="848"/>
      <c r="CU70" s="848"/>
      <c r="CV70" s="848"/>
      <c r="CW70" s="848"/>
      <c r="CX70" s="848"/>
      <c r="CY70" s="848"/>
      <c r="CZ70" s="848"/>
      <c r="DA70" s="848"/>
      <c r="DB70" s="848"/>
      <c r="DC70" s="848"/>
      <c r="DD70" s="848"/>
      <c r="DE70" s="848"/>
      <c r="DF70" s="848"/>
      <c r="DG70" s="848"/>
      <c r="DH70" s="848"/>
      <c r="DI70" s="848"/>
      <c r="DJ70" s="848"/>
    </row>
    <row r="71" spans="1:114" s="4" customFormat="1" ht="12.75">
      <c r="A71" s="860"/>
      <c r="B71" s="858"/>
      <c r="C71" s="858"/>
      <c r="D71" s="858"/>
      <c r="E71" s="858"/>
      <c r="F71" s="858"/>
      <c r="G71" s="858"/>
      <c r="H71" s="858"/>
      <c r="I71" s="858"/>
      <c r="J71" s="858"/>
      <c r="K71" s="858"/>
      <c r="L71" s="858"/>
      <c r="M71" s="858"/>
      <c r="N71" s="858"/>
      <c r="O71" s="858"/>
      <c r="P71" s="858"/>
      <c r="Q71" s="858"/>
      <c r="R71" s="858"/>
      <c r="S71" s="858"/>
      <c r="T71" s="858"/>
      <c r="U71" s="858"/>
      <c r="V71" s="858"/>
      <c r="W71" s="858"/>
      <c r="X71" s="858"/>
      <c r="Y71" s="858"/>
      <c r="Z71" s="858"/>
      <c r="AA71" s="858"/>
      <c r="AB71" s="858"/>
      <c r="AC71" s="858"/>
      <c r="AD71" s="858"/>
      <c r="AE71" s="858"/>
      <c r="AF71" s="858"/>
      <c r="AG71" s="858"/>
      <c r="AH71" s="859"/>
      <c r="AI71" s="83"/>
      <c r="AJ71" s="83"/>
      <c r="AK71" s="848"/>
      <c r="AL71" s="848"/>
      <c r="AM71" s="848"/>
      <c r="AN71" s="848"/>
      <c r="AO71" s="848"/>
      <c r="AP71" s="848"/>
      <c r="AQ71" s="848"/>
      <c r="AR71" s="848"/>
      <c r="AS71" s="848"/>
      <c r="AT71" s="848"/>
      <c r="AU71" s="848"/>
      <c r="AV71" s="848"/>
      <c r="AW71" s="848"/>
      <c r="AX71" s="848"/>
      <c r="AY71" s="848"/>
      <c r="AZ71" s="848"/>
      <c r="BA71" s="848"/>
      <c r="BB71" s="848"/>
      <c r="BC71" s="848"/>
      <c r="BD71" s="848"/>
      <c r="BE71" s="848"/>
      <c r="BF71" s="848"/>
      <c r="BG71" s="848"/>
      <c r="BH71" s="848"/>
      <c r="BI71" s="848"/>
      <c r="BJ71" s="848"/>
      <c r="BK71" s="848"/>
      <c r="BL71" s="848"/>
      <c r="BM71" s="848"/>
      <c r="BN71" s="848"/>
      <c r="BO71" s="848"/>
      <c r="BP71" s="848"/>
      <c r="BQ71" s="848"/>
      <c r="BR71" s="848"/>
      <c r="BS71" s="848"/>
      <c r="BT71" s="848"/>
      <c r="BU71" s="848"/>
      <c r="BV71" s="848"/>
      <c r="BW71" s="848"/>
      <c r="BX71" s="848"/>
      <c r="BY71" s="848"/>
      <c r="BZ71" s="848"/>
      <c r="CA71" s="848"/>
      <c r="CB71" s="848"/>
      <c r="CC71" s="848"/>
      <c r="CD71" s="848"/>
      <c r="CE71" s="848"/>
      <c r="CF71" s="848"/>
      <c r="CG71" s="848"/>
      <c r="CH71" s="848"/>
      <c r="CI71" s="848"/>
      <c r="CJ71" s="848"/>
      <c r="CK71" s="848"/>
      <c r="CL71" s="848"/>
      <c r="CM71" s="848"/>
      <c r="CN71" s="848"/>
      <c r="CO71" s="848"/>
      <c r="CP71" s="848"/>
      <c r="CQ71" s="848"/>
      <c r="CR71" s="848"/>
      <c r="CS71" s="848"/>
      <c r="CT71" s="848"/>
      <c r="CU71" s="848"/>
      <c r="CV71" s="848"/>
      <c r="CW71" s="848"/>
      <c r="CX71" s="848"/>
      <c r="CY71" s="848"/>
      <c r="CZ71" s="848"/>
      <c r="DA71" s="848"/>
      <c r="DB71" s="848"/>
      <c r="DC71" s="848"/>
      <c r="DD71" s="848"/>
      <c r="DE71" s="848"/>
      <c r="DF71" s="848"/>
      <c r="DG71" s="848"/>
      <c r="DH71" s="848"/>
      <c r="DI71" s="848"/>
      <c r="DJ71" s="848"/>
    </row>
    <row r="72" spans="1:114" ht="12.75">
      <c r="A72" s="860"/>
      <c r="B72" s="858"/>
      <c r="C72" s="858"/>
      <c r="D72" s="858"/>
      <c r="E72" s="858"/>
      <c r="F72" s="858"/>
      <c r="G72" s="858"/>
      <c r="H72" s="858"/>
      <c r="I72" s="858"/>
      <c r="J72" s="858"/>
      <c r="K72" s="858"/>
      <c r="L72" s="858"/>
      <c r="M72" s="858"/>
      <c r="N72" s="858"/>
      <c r="O72" s="858"/>
      <c r="P72" s="858"/>
      <c r="Q72" s="858"/>
      <c r="R72" s="858"/>
      <c r="S72" s="858"/>
      <c r="T72" s="858"/>
      <c r="U72" s="858"/>
      <c r="V72" s="858"/>
      <c r="W72" s="858"/>
      <c r="X72" s="858"/>
      <c r="Y72" s="858"/>
      <c r="Z72" s="858"/>
      <c r="AA72" s="858"/>
      <c r="AB72" s="858"/>
      <c r="AC72" s="858"/>
      <c r="AD72" s="858"/>
      <c r="AE72" s="858"/>
      <c r="AF72" s="858"/>
      <c r="AG72" s="858"/>
      <c r="AH72" s="859"/>
      <c r="AI72" s="83"/>
      <c r="AJ72" s="83"/>
      <c r="AK72" s="848"/>
      <c r="AL72" s="848"/>
      <c r="AM72" s="848"/>
      <c r="AN72" s="848"/>
      <c r="AO72" s="848"/>
      <c r="AP72" s="848"/>
      <c r="AQ72" s="848"/>
      <c r="AR72" s="848"/>
      <c r="AS72" s="848"/>
      <c r="AT72" s="848"/>
      <c r="AU72" s="848"/>
      <c r="AV72" s="848"/>
      <c r="AW72" s="848"/>
      <c r="AX72" s="848"/>
      <c r="AY72" s="848"/>
      <c r="AZ72" s="848"/>
      <c r="BA72" s="848"/>
      <c r="BB72" s="848"/>
      <c r="BC72" s="848"/>
      <c r="BD72" s="848"/>
      <c r="BE72" s="848"/>
      <c r="BF72" s="848"/>
      <c r="BG72" s="848"/>
      <c r="BH72" s="848"/>
      <c r="BI72" s="848"/>
      <c r="BJ72" s="848"/>
      <c r="BK72" s="848"/>
      <c r="BL72" s="848"/>
      <c r="BM72" s="848"/>
      <c r="BN72" s="848"/>
      <c r="BO72" s="848"/>
      <c r="BP72" s="848"/>
      <c r="BQ72" s="848"/>
      <c r="BR72" s="848"/>
      <c r="BS72" s="848"/>
      <c r="BT72" s="848"/>
      <c r="BU72" s="848"/>
      <c r="BV72" s="848"/>
      <c r="BW72" s="848"/>
      <c r="BX72" s="848"/>
      <c r="BY72" s="848"/>
      <c r="BZ72" s="848"/>
      <c r="CA72" s="848"/>
      <c r="CB72" s="848"/>
      <c r="CC72" s="848"/>
      <c r="CD72" s="848"/>
      <c r="CE72" s="848"/>
      <c r="CF72" s="848"/>
      <c r="CG72" s="848"/>
      <c r="CH72" s="848"/>
      <c r="CI72" s="848"/>
      <c r="CJ72" s="848"/>
      <c r="CK72" s="848"/>
      <c r="CL72" s="848"/>
      <c r="CM72" s="848"/>
      <c r="CN72" s="848"/>
      <c r="CO72" s="848"/>
      <c r="CP72" s="848"/>
      <c r="CQ72" s="848"/>
      <c r="CR72" s="848"/>
      <c r="CS72" s="848"/>
      <c r="CT72" s="848"/>
      <c r="CU72" s="848"/>
      <c r="CV72" s="848"/>
      <c r="CW72" s="848"/>
      <c r="CX72" s="848"/>
      <c r="CY72" s="848"/>
      <c r="CZ72" s="848"/>
      <c r="DA72" s="848"/>
      <c r="DB72" s="848"/>
      <c r="DC72" s="848"/>
      <c r="DD72" s="848"/>
      <c r="DE72" s="848"/>
      <c r="DF72" s="848"/>
      <c r="DG72" s="848"/>
      <c r="DH72" s="848"/>
      <c r="DI72" s="848"/>
      <c r="DJ72" s="848"/>
    </row>
    <row r="73" spans="1:114" ht="12.75">
      <c r="A73" s="860"/>
      <c r="B73" s="858"/>
      <c r="C73" s="858"/>
      <c r="D73" s="858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858"/>
      <c r="P73" s="858"/>
      <c r="Q73" s="858"/>
      <c r="R73" s="858"/>
      <c r="S73" s="858"/>
      <c r="T73" s="858"/>
      <c r="U73" s="858"/>
      <c r="V73" s="858"/>
      <c r="W73" s="858"/>
      <c r="X73" s="858"/>
      <c r="Y73" s="858"/>
      <c r="Z73" s="858"/>
      <c r="AA73" s="858"/>
      <c r="AB73" s="858"/>
      <c r="AC73" s="858"/>
      <c r="AD73" s="858"/>
      <c r="AE73" s="858"/>
      <c r="AF73" s="858"/>
      <c r="AG73" s="858"/>
      <c r="AH73" s="859"/>
      <c r="AI73" s="83"/>
      <c r="AJ73" s="83"/>
      <c r="AK73" s="848"/>
      <c r="AL73" s="848"/>
      <c r="AM73" s="848"/>
      <c r="AN73" s="848"/>
      <c r="AO73" s="848"/>
      <c r="AP73" s="848"/>
      <c r="AQ73" s="848"/>
      <c r="AR73" s="848"/>
      <c r="AS73" s="848"/>
      <c r="AT73" s="848"/>
      <c r="AU73" s="848"/>
      <c r="AV73" s="848"/>
      <c r="AW73" s="848"/>
      <c r="AX73" s="848"/>
      <c r="AY73" s="848"/>
      <c r="AZ73" s="848"/>
      <c r="BA73" s="848"/>
      <c r="BB73" s="848"/>
      <c r="BC73" s="848"/>
      <c r="BD73" s="848"/>
      <c r="BE73" s="848"/>
      <c r="BF73" s="848"/>
      <c r="BG73" s="848"/>
      <c r="BH73" s="848"/>
      <c r="BI73" s="848"/>
      <c r="BJ73" s="848"/>
      <c r="BK73" s="848"/>
      <c r="BL73" s="848"/>
      <c r="BM73" s="848"/>
      <c r="BN73" s="848"/>
      <c r="BO73" s="848"/>
      <c r="BP73" s="848"/>
      <c r="BQ73" s="848"/>
      <c r="BR73" s="848"/>
      <c r="BS73" s="848"/>
      <c r="BT73" s="848"/>
      <c r="BU73" s="848"/>
      <c r="BV73" s="848"/>
      <c r="BW73" s="848"/>
      <c r="BX73" s="848"/>
      <c r="BY73" s="848"/>
      <c r="BZ73" s="848"/>
      <c r="CA73" s="848"/>
      <c r="CB73" s="848"/>
      <c r="CC73" s="848"/>
      <c r="CD73" s="848"/>
      <c r="CE73" s="848"/>
      <c r="CF73" s="848"/>
      <c r="CG73" s="848"/>
      <c r="CH73" s="848"/>
      <c r="CI73" s="848"/>
      <c r="CJ73" s="848"/>
      <c r="CK73" s="848"/>
      <c r="CL73" s="848"/>
      <c r="CM73" s="848"/>
      <c r="CN73" s="848"/>
      <c r="CO73" s="848"/>
      <c r="CP73" s="848"/>
      <c r="CQ73" s="848"/>
      <c r="CR73" s="848"/>
      <c r="CS73" s="848"/>
      <c r="CT73" s="848"/>
      <c r="CU73" s="848"/>
      <c r="CV73" s="848"/>
      <c r="CW73" s="848"/>
      <c r="CX73" s="848"/>
      <c r="CY73" s="848"/>
      <c r="CZ73" s="848"/>
      <c r="DA73" s="848"/>
      <c r="DB73" s="848"/>
      <c r="DC73" s="848"/>
      <c r="DD73" s="848"/>
      <c r="DE73" s="848"/>
      <c r="DF73" s="848"/>
      <c r="DG73" s="848"/>
      <c r="DH73" s="848"/>
      <c r="DI73" s="848"/>
      <c r="DJ73" s="848"/>
    </row>
    <row r="74" spans="1:114" s="3" customFormat="1" ht="12.75">
      <c r="A74" s="860"/>
      <c r="B74" s="858"/>
      <c r="C74" s="858"/>
      <c r="D74" s="858"/>
      <c r="E74" s="858"/>
      <c r="F74" s="858"/>
      <c r="G74" s="858"/>
      <c r="H74" s="858"/>
      <c r="I74" s="858"/>
      <c r="J74" s="858"/>
      <c r="K74" s="858"/>
      <c r="L74" s="858"/>
      <c r="M74" s="858"/>
      <c r="N74" s="858"/>
      <c r="O74" s="858"/>
      <c r="P74" s="858"/>
      <c r="Q74" s="858"/>
      <c r="R74" s="858"/>
      <c r="S74" s="858"/>
      <c r="T74" s="858"/>
      <c r="U74" s="858"/>
      <c r="V74" s="858"/>
      <c r="W74" s="858"/>
      <c r="X74" s="858"/>
      <c r="Y74" s="858"/>
      <c r="Z74" s="858"/>
      <c r="AA74" s="858"/>
      <c r="AB74" s="858"/>
      <c r="AC74" s="858"/>
      <c r="AD74" s="858"/>
      <c r="AE74" s="858"/>
      <c r="AF74" s="858"/>
      <c r="AG74" s="858"/>
      <c r="AH74" s="859"/>
      <c r="AI74" s="83"/>
      <c r="AJ74" s="83"/>
      <c r="AK74" s="848"/>
      <c r="AL74" s="848"/>
      <c r="AM74" s="848"/>
      <c r="AN74" s="848"/>
      <c r="AO74" s="848"/>
      <c r="AP74" s="848"/>
      <c r="AQ74" s="848"/>
      <c r="AR74" s="848"/>
      <c r="AS74" s="848"/>
      <c r="AT74" s="848"/>
      <c r="AU74" s="848"/>
      <c r="AV74" s="848"/>
      <c r="AW74" s="848"/>
      <c r="AX74" s="848"/>
      <c r="AY74" s="848"/>
      <c r="AZ74" s="848"/>
      <c r="BA74" s="848"/>
      <c r="BB74" s="848"/>
      <c r="BC74" s="848"/>
      <c r="BD74" s="848"/>
      <c r="BE74" s="848"/>
      <c r="BF74" s="848"/>
      <c r="BG74" s="848"/>
      <c r="BH74" s="848"/>
      <c r="BI74" s="848"/>
      <c r="BJ74" s="848"/>
      <c r="BK74" s="848"/>
      <c r="BL74" s="848"/>
      <c r="BM74" s="848"/>
      <c r="BN74" s="848"/>
      <c r="BO74" s="848"/>
      <c r="BP74" s="848"/>
      <c r="BQ74" s="848"/>
      <c r="BR74" s="848"/>
      <c r="BS74" s="848"/>
      <c r="BT74" s="848"/>
      <c r="BU74" s="848"/>
      <c r="BV74" s="848"/>
      <c r="BW74" s="848"/>
      <c r="BX74" s="848"/>
      <c r="BY74" s="848"/>
      <c r="BZ74" s="848"/>
      <c r="CA74" s="848"/>
      <c r="CB74" s="848"/>
      <c r="CC74" s="848"/>
      <c r="CD74" s="848"/>
      <c r="CE74" s="848"/>
      <c r="CF74" s="848"/>
      <c r="CG74" s="848"/>
      <c r="CH74" s="848"/>
      <c r="CI74" s="848"/>
      <c r="CJ74" s="848"/>
      <c r="CK74" s="848"/>
      <c r="CL74" s="848"/>
      <c r="CM74" s="848"/>
      <c r="CN74" s="848"/>
      <c r="CO74" s="848"/>
      <c r="CP74" s="848"/>
      <c r="CQ74" s="848"/>
      <c r="CR74" s="848"/>
      <c r="CS74" s="848"/>
      <c r="CT74" s="848"/>
      <c r="CU74" s="848"/>
      <c r="CV74" s="848"/>
      <c r="CW74" s="848"/>
      <c r="CX74" s="848"/>
      <c r="CY74" s="848"/>
      <c r="CZ74" s="848"/>
      <c r="DA74" s="848"/>
      <c r="DB74" s="848"/>
      <c r="DC74" s="848"/>
      <c r="DD74" s="848"/>
      <c r="DE74" s="848"/>
      <c r="DF74" s="848"/>
      <c r="DG74" s="848"/>
      <c r="DH74" s="848"/>
      <c r="DI74" s="848"/>
      <c r="DJ74" s="848"/>
    </row>
    <row r="75" spans="1:114" s="4" customFormat="1" ht="12.75">
      <c r="A75" s="860"/>
      <c r="B75" s="858"/>
      <c r="C75" s="858"/>
      <c r="D75" s="858"/>
      <c r="E75" s="858"/>
      <c r="F75" s="858"/>
      <c r="G75" s="858"/>
      <c r="H75" s="858"/>
      <c r="I75" s="858"/>
      <c r="J75" s="858"/>
      <c r="K75" s="858"/>
      <c r="L75" s="858"/>
      <c r="M75" s="858"/>
      <c r="N75" s="858"/>
      <c r="O75" s="858"/>
      <c r="P75" s="858"/>
      <c r="Q75" s="858"/>
      <c r="R75" s="858"/>
      <c r="S75" s="858"/>
      <c r="T75" s="858"/>
      <c r="U75" s="858"/>
      <c r="V75" s="858"/>
      <c r="W75" s="858"/>
      <c r="X75" s="858"/>
      <c r="Y75" s="858"/>
      <c r="Z75" s="858"/>
      <c r="AA75" s="858"/>
      <c r="AB75" s="858"/>
      <c r="AC75" s="858"/>
      <c r="AD75" s="858"/>
      <c r="AE75" s="858"/>
      <c r="AF75" s="858"/>
      <c r="AG75" s="858"/>
      <c r="AH75" s="859"/>
      <c r="AI75" s="83"/>
      <c r="AJ75" s="83"/>
      <c r="AK75" s="848"/>
      <c r="AL75" s="848"/>
      <c r="AM75" s="848"/>
      <c r="AN75" s="848"/>
      <c r="AO75" s="848"/>
      <c r="AP75" s="848"/>
      <c r="AQ75" s="848"/>
      <c r="AR75" s="848"/>
      <c r="AS75" s="848"/>
      <c r="AT75" s="848"/>
      <c r="AU75" s="848"/>
      <c r="AV75" s="848"/>
      <c r="AW75" s="848"/>
      <c r="AX75" s="848"/>
      <c r="AY75" s="848"/>
      <c r="AZ75" s="848"/>
      <c r="BA75" s="848"/>
      <c r="BB75" s="848"/>
      <c r="BC75" s="848"/>
      <c r="BD75" s="848"/>
      <c r="BE75" s="848"/>
      <c r="BF75" s="848"/>
      <c r="BG75" s="848"/>
      <c r="BH75" s="848"/>
      <c r="BI75" s="848"/>
      <c r="BJ75" s="848"/>
      <c r="BK75" s="848"/>
      <c r="BL75" s="848"/>
      <c r="BM75" s="848"/>
      <c r="BN75" s="848"/>
      <c r="BO75" s="848"/>
      <c r="BP75" s="848"/>
      <c r="BQ75" s="848"/>
      <c r="BR75" s="848"/>
      <c r="BS75" s="848"/>
      <c r="BT75" s="848"/>
      <c r="BU75" s="848"/>
      <c r="BV75" s="848"/>
      <c r="BW75" s="848"/>
      <c r="BX75" s="848"/>
      <c r="BY75" s="848"/>
      <c r="BZ75" s="848"/>
      <c r="CA75" s="848"/>
      <c r="CB75" s="848"/>
      <c r="CC75" s="848"/>
      <c r="CD75" s="848"/>
      <c r="CE75" s="848"/>
      <c r="CF75" s="848"/>
      <c r="CG75" s="848"/>
      <c r="CH75" s="848"/>
      <c r="CI75" s="848"/>
      <c r="CJ75" s="848"/>
      <c r="CK75" s="848"/>
      <c r="CL75" s="848"/>
      <c r="CM75" s="848"/>
      <c r="CN75" s="848"/>
      <c r="CO75" s="848"/>
      <c r="CP75" s="848"/>
      <c r="CQ75" s="848"/>
      <c r="CR75" s="848"/>
      <c r="CS75" s="848"/>
      <c r="CT75" s="848"/>
      <c r="CU75" s="848"/>
      <c r="CV75" s="848"/>
      <c r="CW75" s="848"/>
      <c r="CX75" s="848"/>
      <c r="CY75" s="848"/>
      <c r="CZ75" s="848"/>
      <c r="DA75" s="848"/>
      <c r="DB75" s="848"/>
      <c r="DC75" s="848"/>
      <c r="DD75" s="848"/>
      <c r="DE75" s="848"/>
      <c r="DF75" s="848"/>
      <c r="DG75" s="848"/>
      <c r="DH75" s="848"/>
      <c r="DI75" s="848"/>
      <c r="DJ75" s="848"/>
    </row>
    <row r="76" spans="1:114" ht="12.75">
      <c r="A76" s="860"/>
      <c r="B76" s="858"/>
      <c r="C76" s="858"/>
      <c r="D76" s="858"/>
      <c r="E76" s="858"/>
      <c r="F76" s="858"/>
      <c r="G76" s="858"/>
      <c r="H76" s="858"/>
      <c r="I76" s="858"/>
      <c r="J76" s="858"/>
      <c r="K76" s="858"/>
      <c r="L76" s="858"/>
      <c r="M76" s="858"/>
      <c r="N76" s="858"/>
      <c r="O76" s="858"/>
      <c r="P76" s="858"/>
      <c r="Q76" s="858"/>
      <c r="R76" s="858"/>
      <c r="S76" s="858"/>
      <c r="T76" s="858"/>
      <c r="U76" s="858"/>
      <c r="V76" s="858"/>
      <c r="W76" s="858"/>
      <c r="X76" s="858"/>
      <c r="Y76" s="858"/>
      <c r="Z76" s="858"/>
      <c r="AA76" s="858"/>
      <c r="AB76" s="858"/>
      <c r="AC76" s="858"/>
      <c r="AD76" s="858"/>
      <c r="AE76" s="858"/>
      <c r="AF76" s="858"/>
      <c r="AG76" s="858"/>
      <c r="AH76" s="859"/>
      <c r="AI76" s="83"/>
      <c r="AJ76" s="83"/>
      <c r="AK76" s="848"/>
      <c r="AL76" s="848"/>
      <c r="AM76" s="848"/>
      <c r="AN76" s="848"/>
      <c r="AO76" s="848"/>
      <c r="AP76" s="848"/>
      <c r="AQ76" s="848"/>
      <c r="AR76" s="848"/>
      <c r="AS76" s="848"/>
      <c r="AT76" s="848"/>
      <c r="AU76" s="848"/>
      <c r="AV76" s="848"/>
      <c r="AW76" s="848"/>
      <c r="AX76" s="848"/>
      <c r="AY76" s="848"/>
      <c r="AZ76" s="848"/>
      <c r="BA76" s="848"/>
      <c r="BB76" s="848"/>
      <c r="BC76" s="848"/>
      <c r="BD76" s="848"/>
      <c r="BE76" s="848"/>
      <c r="BF76" s="848"/>
      <c r="BG76" s="848"/>
      <c r="BH76" s="848"/>
      <c r="BI76" s="848"/>
      <c r="BJ76" s="848"/>
      <c r="BK76" s="848"/>
      <c r="BL76" s="848"/>
      <c r="BM76" s="848"/>
      <c r="BN76" s="848"/>
      <c r="BO76" s="848"/>
      <c r="BP76" s="848"/>
      <c r="BQ76" s="848"/>
      <c r="BR76" s="848"/>
      <c r="BS76" s="848"/>
      <c r="BT76" s="848"/>
      <c r="BU76" s="848"/>
      <c r="BV76" s="848"/>
      <c r="BW76" s="848"/>
      <c r="BX76" s="848"/>
      <c r="BY76" s="848"/>
      <c r="BZ76" s="848"/>
      <c r="CA76" s="848"/>
      <c r="CB76" s="848"/>
      <c r="CC76" s="848"/>
      <c r="CD76" s="848"/>
      <c r="CE76" s="848"/>
      <c r="CF76" s="848"/>
      <c r="CG76" s="848"/>
      <c r="CH76" s="848"/>
      <c r="CI76" s="848"/>
      <c r="CJ76" s="848"/>
      <c r="CK76" s="848"/>
      <c r="CL76" s="848"/>
      <c r="CM76" s="848"/>
      <c r="CN76" s="848"/>
      <c r="CO76" s="848"/>
      <c r="CP76" s="848"/>
      <c r="CQ76" s="848"/>
      <c r="CR76" s="848"/>
      <c r="CS76" s="848"/>
      <c r="CT76" s="848"/>
      <c r="CU76" s="848"/>
      <c r="CV76" s="848"/>
      <c r="CW76" s="848"/>
      <c r="CX76" s="848"/>
      <c r="CY76" s="848"/>
      <c r="CZ76" s="848"/>
      <c r="DA76" s="848"/>
      <c r="DB76" s="848"/>
      <c r="DC76" s="848"/>
      <c r="DD76" s="848"/>
      <c r="DE76" s="848"/>
      <c r="DF76" s="848"/>
      <c r="DG76" s="848"/>
      <c r="DH76" s="848"/>
      <c r="DI76" s="848"/>
      <c r="DJ76" s="848"/>
    </row>
    <row r="77" spans="1:114" ht="12.75">
      <c r="A77" s="860"/>
      <c r="B77" s="858"/>
      <c r="C77" s="858"/>
      <c r="D77" s="858"/>
      <c r="E77" s="858"/>
      <c r="F77" s="858"/>
      <c r="G77" s="858"/>
      <c r="H77" s="858"/>
      <c r="I77" s="858"/>
      <c r="J77" s="858"/>
      <c r="K77" s="858"/>
      <c r="L77" s="858"/>
      <c r="M77" s="858"/>
      <c r="N77" s="858"/>
      <c r="O77" s="858"/>
      <c r="P77" s="858"/>
      <c r="Q77" s="858"/>
      <c r="R77" s="858"/>
      <c r="S77" s="858"/>
      <c r="T77" s="858"/>
      <c r="U77" s="858"/>
      <c r="V77" s="858"/>
      <c r="W77" s="858"/>
      <c r="X77" s="858"/>
      <c r="Y77" s="858"/>
      <c r="Z77" s="858"/>
      <c r="AA77" s="858"/>
      <c r="AB77" s="858"/>
      <c r="AC77" s="858"/>
      <c r="AD77" s="858"/>
      <c r="AE77" s="858"/>
      <c r="AF77" s="858"/>
      <c r="AG77" s="858"/>
      <c r="AH77" s="859"/>
      <c r="AI77" s="83"/>
      <c r="AJ77" s="83"/>
      <c r="AK77" s="848"/>
      <c r="AL77" s="848"/>
      <c r="AM77" s="848"/>
      <c r="AN77" s="848"/>
      <c r="AO77" s="848"/>
      <c r="AP77" s="848"/>
      <c r="AQ77" s="848"/>
      <c r="AR77" s="848"/>
      <c r="AS77" s="848"/>
      <c r="AT77" s="848"/>
      <c r="AU77" s="848"/>
      <c r="AV77" s="848"/>
      <c r="AW77" s="848"/>
      <c r="AX77" s="848"/>
      <c r="AY77" s="848"/>
      <c r="AZ77" s="848"/>
      <c r="BA77" s="848"/>
      <c r="BB77" s="848"/>
      <c r="BC77" s="848"/>
      <c r="BD77" s="848"/>
      <c r="BE77" s="848"/>
      <c r="BF77" s="848"/>
      <c r="BG77" s="848"/>
      <c r="BH77" s="848"/>
      <c r="BI77" s="848"/>
      <c r="BJ77" s="848"/>
      <c r="BK77" s="848"/>
      <c r="BL77" s="848"/>
      <c r="BM77" s="848"/>
      <c r="BN77" s="848"/>
      <c r="BO77" s="848"/>
      <c r="BP77" s="848"/>
      <c r="BQ77" s="848"/>
      <c r="BR77" s="848"/>
      <c r="BS77" s="848"/>
      <c r="BT77" s="848"/>
      <c r="BU77" s="848"/>
      <c r="BV77" s="848"/>
      <c r="BW77" s="848"/>
      <c r="BX77" s="848"/>
      <c r="BY77" s="848"/>
      <c r="BZ77" s="848"/>
      <c r="CA77" s="848"/>
      <c r="CB77" s="848"/>
      <c r="CC77" s="848"/>
      <c r="CD77" s="848"/>
      <c r="CE77" s="848"/>
      <c r="CF77" s="848"/>
      <c r="CG77" s="848"/>
      <c r="CH77" s="848"/>
      <c r="CI77" s="848"/>
      <c r="CJ77" s="848"/>
      <c r="CK77" s="848"/>
      <c r="CL77" s="848"/>
      <c r="CM77" s="848"/>
      <c r="CN77" s="848"/>
      <c r="CO77" s="848"/>
      <c r="CP77" s="848"/>
      <c r="CQ77" s="848"/>
      <c r="CR77" s="848"/>
      <c r="CS77" s="848"/>
      <c r="CT77" s="848"/>
      <c r="CU77" s="848"/>
      <c r="CV77" s="848"/>
      <c r="CW77" s="848"/>
      <c r="CX77" s="848"/>
      <c r="CY77" s="848"/>
      <c r="CZ77" s="848"/>
      <c r="DA77" s="848"/>
      <c r="DB77" s="848"/>
      <c r="DC77" s="848"/>
      <c r="DD77" s="848"/>
      <c r="DE77" s="848"/>
      <c r="DF77" s="848"/>
      <c r="DG77" s="848"/>
      <c r="DH77" s="848"/>
      <c r="DI77" s="848"/>
      <c r="DJ77" s="848"/>
    </row>
    <row r="78" spans="1:114" ht="12.75">
      <c r="A78" s="860"/>
      <c r="B78" s="858"/>
      <c r="C78" s="858"/>
      <c r="D78" s="858"/>
      <c r="E78" s="858"/>
      <c r="F78" s="858"/>
      <c r="G78" s="858"/>
      <c r="H78" s="858"/>
      <c r="I78" s="858"/>
      <c r="J78" s="858"/>
      <c r="K78" s="858"/>
      <c r="L78" s="858"/>
      <c r="M78" s="858"/>
      <c r="N78" s="858"/>
      <c r="O78" s="858"/>
      <c r="P78" s="858"/>
      <c r="Q78" s="858"/>
      <c r="R78" s="858"/>
      <c r="S78" s="858"/>
      <c r="T78" s="858"/>
      <c r="U78" s="858"/>
      <c r="V78" s="858"/>
      <c r="W78" s="858"/>
      <c r="X78" s="858"/>
      <c r="Y78" s="858"/>
      <c r="Z78" s="858"/>
      <c r="AA78" s="858"/>
      <c r="AB78" s="858"/>
      <c r="AC78" s="858"/>
      <c r="AD78" s="858"/>
      <c r="AE78" s="858"/>
      <c r="AF78" s="858"/>
      <c r="AG78" s="858"/>
      <c r="AH78" s="859"/>
      <c r="AI78" s="83"/>
      <c r="AJ78" s="83"/>
      <c r="AK78" s="848"/>
      <c r="AL78" s="848"/>
      <c r="AM78" s="848"/>
      <c r="AN78" s="848"/>
      <c r="AO78" s="848"/>
      <c r="AP78" s="848"/>
      <c r="AQ78" s="848"/>
      <c r="AR78" s="848"/>
      <c r="AS78" s="848"/>
      <c r="AT78" s="848"/>
      <c r="AU78" s="848"/>
      <c r="AV78" s="848"/>
      <c r="AW78" s="848"/>
      <c r="AX78" s="848"/>
      <c r="AY78" s="848"/>
      <c r="AZ78" s="848"/>
      <c r="BA78" s="848"/>
      <c r="BB78" s="848"/>
      <c r="BC78" s="848"/>
      <c r="BD78" s="848"/>
      <c r="BE78" s="848"/>
      <c r="BF78" s="848"/>
      <c r="BG78" s="848"/>
      <c r="BH78" s="848"/>
      <c r="BI78" s="848"/>
      <c r="BJ78" s="848"/>
      <c r="BK78" s="848"/>
      <c r="BL78" s="848"/>
      <c r="BM78" s="848"/>
      <c r="BN78" s="848"/>
      <c r="BO78" s="848"/>
      <c r="BP78" s="848"/>
      <c r="BQ78" s="848"/>
      <c r="BR78" s="848"/>
      <c r="BS78" s="848"/>
      <c r="BT78" s="848"/>
      <c r="BU78" s="848"/>
      <c r="BV78" s="848"/>
      <c r="BW78" s="848"/>
      <c r="BX78" s="848"/>
      <c r="BY78" s="848"/>
      <c r="BZ78" s="848"/>
      <c r="CA78" s="848"/>
      <c r="CB78" s="848"/>
      <c r="CC78" s="848"/>
      <c r="CD78" s="848"/>
      <c r="CE78" s="848"/>
      <c r="CF78" s="848"/>
      <c r="CG78" s="848"/>
      <c r="CH78" s="848"/>
      <c r="CI78" s="848"/>
      <c r="CJ78" s="848"/>
      <c r="CK78" s="848"/>
      <c r="CL78" s="848"/>
      <c r="CM78" s="848"/>
      <c r="CN78" s="848"/>
      <c r="CO78" s="848"/>
      <c r="CP78" s="848"/>
      <c r="CQ78" s="848"/>
      <c r="CR78" s="848"/>
      <c r="CS78" s="848"/>
      <c r="CT78" s="848"/>
      <c r="CU78" s="848"/>
      <c r="CV78" s="848"/>
      <c r="CW78" s="848"/>
      <c r="CX78" s="848"/>
      <c r="CY78" s="848"/>
      <c r="CZ78" s="848"/>
      <c r="DA78" s="848"/>
      <c r="DB78" s="848"/>
      <c r="DC78" s="848"/>
      <c r="DD78" s="848"/>
      <c r="DE78" s="848"/>
      <c r="DF78" s="848"/>
      <c r="DG78" s="848"/>
      <c r="DH78" s="848"/>
      <c r="DI78" s="848"/>
      <c r="DJ78" s="848"/>
    </row>
    <row r="79" spans="1:114" s="3" customFormat="1" ht="12.75">
      <c r="A79" s="860"/>
      <c r="B79" s="858"/>
      <c r="C79" s="858"/>
      <c r="D79" s="858"/>
      <c r="E79" s="858"/>
      <c r="F79" s="858"/>
      <c r="G79" s="858"/>
      <c r="H79" s="858"/>
      <c r="I79" s="858"/>
      <c r="J79" s="858"/>
      <c r="K79" s="858"/>
      <c r="L79" s="858"/>
      <c r="M79" s="858"/>
      <c r="N79" s="858"/>
      <c r="O79" s="858"/>
      <c r="P79" s="858"/>
      <c r="Q79" s="858"/>
      <c r="R79" s="858"/>
      <c r="S79" s="858"/>
      <c r="T79" s="858"/>
      <c r="U79" s="858"/>
      <c r="V79" s="858"/>
      <c r="W79" s="858"/>
      <c r="X79" s="858"/>
      <c r="Y79" s="858"/>
      <c r="Z79" s="858"/>
      <c r="AA79" s="858"/>
      <c r="AB79" s="858"/>
      <c r="AC79" s="858"/>
      <c r="AD79" s="858"/>
      <c r="AE79" s="858"/>
      <c r="AF79" s="858"/>
      <c r="AG79" s="858"/>
      <c r="AH79" s="859"/>
      <c r="AI79" s="83"/>
      <c r="AJ79" s="83"/>
      <c r="AK79" s="848"/>
      <c r="AL79" s="848"/>
      <c r="AM79" s="848"/>
      <c r="AN79" s="848"/>
      <c r="AO79" s="848"/>
      <c r="AP79" s="848"/>
      <c r="AQ79" s="848"/>
      <c r="AR79" s="848"/>
      <c r="AS79" s="848"/>
      <c r="AT79" s="848"/>
      <c r="AU79" s="848"/>
      <c r="AV79" s="848"/>
      <c r="AW79" s="848"/>
      <c r="AX79" s="848"/>
      <c r="AY79" s="848"/>
      <c r="AZ79" s="848"/>
      <c r="BA79" s="848"/>
      <c r="BB79" s="848"/>
      <c r="BC79" s="848"/>
      <c r="BD79" s="848"/>
      <c r="BE79" s="848"/>
      <c r="BF79" s="848"/>
      <c r="BG79" s="848"/>
      <c r="BH79" s="848"/>
      <c r="BI79" s="848"/>
      <c r="BJ79" s="848"/>
      <c r="BK79" s="848"/>
      <c r="BL79" s="848"/>
      <c r="BM79" s="848"/>
      <c r="BN79" s="848"/>
      <c r="BO79" s="848"/>
      <c r="BP79" s="848"/>
      <c r="BQ79" s="848"/>
      <c r="BR79" s="848"/>
      <c r="BS79" s="848"/>
      <c r="BT79" s="848"/>
      <c r="BU79" s="848"/>
      <c r="BV79" s="848"/>
      <c r="BW79" s="848"/>
      <c r="BX79" s="848"/>
      <c r="BY79" s="848"/>
      <c r="BZ79" s="848"/>
      <c r="CA79" s="848"/>
      <c r="CB79" s="848"/>
      <c r="CC79" s="848"/>
      <c r="CD79" s="848"/>
      <c r="CE79" s="848"/>
      <c r="CF79" s="848"/>
      <c r="CG79" s="848"/>
      <c r="CH79" s="848"/>
      <c r="CI79" s="848"/>
      <c r="CJ79" s="848"/>
      <c r="CK79" s="848"/>
      <c r="CL79" s="848"/>
      <c r="CM79" s="848"/>
      <c r="CN79" s="848"/>
      <c r="CO79" s="848"/>
      <c r="CP79" s="848"/>
      <c r="CQ79" s="848"/>
      <c r="CR79" s="848"/>
      <c r="CS79" s="848"/>
      <c r="CT79" s="848"/>
      <c r="CU79" s="848"/>
      <c r="CV79" s="848"/>
      <c r="CW79" s="848"/>
      <c r="CX79" s="848"/>
      <c r="CY79" s="848"/>
      <c r="CZ79" s="848"/>
      <c r="DA79" s="848"/>
      <c r="DB79" s="848"/>
      <c r="DC79" s="848"/>
      <c r="DD79" s="848"/>
      <c r="DE79" s="848"/>
      <c r="DF79" s="848"/>
      <c r="DG79" s="848"/>
      <c r="DH79" s="848"/>
      <c r="DI79" s="848"/>
      <c r="DJ79" s="848"/>
    </row>
    <row r="80" spans="1:114" ht="12.75">
      <c r="A80" s="860"/>
      <c r="B80" s="858"/>
      <c r="C80" s="858"/>
      <c r="D80" s="858"/>
      <c r="E80" s="858"/>
      <c r="F80" s="858"/>
      <c r="G80" s="858"/>
      <c r="H80" s="858"/>
      <c r="I80" s="858"/>
      <c r="J80" s="858"/>
      <c r="K80" s="858"/>
      <c r="L80" s="858"/>
      <c r="M80" s="858"/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58"/>
      <c r="Y80" s="858"/>
      <c r="Z80" s="858"/>
      <c r="AA80" s="858"/>
      <c r="AB80" s="858"/>
      <c r="AC80" s="858"/>
      <c r="AD80" s="858"/>
      <c r="AE80" s="858"/>
      <c r="AF80" s="858"/>
      <c r="AG80" s="858"/>
      <c r="AH80" s="859"/>
      <c r="AI80" s="83"/>
      <c r="AJ80" s="83"/>
      <c r="AK80" s="848"/>
      <c r="AL80" s="848"/>
      <c r="AM80" s="848"/>
      <c r="AN80" s="848"/>
      <c r="AO80" s="848"/>
      <c r="AP80" s="848"/>
      <c r="AQ80" s="848"/>
      <c r="AR80" s="848"/>
      <c r="AS80" s="848"/>
      <c r="AT80" s="848"/>
      <c r="AU80" s="848"/>
      <c r="AV80" s="848"/>
      <c r="AW80" s="848"/>
      <c r="AX80" s="848"/>
      <c r="AY80" s="848"/>
      <c r="AZ80" s="848"/>
      <c r="BA80" s="848"/>
      <c r="BB80" s="848"/>
      <c r="BC80" s="848"/>
      <c r="BD80" s="848"/>
      <c r="BE80" s="848"/>
      <c r="BF80" s="848"/>
      <c r="BG80" s="848"/>
      <c r="BH80" s="848"/>
      <c r="BI80" s="848"/>
      <c r="BJ80" s="848"/>
      <c r="BK80" s="848"/>
      <c r="BL80" s="848"/>
      <c r="BM80" s="848"/>
      <c r="BN80" s="848"/>
      <c r="BO80" s="848"/>
      <c r="BP80" s="848"/>
      <c r="BQ80" s="848"/>
      <c r="BR80" s="848"/>
      <c r="BS80" s="848"/>
      <c r="BT80" s="848"/>
      <c r="BU80" s="848"/>
      <c r="BV80" s="848"/>
      <c r="BW80" s="848"/>
      <c r="BX80" s="848"/>
      <c r="BY80" s="848"/>
      <c r="BZ80" s="848"/>
      <c r="CA80" s="848"/>
      <c r="CB80" s="848"/>
      <c r="CC80" s="848"/>
      <c r="CD80" s="848"/>
      <c r="CE80" s="848"/>
      <c r="CF80" s="848"/>
      <c r="CG80" s="848"/>
      <c r="CH80" s="848"/>
      <c r="CI80" s="848"/>
      <c r="CJ80" s="848"/>
      <c r="CK80" s="848"/>
      <c r="CL80" s="848"/>
      <c r="CM80" s="848"/>
      <c r="CN80" s="848"/>
      <c r="CO80" s="848"/>
      <c r="CP80" s="848"/>
      <c r="CQ80" s="848"/>
      <c r="CR80" s="848"/>
      <c r="CS80" s="848"/>
      <c r="CT80" s="848"/>
      <c r="CU80" s="848"/>
      <c r="CV80" s="848"/>
      <c r="CW80" s="848"/>
      <c r="CX80" s="848"/>
      <c r="CY80" s="848"/>
      <c r="CZ80" s="848"/>
      <c r="DA80" s="848"/>
      <c r="DB80" s="848"/>
      <c r="DC80" s="848"/>
      <c r="DD80" s="848"/>
      <c r="DE80" s="848"/>
      <c r="DF80" s="848"/>
      <c r="DG80" s="848"/>
      <c r="DH80" s="848"/>
      <c r="DI80" s="848"/>
      <c r="DJ80" s="848"/>
    </row>
    <row r="81" spans="1:114" ht="12.75">
      <c r="A81" s="860"/>
      <c r="B81" s="858"/>
      <c r="C81" s="858"/>
      <c r="D81" s="858"/>
      <c r="E81" s="858"/>
      <c r="F81" s="858"/>
      <c r="G81" s="858"/>
      <c r="H81" s="858"/>
      <c r="I81" s="858"/>
      <c r="J81" s="858"/>
      <c r="K81" s="858"/>
      <c r="L81" s="858"/>
      <c r="M81" s="858"/>
      <c r="N81" s="858"/>
      <c r="O81" s="858"/>
      <c r="P81" s="858"/>
      <c r="Q81" s="858"/>
      <c r="R81" s="858"/>
      <c r="S81" s="858"/>
      <c r="T81" s="858"/>
      <c r="U81" s="858"/>
      <c r="V81" s="858"/>
      <c r="W81" s="858"/>
      <c r="X81" s="858"/>
      <c r="Y81" s="858"/>
      <c r="Z81" s="858"/>
      <c r="AA81" s="858"/>
      <c r="AB81" s="858"/>
      <c r="AC81" s="858"/>
      <c r="AD81" s="858"/>
      <c r="AE81" s="858"/>
      <c r="AF81" s="858"/>
      <c r="AG81" s="858"/>
      <c r="AH81" s="859"/>
      <c r="AI81" s="83"/>
      <c r="AJ81" s="83"/>
      <c r="AK81" s="848"/>
      <c r="AL81" s="848"/>
      <c r="AM81" s="848"/>
      <c r="AN81" s="848"/>
      <c r="AO81" s="848"/>
      <c r="AP81" s="848"/>
      <c r="AQ81" s="848"/>
      <c r="AR81" s="848"/>
      <c r="AS81" s="848"/>
      <c r="AT81" s="848"/>
      <c r="AU81" s="848"/>
      <c r="AV81" s="848"/>
      <c r="AW81" s="848"/>
      <c r="AX81" s="848"/>
      <c r="AY81" s="848"/>
      <c r="AZ81" s="848"/>
      <c r="BA81" s="848"/>
      <c r="BB81" s="848"/>
      <c r="BC81" s="848"/>
      <c r="BD81" s="848"/>
      <c r="BE81" s="848"/>
      <c r="BF81" s="848"/>
      <c r="BG81" s="848"/>
      <c r="BH81" s="848"/>
      <c r="BI81" s="848"/>
      <c r="BJ81" s="848"/>
      <c r="BK81" s="848"/>
      <c r="BL81" s="848"/>
      <c r="BM81" s="848"/>
      <c r="BN81" s="848"/>
      <c r="BO81" s="848"/>
      <c r="BP81" s="848"/>
      <c r="BQ81" s="848"/>
      <c r="BR81" s="848"/>
      <c r="BS81" s="848"/>
      <c r="BT81" s="848"/>
      <c r="BU81" s="848"/>
      <c r="BV81" s="848"/>
      <c r="BW81" s="848"/>
      <c r="BX81" s="848"/>
      <c r="BY81" s="848"/>
      <c r="BZ81" s="848"/>
      <c r="CA81" s="848"/>
      <c r="CB81" s="848"/>
      <c r="CC81" s="848"/>
      <c r="CD81" s="848"/>
      <c r="CE81" s="848"/>
      <c r="CF81" s="848"/>
      <c r="CG81" s="848"/>
      <c r="CH81" s="848"/>
      <c r="CI81" s="848"/>
      <c r="CJ81" s="848"/>
      <c r="CK81" s="848"/>
      <c r="CL81" s="848"/>
      <c r="CM81" s="848"/>
      <c r="CN81" s="848"/>
      <c r="CO81" s="848"/>
      <c r="CP81" s="848"/>
      <c r="CQ81" s="848"/>
      <c r="CR81" s="848"/>
      <c r="CS81" s="848"/>
      <c r="CT81" s="848"/>
      <c r="CU81" s="848"/>
      <c r="CV81" s="848"/>
      <c r="CW81" s="848"/>
      <c r="CX81" s="848"/>
      <c r="CY81" s="848"/>
      <c r="CZ81" s="848"/>
      <c r="DA81" s="848"/>
      <c r="DB81" s="848"/>
      <c r="DC81" s="848"/>
      <c r="DD81" s="848"/>
      <c r="DE81" s="848"/>
      <c r="DF81" s="848"/>
      <c r="DG81" s="848"/>
      <c r="DH81" s="848"/>
      <c r="DI81" s="848"/>
      <c r="DJ81" s="848"/>
    </row>
    <row r="82" spans="1:114" ht="12.75">
      <c r="A82" s="860"/>
      <c r="B82" s="858"/>
      <c r="C82" s="858"/>
      <c r="D82" s="858"/>
      <c r="E82" s="858"/>
      <c r="F82" s="858"/>
      <c r="G82" s="858"/>
      <c r="H82" s="858"/>
      <c r="I82" s="858"/>
      <c r="J82" s="858"/>
      <c r="K82" s="858"/>
      <c r="L82" s="858"/>
      <c r="M82" s="858"/>
      <c r="N82" s="858"/>
      <c r="O82" s="858"/>
      <c r="P82" s="858"/>
      <c r="Q82" s="858"/>
      <c r="R82" s="858"/>
      <c r="S82" s="858"/>
      <c r="T82" s="858"/>
      <c r="U82" s="858"/>
      <c r="V82" s="858"/>
      <c r="W82" s="858"/>
      <c r="X82" s="858"/>
      <c r="Y82" s="858"/>
      <c r="Z82" s="858"/>
      <c r="AA82" s="858"/>
      <c r="AB82" s="858"/>
      <c r="AC82" s="858"/>
      <c r="AD82" s="858"/>
      <c r="AE82" s="858"/>
      <c r="AF82" s="858"/>
      <c r="AG82" s="858"/>
      <c r="AH82" s="859"/>
      <c r="AI82" s="83"/>
      <c r="AJ82" s="83"/>
      <c r="AK82" s="848"/>
      <c r="AL82" s="848"/>
      <c r="AM82" s="848"/>
      <c r="AN82" s="848"/>
      <c r="AO82" s="848"/>
      <c r="AP82" s="848"/>
      <c r="AQ82" s="848"/>
      <c r="AR82" s="848"/>
      <c r="AS82" s="848"/>
      <c r="AT82" s="848"/>
      <c r="AU82" s="848"/>
      <c r="AV82" s="848"/>
      <c r="AW82" s="848"/>
      <c r="AX82" s="848"/>
      <c r="AY82" s="848"/>
      <c r="AZ82" s="848"/>
      <c r="BA82" s="848"/>
      <c r="BB82" s="848"/>
      <c r="BC82" s="848"/>
      <c r="BD82" s="848"/>
      <c r="BE82" s="848"/>
      <c r="BF82" s="848"/>
      <c r="BG82" s="848"/>
      <c r="BH82" s="848"/>
      <c r="BI82" s="848"/>
      <c r="BJ82" s="848"/>
      <c r="BK82" s="848"/>
      <c r="BL82" s="848"/>
      <c r="BM82" s="848"/>
      <c r="BN82" s="848"/>
      <c r="BO82" s="848"/>
      <c r="BP82" s="848"/>
      <c r="BQ82" s="848"/>
      <c r="BR82" s="848"/>
      <c r="BS82" s="848"/>
      <c r="BT82" s="848"/>
      <c r="BU82" s="848"/>
      <c r="BV82" s="848"/>
      <c r="BW82" s="848"/>
      <c r="BX82" s="848"/>
      <c r="BY82" s="848"/>
      <c r="BZ82" s="848"/>
      <c r="CA82" s="848"/>
      <c r="CB82" s="848"/>
      <c r="CC82" s="848"/>
      <c r="CD82" s="848"/>
      <c r="CE82" s="848"/>
      <c r="CF82" s="848"/>
      <c r="CG82" s="848"/>
      <c r="CH82" s="848"/>
      <c r="CI82" s="848"/>
      <c r="CJ82" s="848"/>
      <c r="CK82" s="848"/>
      <c r="CL82" s="848"/>
      <c r="CM82" s="848"/>
      <c r="CN82" s="848"/>
      <c r="CO82" s="848"/>
      <c r="CP82" s="848"/>
      <c r="CQ82" s="848"/>
      <c r="CR82" s="848"/>
      <c r="CS82" s="848"/>
      <c r="CT82" s="848"/>
      <c r="CU82" s="848"/>
      <c r="CV82" s="848"/>
      <c r="CW82" s="848"/>
      <c r="CX82" s="848"/>
      <c r="CY82" s="848"/>
      <c r="CZ82" s="848"/>
      <c r="DA82" s="848"/>
      <c r="DB82" s="848"/>
      <c r="DC82" s="848"/>
      <c r="DD82" s="848"/>
      <c r="DE82" s="848"/>
      <c r="DF82" s="848"/>
      <c r="DG82" s="848"/>
      <c r="DH82" s="848"/>
      <c r="DI82" s="848"/>
      <c r="DJ82" s="848"/>
    </row>
    <row r="83" spans="1:114" s="3" customFormat="1" ht="12.75">
      <c r="A83" s="860"/>
      <c r="B83" s="858"/>
      <c r="C83" s="858"/>
      <c r="D83" s="858"/>
      <c r="E83" s="858"/>
      <c r="F83" s="858"/>
      <c r="G83" s="858"/>
      <c r="H83" s="858"/>
      <c r="I83" s="858"/>
      <c r="J83" s="858"/>
      <c r="K83" s="858"/>
      <c r="L83" s="858"/>
      <c r="M83" s="858"/>
      <c r="N83" s="858"/>
      <c r="O83" s="858"/>
      <c r="P83" s="858"/>
      <c r="Q83" s="858"/>
      <c r="R83" s="858"/>
      <c r="S83" s="858"/>
      <c r="T83" s="858"/>
      <c r="U83" s="858"/>
      <c r="V83" s="858"/>
      <c r="W83" s="858"/>
      <c r="X83" s="858"/>
      <c r="Y83" s="858"/>
      <c r="Z83" s="858"/>
      <c r="AA83" s="858"/>
      <c r="AB83" s="858"/>
      <c r="AC83" s="858"/>
      <c r="AD83" s="858"/>
      <c r="AE83" s="858"/>
      <c r="AF83" s="858"/>
      <c r="AG83" s="858"/>
      <c r="AH83" s="859"/>
      <c r="AI83" s="83"/>
      <c r="AJ83" s="83"/>
      <c r="AK83" s="848"/>
      <c r="AL83" s="848"/>
      <c r="AM83" s="848"/>
      <c r="AN83" s="848"/>
      <c r="AO83" s="848"/>
      <c r="AP83" s="848"/>
      <c r="AQ83" s="848"/>
      <c r="AR83" s="848"/>
      <c r="AS83" s="848"/>
      <c r="AT83" s="848"/>
      <c r="AU83" s="848"/>
      <c r="AV83" s="848"/>
      <c r="AW83" s="848"/>
      <c r="AX83" s="848"/>
      <c r="AY83" s="848"/>
      <c r="AZ83" s="848"/>
      <c r="BA83" s="848"/>
      <c r="BB83" s="848"/>
      <c r="BC83" s="848"/>
      <c r="BD83" s="848"/>
      <c r="BE83" s="848"/>
      <c r="BF83" s="848"/>
      <c r="BG83" s="848"/>
      <c r="BH83" s="848"/>
      <c r="BI83" s="848"/>
      <c r="BJ83" s="848"/>
      <c r="BK83" s="848"/>
      <c r="BL83" s="848"/>
      <c r="BM83" s="848"/>
      <c r="BN83" s="848"/>
      <c r="BO83" s="848"/>
      <c r="BP83" s="848"/>
      <c r="BQ83" s="848"/>
      <c r="BR83" s="848"/>
      <c r="BS83" s="848"/>
      <c r="BT83" s="848"/>
      <c r="BU83" s="848"/>
      <c r="BV83" s="848"/>
      <c r="BW83" s="848"/>
      <c r="BX83" s="848"/>
      <c r="BY83" s="848"/>
      <c r="BZ83" s="848"/>
      <c r="CA83" s="848"/>
      <c r="CB83" s="848"/>
      <c r="CC83" s="848"/>
      <c r="CD83" s="848"/>
      <c r="CE83" s="848"/>
      <c r="CF83" s="848"/>
      <c r="CG83" s="848"/>
      <c r="CH83" s="848"/>
      <c r="CI83" s="848"/>
      <c r="CJ83" s="848"/>
      <c r="CK83" s="848"/>
      <c r="CL83" s="848"/>
      <c r="CM83" s="848"/>
      <c r="CN83" s="848"/>
      <c r="CO83" s="848"/>
      <c r="CP83" s="848"/>
      <c r="CQ83" s="848"/>
      <c r="CR83" s="848"/>
      <c r="CS83" s="848"/>
      <c r="CT83" s="848"/>
      <c r="CU83" s="848"/>
      <c r="CV83" s="848"/>
      <c r="CW83" s="848"/>
      <c r="CX83" s="848"/>
      <c r="CY83" s="848"/>
      <c r="CZ83" s="848"/>
      <c r="DA83" s="848"/>
      <c r="DB83" s="848"/>
      <c r="DC83" s="848"/>
      <c r="DD83" s="848"/>
      <c r="DE83" s="848"/>
      <c r="DF83" s="848"/>
      <c r="DG83" s="848"/>
      <c r="DH83" s="848"/>
      <c r="DI83" s="848"/>
      <c r="DJ83" s="848"/>
    </row>
    <row r="84" spans="1:114" ht="12.75">
      <c r="A84" s="860"/>
      <c r="B84" s="858"/>
      <c r="C84" s="858"/>
      <c r="D84" s="858"/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8"/>
      <c r="R84" s="858"/>
      <c r="S84" s="858"/>
      <c r="T84" s="858"/>
      <c r="U84" s="858"/>
      <c r="V84" s="858"/>
      <c r="W84" s="858"/>
      <c r="X84" s="858"/>
      <c r="Y84" s="858"/>
      <c r="Z84" s="858"/>
      <c r="AA84" s="858"/>
      <c r="AB84" s="858"/>
      <c r="AC84" s="858"/>
      <c r="AD84" s="858"/>
      <c r="AE84" s="858"/>
      <c r="AF84" s="858"/>
      <c r="AG84" s="858"/>
      <c r="AH84" s="859"/>
      <c r="AI84" s="83"/>
      <c r="AJ84" s="83"/>
      <c r="AK84" s="848"/>
      <c r="AL84" s="848"/>
      <c r="AM84" s="848"/>
      <c r="AN84" s="848"/>
      <c r="AO84" s="848"/>
      <c r="AP84" s="848"/>
      <c r="AQ84" s="848"/>
      <c r="AR84" s="848"/>
      <c r="AS84" s="848"/>
      <c r="AT84" s="848"/>
      <c r="AU84" s="848"/>
      <c r="AV84" s="848"/>
      <c r="AW84" s="848"/>
      <c r="AX84" s="848"/>
      <c r="AY84" s="848"/>
      <c r="AZ84" s="848"/>
      <c r="BA84" s="848"/>
      <c r="BB84" s="848"/>
      <c r="BC84" s="848"/>
      <c r="BD84" s="848"/>
      <c r="BE84" s="848"/>
      <c r="BF84" s="848"/>
      <c r="BG84" s="848"/>
      <c r="BH84" s="848"/>
      <c r="BI84" s="848"/>
      <c r="BJ84" s="848"/>
      <c r="BK84" s="848"/>
      <c r="BL84" s="848"/>
      <c r="BM84" s="848"/>
      <c r="BN84" s="848"/>
      <c r="BO84" s="848"/>
      <c r="BP84" s="848"/>
      <c r="BQ84" s="848"/>
      <c r="BR84" s="848"/>
      <c r="BS84" s="848"/>
      <c r="BT84" s="848"/>
      <c r="BU84" s="848"/>
      <c r="BV84" s="848"/>
      <c r="BW84" s="848"/>
      <c r="BX84" s="848"/>
      <c r="BY84" s="848"/>
      <c r="BZ84" s="848"/>
      <c r="CA84" s="848"/>
      <c r="CB84" s="848"/>
      <c r="CC84" s="848"/>
      <c r="CD84" s="848"/>
      <c r="CE84" s="848"/>
      <c r="CF84" s="848"/>
      <c r="CG84" s="848"/>
      <c r="CH84" s="848"/>
      <c r="CI84" s="848"/>
      <c r="CJ84" s="848"/>
      <c r="CK84" s="848"/>
      <c r="CL84" s="848"/>
      <c r="CM84" s="848"/>
      <c r="CN84" s="848"/>
      <c r="CO84" s="848"/>
      <c r="CP84" s="848"/>
      <c r="CQ84" s="848"/>
      <c r="CR84" s="848"/>
      <c r="CS84" s="848"/>
      <c r="CT84" s="848"/>
      <c r="CU84" s="848"/>
      <c r="CV84" s="848"/>
      <c r="CW84" s="848"/>
      <c r="CX84" s="848"/>
      <c r="CY84" s="848"/>
      <c r="CZ84" s="848"/>
      <c r="DA84" s="848"/>
      <c r="DB84" s="848"/>
      <c r="DC84" s="848"/>
      <c r="DD84" s="848"/>
      <c r="DE84" s="848"/>
      <c r="DF84" s="848"/>
      <c r="DG84" s="848"/>
      <c r="DH84" s="848"/>
      <c r="DI84" s="848"/>
      <c r="DJ84" s="848"/>
    </row>
    <row r="85" spans="1:114" ht="12.75">
      <c r="A85" s="860"/>
      <c r="B85" s="858"/>
      <c r="C85" s="858"/>
      <c r="D85" s="858"/>
      <c r="E85" s="858"/>
      <c r="F85" s="858"/>
      <c r="G85" s="858"/>
      <c r="H85" s="858"/>
      <c r="I85" s="858"/>
      <c r="J85" s="858"/>
      <c r="K85" s="858"/>
      <c r="L85" s="858"/>
      <c r="M85" s="858"/>
      <c r="N85" s="858"/>
      <c r="O85" s="858"/>
      <c r="P85" s="858"/>
      <c r="Q85" s="858"/>
      <c r="R85" s="858"/>
      <c r="S85" s="858"/>
      <c r="T85" s="858"/>
      <c r="U85" s="858"/>
      <c r="V85" s="858"/>
      <c r="W85" s="858"/>
      <c r="X85" s="858"/>
      <c r="Y85" s="858"/>
      <c r="Z85" s="858"/>
      <c r="AA85" s="858"/>
      <c r="AB85" s="858"/>
      <c r="AC85" s="858"/>
      <c r="AD85" s="858"/>
      <c r="AE85" s="858"/>
      <c r="AF85" s="858"/>
      <c r="AG85" s="858"/>
      <c r="AH85" s="859"/>
      <c r="AI85" s="83"/>
      <c r="AJ85" s="83"/>
      <c r="AK85" s="848"/>
      <c r="AL85" s="848"/>
      <c r="AM85" s="848"/>
      <c r="AN85" s="848"/>
      <c r="AO85" s="848"/>
      <c r="AP85" s="848"/>
      <c r="AQ85" s="848"/>
      <c r="AR85" s="848"/>
      <c r="AS85" s="848"/>
      <c r="AT85" s="848"/>
      <c r="AU85" s="848"/>
      <c r="AV85" s="848"/>
      <c r="AW85" s="848"/>
      <c r="AX85" s="848"/>
      <c r="AY85" s="848"/>
      <c r="AZ85" s="848"/>
      <c r="BA85" s="848"/>
      <c r="BB85" s="848"/>
      <c r="BC85" s="848"/>
      <c r="BD85" s="848"/>
      <c r="BE85" s="848"/>
      <c r="BF85" s="848"/>
      <c r="BG85" s="848"/>
      <c r="BH85" s="848"/>
      <c r="BI85" s="848"/>
      <c r="BJ85" s="848"/>
      <c r="BK85" s="848"/>
      <c r="BL85" s="848"/>
      <c r="BM85" s="848"/>
      <c r="BN85" s="848"/>
      <c r="BO85" s="848"/>
      <c r="BP85" s="848"/>
      <c r="BQ85" s="848"/>
      <c r="BR85" s="848"/>
      <c r="BS85" s="848"/>
      <c r="BT85" s="848"/>
      <c r="BU85" s="848"/>
      <c r="BV85" s="848"/>
      <c r="BW85" s="848"/>
      <c r="BX85" s="848"/>
      <c r="BY85" s="848"/>
      <c r="BZ85" s="848"/>
      <c r="CA85" s="848"/>
      <c r="CB85" s="848"/>
      <c r="CC85" s="848"/>
      <c r="CD85" s="848"/>
      <c r="CE85" s="848"/>
      <c r="CF85" s="848"/>
      <c r="CG85" s="848"/>
      <c r="CH85" s="848"/>
      <c r="CI85" s="848"/>
      <c r="CJ85" s="848"/>
      <c r="CK85" s="848"/>
      <c r="CL85" s="848"/>
      <c r="CM85" s="848"/>
      <c r="CN85" s="848"/>
      <c r="CO85" s="848"/>
      <c r="CP85" s="848"/>
      <c r="CQ85" s="848"/>
      <c r="CR85" s="848"/>
      <c r="CS85" s="848"/>
      <c r="CT85" s="848"/>
      <c r="CU85" s="848"/>
      <c r="CV85" s="848"/>
      <c r="CW85" s="848"/>
      <c r="CX85" s="848"/>
      <c r="CY85" s="848"/>
      <c r="CZ85" s="848"/>
      <c r="DA85" s="848"/>
      <c r="DB85" s="848"/>
      <c r="DC85" s="848"/>
      <c r="DD85" s="848"/>
      <c r="DE85" s="848"/>
      <c r="DF85" s="848"/>
      <c r="DG85" s="848"/>
      <c r="DH85" s="848"/>
      <c r="DI85" s="848"/>
      <c r="DJ85" s="848"/>
    </row>
    <row r="86" spans="1:114" ht="12.75">
      <c r="A86" s="860"/>
      <c r="B86" s="858"/>
      <c r="C86" s="858"/>
      <c r="D86" s="858"/>
      <c r="E86" s="858"/>
      <c r="F86" s="858"/>
      <c r="G86" s="858"/>
      <c r="H86" s="858"/>
      <c r="I86" s="858"/>
      <c r="J86" s="858"/>
      <c r="K86" s="858"/>
      <c r="L86" s="858"/>
      <c r="M86" s="858"/>
      <c r="N86" s="858"/>
      <c r="O86" s="858"/>
      <c r="P86" s="858"/>
      <c r="Q86" s="858"/>
      <c r="R86" s="858"/>
      <c r="S86" s="858"/>
      <c r="T86" s="858"/>
      <c r="U86" s="858"/>
      <c r="V86" s="858"/>
      <c r="W86" s="858"/>
      <c r="X86" s="858"/>
      <c r="Y86" s="858"/>
      <c r="Z86" s="858"/>
      <c r="AA86" s="858"/>
      <c r="AB86" s="858"/>
      <c r="AC86" s="858"/>
      <c r="AD86" s="858"/>
      <c r="AE86" s="858"/>
      <c r="AF86" s="858"/>
      <c r="AG86" s="858"/>
      <c r="AH86" s="859"/>
      <c r="AI86" s="83"/>
      <c r="AJ86" s="83"/>
      <c r="AK86" s="848"/>
      <c r="AL86" s="848"/>
      <c r="AM86" s="848"/>
      <c r="AN86" s="848"/>
      <c r="AO86" s="848"/>
      <c r="AP86" s="848"/>
      <c r="AQ86" s="848"/>
      <c r="AR86" s="848"/>
      <c r="AS86" s="848"/>
      <c r="AT86" s="848"/>
      <c r="AU86" s="848"/>
      <c r="AV86" s="848"/>
      <c r="AW86" s="848"/>
      <c r="AX86" s="848"/>
      <c r="AY86" s="848"/>
      <c r="AZ86" s="848"/>
      <c r="BA86" s="848"/>
      <c r="BB86" s="848"/>
      <c r="BC86" s="848"/>
      <c r="BD86" s="848"/>
      <c r="BE86" s="848"/>
      <c r="BF86" s="848"/>
      <c r="BG86" s="848"/>
      <c r="BH86" s="848"/>
      <c r="BI86" s="848"/>
      <c r="BJ86" s="848"/>
      <c r="BK86" s="848"/>
      <c r="BL86" s="848"/>
      <c r="BM86" s="848"/>
      <c r="BN86" s="848"/>
      <c r="BO86" s="848"/>
      <c r="BP86" s="848"/>
      <c r="BQ86" s="848"/>
      <c r="BR86" s="848"/>
      <c r="BS86" s="848"/>
      <c r="BT86" s="848"/>
      <c r="BU86" s="848"/>
      <c r="BV86" s="848"/>
      <c r="BW86" s="848"/>
      <c r="BX86" s="848"/>
      <c r="BY86" s="848"/>
      <c r="BZ86" s="848"/>
      <c r="CA86" s="848"/>
      <c r="CB86" s="848"/>
      <c r="CC86" s="848"/>
      <c r="CD86" s="848"/>
      <c r="CE86" s="848"/>
      <c r="CF86" s="848"/>
      <c r="CG86" s="848"/>
      <c r="CH86" s="848"/>
      <c r="CI86" s="848"/>
      <c r="CJ86" s="848"/>
      <c r="CK86" s="848"/>
      <c r="CL86" s="848"/>
      <c r="CM86" s="848"/>
      <c r="CN86" s="848"/>
      <c r="CO86" s="848"/>
      <c r="CP86" s="848"/>
      <c r="CQ86" s="848"/>
      <c r="CR86" s="848"/>
      <c r="CS86" s="848"/>
      <c r="CT86" s="848"/>
      <c r="CU86" s="848"/>
      <c r="CV86" s="848"/>
      <c r="CW86" s="848"/>
      <c r="CX86" s="848"/>
      <c r="CY86" s="848"/>
      <c r="CZ86" s="848"/>
      <c r="DA86" s="848"/>
      <c r="DB86" s="848"/>
      <c r="DC86" s="848"/>
      <c r="DD86" s="848"/>
      <c r="DE86" s="848"/>
      <c r="DF86" s="848"/>
      <c r="DG86" s="848"/>
      <c r="DH86" s="848"/>
      <c r="DI86" s="848"/>
      <c r="DJ86" s="848"/>
    </row>
    <row r="87" spans="1:114" s="3" customFormat="1" ht="12.75">
      <c r="A87" s="860"/>
      <c r="B87" s="858"/>
      <c r="C87" s="858"/>
      <c r="D87" s="858"/>
      <c r="E87" s="858"/>
      <c r="F87" s="858"/>
      <c r="G87" s="858"/>
      <c r="H87" s="858"/>
      <c r="I87" s="858"/>
      <c r="J87" s="858"/>
      <c r="K87" s="858"/>
      <c r="L87" s="858"/>
      <c r="M87" s="858"/>
      <c r="N87" s="858"/>
      <c r="O87" s="858"/>
      <c r="P87" s="858"/>
      <c r="Q87" s="858"/>
      <c r="R87" s="858"/>
      <c r="S87" s="858"/>
      <c r="T87" s="858"/>
      <c r="U87" s="858"/>
      <c r="V87" s="858"/>
      <c r="W87" s="858"/>
      <c r="X87" s="858"/>
      <c r="Y87" s="858"/>
      <c r="Z87" s="858"/>
      <c r="AA87" s="858"/>
      <c r="AB87" s="858"/>
      <c r="AC87" s="858"/>
      <c r="AD87" s="858"/>
      <c r="AE87" s="858"/>
      <c r="AF87" s="858"/>
      <c r="AG87" s="858"/>
      <c r="AH87" s="859"/>
      <c r="AI87" s="83"/>
      <c r="AJ87" s="83"/>
      <c r="AK87" s="848"/>
      <c r="AL87" s="848"/>
      <c r="AM87" s="848"/>
      <c r="AN87" s="848"/>
      <c r="AO87" s="848"/>
      <c r="AP87" s="848"/>
      <c r="AQ87" s="848"/>
      <c r="AR87" s="848"/>
      <c r="AS87" s="848"/>
      <c r="AT87" s="848"/>
      <c r="AU87" s="848"/>
      <c r="AV87" s="848"/>
      <c r="AW87" s="848"/>
      <c r="AX87" s="848"/>
      <c r="AY87" s="848"/>
      <c r="AZ87" s="848"/>
      <c r="BA87" s="848"/>
      <c r="BB87" s="848"/>
      <c r="BC87" s="848"/>
      <c r="BD87" s="848"/>
      <c r="BE87" s="848"/>
      <c r="BF87" s="848"/>
      <c r="BG87" s="848"/>
      <c r="BH87" s="848"/>
      <c r="BI87" s="848"/>
      <c r="BJ87" s="848"/>
      <c r="BK87" s="848"/>
      <c r="BL87" s="848"/>
      <c r="BM87" s="848"/>
      <c r="BN87" s="848"/>
      <c r="BO87" s="848"/>
      <c r="BP87" s="848"/>
      <c r="BQ87" s="848"/>
      <c r="BR87" s="848"/>
      <c r="BS87" s="848"/>
      <c r="BT87" s="848"/>
      <c r="BU87" s="848"/>
      <c r="BV87" s="848"/>
      <c r="BW87" s="848"/>
      <c r="BX87" s="848"/>
      <c r="BY87" s="848"/>
      <c r="BZ87" s="848"/>
      <c r="CA87" s="848"/>
      <c r="CB87" s="848"/>
      <c r="CC87" s="848"/>
      <c r="CD87" s="848"/>
      <c r="CE87" s="848"/>
      <c r="CF87" s="848"/>
      <c r="CG87" s="848"/>
      <c r="CH87" s="848"/>
      <c r="CI87" s="848"/>
      <c r="CJ87" s="848"/>
      <c r="CK87" s="848"/>
      <c r="CL87" s="848"/>
      <c r="CM87" s="848"/>
      <c r="CN87" s="848"/>
      <c r="CO87" s="848"/>
      <c r="CP87" s="848"/>
      <c r="CQ87" s="848"/>
      <c r="CR87" s="848"/>
      <c r="CS87" s="848"/>
      <c r="CT87" s="848"/>
      <c r="CU87" s="848"/>
      <c r="CV87" s="848"/>
      <c r="CW87" s="848"/>
      <c r="CX87" s="848"/>
      <c r="CY87" s="848"/>
      <c r="CZ87" s="848"/>
      <c r="DA87" s="848"/>
      <c r="DB87" s="848"/>
      <c r="DC87" s="848"/>
      <c r="DD87" s="848"/>
      <c r="DE87" s="848"/>
      <c r="DF87" s="848"/>
      <c r="DG87" s="848"/>
      <c r="DH87" s="848"/>
      <c r="DI87" s="848"/>
      <c r="DJ87" s="848"/>
    </row>
    <row r="88" spans="1:114" s="4" customFormat="1" ht="12.75">
      <c r="A88" s="860"/>
      <c r="B88" s="858"/>
      <c r="C88" s="858"/>
      <c r="D88" s="858"/>
      <c r="E88" s="858"/>
      <c r="F88" s="858"/>
      <c r="G88" s="858"/>
      <c r="H88" s="858"/>
      <c r="I88" s="858"/>
      <c r="J88" s="858"/>
      <c r="K88" s="858"/>
      <c r="L88" s="858"/>
      <c r="M88" s="858"/>
      <c r="N88" s="858"/>
      <c r="O88" s="858"/>
      <c r="P88" s="858"/>
      <c r="Q88" s="858"/>
      <c r="R88" s="858"/>
      <c r="S88" s="858"/>
      <c r="T88" s="858"/>
      <c r="U88" s="858"/>
      <c r="V88" s="858"/>
      <c r="W88" s="858"/>
      <c r="X88" s="858"/>
      <c r="Y88" s="858"/>
      <c r="Z88" s="858"/>
      <c r="AA88" s="858"/>
      <c r="AB88" s="858"/>
      <c r="AC88" s="858"/>
      <c r="AD88" s="858"/>
      <c r="AE88" s="858"/>
      <c r="AF88" s="858"/>
      <c r="AG88" s="858"/>
      <c r="AH88" s="859"/>
      <c r="AI88" s="83"/>
      <c r="AJ88" s="83"/>
      <c r="AK88" s="848"/>
      <c r="AL88" s="848"/>
      <c r="AM88" s="848"/>
      <c r="AN88" s="848"/>
      <c r="AO88" s="848"/>
      <c r="AP88" s="848"/>
      <c r="AQ88" s="848"/>
      <c r="AR88" s="848"/>
      <c r="AS88" s="848"/>
      <c r="AT88" s="848"/>
      <c r="AU88" s="848"/>
      <c r="AV88" s="848"/>
      <c r="AW88" s="848"/>
      <c r="AX88" s="848"/>
      <c r="AY88" s="848"/>
      <c r="AZ88" s="848"/>
      <c r="BA88" s="848"/>
      <c r="BB88" s="848"/>
      <c r="BC88" s="848"/>
      <c r="BD88" s="848"/>
      <c r="BE88" s="848"/>
      <c r="BF88" s="848"/>
      <c r="BG88" s="848"/>
      <c r="BH88" s="848"/>
      <c r="BI88" s="848"/>
      <c r="BJ88" s="848"/>
      <c r="BK88" s="848"/>
      <c r="BL88" s="848"/>
      <c r="BM88" s="848"/>
      <c r="BN88" s="848"/>
      <c r="BO88" s="848"/>
      <c r="BP88" s="848"/>
      <c r="BQ88" s="848"/>
      <c r="BR88" s="848"/>
      <c r="BS88" s="848"/>
      <c r="BT88" s="848"/>
      <c r="BU88" s="848"/>
      <c r="BV88" s="848"/>
      <c r="BW88" s="848"/>
      <c r="BX88" s="848"/>
      <c r="BY88" s="848"/>
      <c r="BZ88" s="848"/>
      <c r="CA88" s="848"/>
      <c r="CB88" s="848"/>
      <c r="CC88" s="848"/>
      <c r="CD88" s="848"/>
      <c r="CE88" s="848"/>
      <c r="CF88" s="848"/>
      <c r="CG88" s="848"/>
      <c r="CH88" s="848"/>
      <c r="CI88" s="848"/>
      <c r="CJ88" s="848"/>
      <c r="CK88" s="848"/>
      <c r="CL88" s="848"/>
      <c r="CM88" s="848"/>
      <c r="CN88" s="848"/>
      <c r="CO88" s="848"/>
      <c r="CP88" s="848"/>
      <c r="CQ88" s="848"/>
      <c r="CR88" s="848"/>
      <c r="CS88" s="848"/>
      <c r="CT88" s="848"/>
      <c r="CU88" s="848"/>
      <c r="CV88" s="848"/>
      <c r="CW88" s="848"/>
      <c r="CX88" s="848"/>
      <c r="CY88" s="848"/>
      <c r="CZ88" s="848"/>
      <c r="DA88" s="848"/>
      <c r="DB88" s="848"/>
      <c r="DC88" s="848"/>
      <c r="DD88" s="848"/>
      <c r="DE88" s="848"/>
      <c r="DF88" s="848"/>
      <c r="DG88" s="848"/>
      <c r="DH88" s="848"/>
      <c r="DI88" s="848"/>
      <c r="DJ88" s="848"/>
    </row>
    <row r="89" spans="1:114" ht="12.75">
      <c r="A89" s="860"/>
      <c r="B89" s="858"/>
      <c r="C89" s="858"/>
      <c r="D89" s="858"/>
      <c r="E89" s="858"/>
      <c r="F89" s="858"/>
      <c r="G89" s="858"/>
      <c r="H89" s="858"/>
      <c r="I89" s="858"/>
      <c r="J89" s="858"/>
      <c r="K89" s="858"/>
      <c r="L89" s="858"/>
      <c r="M89" s="858"/>
      <c r="N89" s="858"/>
      <c r="O89" s="858"/>
      <c r="P89" s="858"/>
      <c r="Q89" s="858"/>
      <c r="R89" s="858"/>
      <c r="S89" s="858"/>
      <c r="T89" s="858"/>
      <c r="U89" s="858"/>
      <c r="V89" s="858"/>
      <c r="W89" s="858"/>
      <c r="X89" s="858"/>
      <c r="Y89" s="858"/>
      <c r="Z89" s="858"/>
      <c r="AA89" s="858"/>
      <c r="AB89" s="858"/>
      <c r="AC89" s="858"/>
      <c r="AD89" s="858"/>
      <c r="AE89" s="858"/>
      <c r="AF89" s="858"/>
      <c r="AG89" s="858"/>
      <c r="AH89" s="859"/>
      <c r="AI89" s="83"/>
      <c r="AJ89" s="83"/>
      <c r="AK89" s="848"/>
      <c r="AL89" s="848"/>
      <c r="AM89" s="848"/>
      <c r="AN89" s="848"/>
      <c r="AO89" s="848"/>
      <c r="AP89" s="848"/>
      <c r="AQ89" s="848"/>
      <c r="AR89" s="848"/>
      <c r="AS89" s="848"/>
      <c r="AT89" s="848"/>
      <c r="AU89" s="848"/>
      <c r="AV89" s="848"/>
      <c r="AW89" s="848"/>
      <c r="AX89" s="848"/>
      <c r="AY89" s="848"/>
      <c r="AZ89" s="848"/>
      <c r="BA89" s="848"/>
      <c r="BB89" s="848"/>
      <c r="BC89" s="848"/>
      <c r="BD89" s="848"/>
      <c r="BE89" s="848"/>
      <c r="BF89" s="848"/>
      <c r="BG89" s="848"/>
      <c r="BH89" s="848"/>
      <c r="BI89" s="848"/>
      <c r="BJ89" s="848"/>
      <c r="BK89" s="848"/>
      <c r="BL89" s="848"/>
      <c r="BM89" s="848"/>
      <c r="BN89" s="848"/>
      <c r="BO89" s="848"/>
      <c r="BP89" s="848"/>
      <c r="BQ89" s="848"/>
      <c r="BR89" s="848"/>
      <c r="BS89" s="848"/>
      <c r="BT89" s="848"/>
      <c r="BU89" s="848"/>
      <c r="BV89" s="848"/>
      <c r="BW89" s="848"/>
      <c r="BX89" s="848"/>
      <c r="BY89" s="848"/>
      <c r="BZ89" s="848"/>
      <c r="CA89" s="848"/>
      <c r="CB89" s="848"/>
      <c r="CC89" s="848"/>
      <c r="CD89" s="848"/>
      <c r="CE89" s="848"/>
      <c r="CF89" s="848"/>
      <c r="CG89" s="848"/>
      <c r="CH89" s="848"/>
      <c r="CI89" s="848"/>
      <c r="CJ89" s="848"/>
      <c r="CK89" s="848"/>
      <c r="CL89" s="848"/>
      <c r="CM89" s="848"/>
      <c r="CN89" s="848"/>
      <c r="CO89" s="848"/>
      <c r="CP89" s="848"/>
      <c r="CQ89" s="848"/>
      <c r="CR89" s="848"/>
      <c r="CS89" s="848"/>
      <c r="CT89" s="848"/>
      <c r="CU89" s="848"/>
      <c r="CV89" s="848"/>
      <c r="CW89" s="848"/>
      <c r="CX89" s="848"/>
      <c r="CY89" s="848"/>
      <c r="CZ89" s="848"/>
      <c r="DA89" s="848"/>
      <c r="DB89" s="848"/>
      <c r="DC89" s="848"/>
      <c r="DD89" s="848"/>
      <c r="DE89" s="848"/>
      <c r="DF89" s="848"/>
      <c r="DG89" s="848"/>
      <c r="DH89" s="848"/>
      <c r="DI89" s="848"/>
      <c r="DJ89" s="848"/>
    </row>
    <row r="90" spans="1:114" ht="12.75">
      <c r="A90" s="860"/>
      <c r="B90" s="858"/>
      <c r="C90" s="858"/>
      <c r="D90" s="858"/>
      <c r="E90" s="858"/>
      <c r="F90" s="858"/>
      <c r="G90" s="858"/>
      <c r="H90" s="858"/>
      <c r="I90" s="858"/>
      <c r="J90" s="858"/>
      <c r="K90" s="858"/>
      <c r="L90" s="858"/>
      <c r="M90" s="858"/>
      <c r="N90" s="858"/>
      <c r="O90" s="858"/>
      <c r="P90" s="858"/>
      <c r="Q90" s="858"/>
      <c r="R90" s="858"/>
      <c r="S90" s="858"/>
      <c r="T90" s="858"/>
      <c r="U90" s="858"/>
      <c r="V90" s="858"/>
      <c r="W90" s="858"/>
      <c r="X90" s="858"/>
      <c r="Y90" s="858"/>
      <c r="Z90" s="858"/>
      <c r="AA90" s="858"/>
      <c r="AB90" s="858"/>
      <c r="AC90" s="858"/>
      <c r="AD90" s="858"/>
      <c r="AE90" s="858"/>
      <c r="AF90" s="858"/>
      <c r="AG90" s="858"/>
      <c r="AH90" s="859"/>
      <c r="AI90" s="83"/>
      <c r="AJ90" s="83"/>
      <c r="AK90" s="848"/>
      <c r="AL90" s="848"/>
      <c r="AM90" s="848"/>
      <c r="AN90" s="848"/>
      <c r="AO90" s="848"/>
      <c r="AP90" s="848"/>
      <c r="AQ90" s="848"/>
      <c r="AR90" s="848"/>
      <c r="AS90" s="848"/>
      <c r="AT90" s="848"/>
      <c r="AU90" s="848"/>
      <c r="AV90" s="848"/>
      <c r="AW90" s="848"/>
      <c r="AX90" s="848"/>
      <c r="AY90" s="848"/>
      <c r="AZ90" s="848"/>
      <c r="BA90" s="848"/>
      <c r="BB90" s="848"/>
      <c r="BC90" s="848"/>
      <c r="BD90" s="848"/>
      <c r="BE90" s="848"/>
      <c r="BF90" s="848"/>
      <c r="BG90" s="848"/>
      <c r="BH90" s="848"/>
      <c r="BI90" s="848"/>
      <c r="BJ90" s="848"/>
      <c r="BK90" s="848"/>
      <c r="BL90" s="848"/>
      <c r="BM90" s="848"/>
      <c r="BN90" s="848"/>
      <c r="BO90" s="848"/>
      <c r="BP90" s="848"/>
      <c r="BQ90" s="848"/>
      <c r="BR90" s="848"/>
      <c r="BS90" s="848"/>
      <c r="BT90" s="848"/>
      <c r="BU90" s="848"/>
      <c r="BV90" s="848"/>
      <c r="BW90" s="848"/>
      <c r="BX90" s="848"/>
      <c r="BY90" s="848"/>
      <c r="BZ90" s="848"/>
      <c r="CA90" s="848"/>
      <c r="CB90" s="848"/>
      <c r="CC90" s="848"/>
      <c r="CD90" s="848"/>
      <c r="CE90" s="848"/>
      <c r="CF90" s="848"/>
      <c r="CG90" s="848"/>
      <c r="CH90" s="848"/>
      <c r="CI90" s="848"/>
      <c r="CJ90" s="848"/>
      <c r="CK90" s="848"/>
      <c r="CL90" s="848"/>
      <c r="CM90" s="848"/>
      <c r="CN90" s="848"/>
      <c r="CO90" s="848"/>
      <c r="CP90" s="848"/>
      <c r="CQ90" s="848"/>
      <c r="CR90" s="848"/>
      <c r="CS90" s="848"/>
      <c r="CT90" s="848"/>
      <c r="CU90" s="848"/>
      <c r="CV90" s="848"/>
      <c r="CW90" s="848"/>
      <c r="CX90" s="848"/>
      <c r="CY90" s="848"/>
      <c r="CZ90" s="848"/>
      <c r="DA90" s="848"/>
      <c r="DB90" s="848"/>
      <c r="DC90" s="848"/>
      <c r="DD90" s="848"/>
      <c r="DE90" s="848"/>
      <c r="DF90" s="848"/>
      <c r="DG90" s="848"/>
      <c r="DH90" s="848"/>
      <c r="DI90" s="848"/>
      <c r="DJ90" s="848"/>
    </row>
    <row r="91" spans="1:114" s="3" customFormat="1" ht="12.75">
      <c r="A91" s="860"/>
      <c r="B91" s="858"/>
      <c r="C91" s="858"/>
      <c r="D91" s="858"/>
      <c r="E91" s="858"/>
      <c r="F91" s="858"/>
      <c r="G91" s="858"/>
      <c r="H91" s="858"/>
      <c r="I91" s="858"/>
      <c r="J91" s="858"/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858"/>
      <c r="X91" s="858"/>
      <c r="Y91" s="858"/>
      <c r="Z91" s="858"/>
      <c r="AA91" s="858"/>
      <c r="AB91" s="858"/>
      <c r="AC91" s="858"/>
      <c r="AD91" s="858"/>
      <c r="AE91" s="858"/>
      <c r="AF91" s="858"/>
      <c r="AG91" s="858"/>
      <c r="AH91" s="859"/>
      <c r="AI91" s="83"/>
      <c r="AJ91" s="83"/>
      <c r="AK91" s="848"/>
      <c r="AL91" s="848"/>
      <c r="AM91" s="848"/>
      <c r="AN91" s="848"/>
      <c r="AO91" s="848"/>
      <c r="AP91" s="848"/>
      <c r="AQ91" s="848"/>
      <c r="AR91" s="848"/>
      <c r="AS91" s="848"/>
      <c r="AT91" s="848"/>
      <c r="AU91" s="848"/>
      <c r="AV91" s="848"/>
      <c r="AW91" s="848"/>
      <c r="AX91" s="848"/>
      <c r="AY91" s="848"/>
      <c r="AZ91" s="848"/>
      <c r="BA91" s="848"/>
      <c r="BB91" s="848"/>
      <c r="BC91" s="848"/>
      <c r="BD91" s="848"/>
      <c r="BE91" s="848"/>
      <c r="BF91" s="848"/>
      <c r="BG91" s="848"/>
      <c r="BH91" s="848"/>
      <c r="BI91" s="848"/>
      <c r="BJ91" s="848"/>
      <c r="BK91" s="848"/>
      <c r="BL91" s="848"/>
      <c r="BM91" s="848"/>
      <c r="BN91" s="848"/>
      <c r="BO91" s="848"/>
      <c r="BP91" s="848"/>
      <c r="BQ91" s="848"/>
      <c r="BR91" s="848"/>
      <c r="BS91" s="848"/>
      <c r="BT91" s="848"/>
      <c r="BU91" s="848"/>
      <c r="BV91" s="848"/>
      <c r="BW91" s="848"/>
      <c r="BX91" s="848"/>
      <c r="BY91" s="848"/>
      <c r="BZ91" s="848"/>
      <c r="CA91" s="848"/>
      <c r="CB91" s="848"/>
      <c r="CC91" s="848"/>
      <c r="CD91" s="848"/>
      <c r="CE91" s="848"/>
      <c r="CF91" s="848"/>
      <c r="CG91" s="848"/>
      <c r="CH91" s="848"/>
      <c r="CI91" s="848"/>
      <c r="CJ91" s="848"/>
      <c r="CK91" s="848"/>
      <c r="CL91" s="848"/>
      <c r="CM91" s="848"/>
      <c r="CN91" s="848"/>
      <c r="CO91" s="848"/>
      <c r="CP91" s="848"/>
      <c r="CQ91" s="848"/>
      <c r="CR91" s="848"/>
      <c r="CS91" s="848"/>
      <c r="CT91" s="848"/>
      <c r="CU91" s="848"/>
      <c r="CV91" s="848"/>
      <c r="CW91" s="848"/>
      <c r="CX91" s="848"/>
      <c r="CY91" s="848"/>
      <c r="CZ91" s="848"/>
      <c r="DA91" s="848"/>
      <c r="DB91" s="848"/>
      <c r="DC91" s="848"/>
      <c r="DD91" s="848"/>
      <c r="DE91" s="848"/>
      <c r="DF91" s="848"/>
      <c r="DG91" s="848"/>
      <c r="DH91" s="848"/>
      <c r="DI91" s="848"/>
      <c r="DJ91" s="848"/>
    </row>
    <row r="92" spans="1:114" s="4" customFormat="1" ht="12.75">
      <c r="A92" s="860"/>
      <c r="B92" s="858"/>
      <c r="C92" s="858"/>
      <c r="D92" s="858"/>
      <c r="E92" s="858"/>
      <c r="F92" s="858"/>
      <c r="G92" s="858"/>
      <c r="H92" s="858"/>
      <c r="I92" s="858"/>
      <c r="J92" s="858"/>
      <c r="K92" s="858"/>
      <c r="L92" s="858"/>
      <c r="M92" s="858"/>
      <c r="N92" s="858"/>
      <c r="O92" s="858"/>
      <c r="P92" s="858"/>
      <c r="Q92" s="858"/>
      <c r="R92" s="858"/>
      <c r="S92" s="858"/>
      <c r="T92" s="858"/>
      <c r="U92" s="858"/>
      <c r="V92" s="858"/>
      <c r="W92" s="858"/>
      <c r="X92" s="858"/>
      <c r="Y92" s="858"/>
      <c r="Z92" s="858"/>
      <c r="AA92" s="858"/>
      <c r="AB92" s="858"/>
      <c r="AC92" s="858"/>
      <c r="AD92" s="858"/>
      <c r="AE92" s="858"/>
      <c r="AF92" s="858"/>
      <c r="AG92" s="858"/>
      <c r="AH92" s="859"/>
      <c r="AI92" s="83"/>
      <c r="AJ92" s="83"/>
      <c r="AK92" s="848"/>
      <c r="AL92" s="848"/>
      <c r="AM92" s="848"/>
      <c r="AN92" s="848"/>
      <c r="AO92" s="848"/>
      <c r="AP92" s="848"/>
      <c r="AQ92" s="848"/>
      <c r="AR92" s="848"/>
      <c r="AS92" s="848"/>
      <c r="AT92" s="848"/>
      <c r="AU92" s="848"/>
      <c r="AV92" s="848"/>
      <c r="AW92" s="848"/>
      <c r="AX92" s="848"/>
      <c r="AY92" s="848"/>
      <c r="AZ92" s="848"/>
      <c r="BA92" s="848"/>
      <c r="BB92" s="848"/>
      <c r="BC92" s="848"/>
      <c r="BD92" s="848"/>
      <c r="BE92" s="848"/>
      <c r="BF92" s="848"/>
      <c r="BG92" s="848"/>
      <c r="BH92" s="848"/>
      <c r="BI92" s="848"/>
      <c r="BJ92" s="848"/>
      <c r="BK92" s="848"/>
      <c r="BL92" s="848"/>
      <c r="BM92" s="848"/>
      <c r="BN92" s="848"/>
      <c r="BO92" s="848"/>
      <c r="BP92" s="848"/>
      <c r="BQ92" s="848"/>
      <c r="BR92" s="848"/>
      <c r="BS92" s="848"/>
      <c r="BT92" s="848"/>
      <c r="BU92" s="848"/>
      <c r="BV92" s="848"/>
      <c r="BW92" s="848"/>
      <c r="BX92" s="848"/>
      <c r="BY92" s="848"/>
      <c r="BZ92" s="848"/>
      <c r="CA92" s="848"/>
      <c r="CB92" s="848"/>
      <c r="CC92" s="848"/>
      <c r="CD92" s="848"/>
      <c r="CE92" s="848"/>
      <c r="CF92" s="848"/>
      <c r="CG92" s="848"/>
      <c r="CH92" s="848"/>
      <c r="CI92" s="848"/>
      <c r="CJ92" s="848"/>
      <c r="CK92" s="848"/>
      <c r="CL92" s="848"/>
      <c r="CM92" s="848"/>
      <c r="CN92" s="848"/>
      <c r="CO92" s="848"/>
      <c r="CP92" s="848"/>
      <c r="CQ92" s="848"/>
      <c r="CR92" s="848"/>
      <c r="CS92" s="848"/>
      <c r="CT92" s="848"/>
      <c r="CU92" s="848"/>
      <c r="CV92" s="848"/>
      <c r="CW92" s="848"/>
      <c r="CX92" s="848"/>
      <c r="CY92" s="848"/>
      <c r="CZ92" s="848"/>
      <c r="DA92" s="848"/>
      <c r="DB92" s="848"/>
      <c r="DC92" s="848"/>
      <c r="DD92" s="848"/>
      <c r="DE92" s="848"/>
      <c r="DF92" s="848"/>
      <c r="DG92" s="848"/>
      <c r="DH92" s="848"/>
      <c r="DI92" s="848"/>
      <c r="DJ92" s="848"/>
    </row>
    <row r="93" spans="1:114" ht="12.75">
      <c r="A93" s="860"/>
      <c r="B93" s="858"/>
      <c r="C93" s="858"/>
      <c r="D93" s="858"/>
      <c r="E93" s="858"/>
      <c r="F93" s="858"/>
      <c r="G93" s="858"/>
      <c r="H93" s="858"/>
      <c r="I93" s="858"/>
      <c r="J93" s="858"/>
      <c r="K93" s="858"/>
      <c r="L93" s="858"/>
      <c r="M93" s="858"/>
      <c r="N93" s="858"/>
      <c r="O93" s="858"/>
      <c r="P93" s="858"/>
      <c r="Q93" s="858"/>
      <c r="R93" s="858"/>
      <c r="S93" s="858"/>
      <c r="T93" s="858"/>
      <c r="U93" s="858"/>
      <c r="V93" s="858"/>
      <c r="W93" s="858"/>
      <c r="X93" s="858"/>
      <c r="Y93" s="858"/>
      <c r="Z93" s="858"/>
      <c r="AA93" s="858"/>
      <c r="AB93" s="858"/>
      <c r="AC93" s="858"/>
      <c r="AD93" s="858"/>
      <c r="AE93" s="858"/>
      <c r="AF93" s="858"/>
      <c r="AG93" s="858"/>
      <c r="AH93" s="859"/>
      <c r="AI93" s="83"/>
      <c r="AJ93" s="83"/>
      <c r="AK93" s="848"/>
      <c r="AL93" s="848"/>
      <c r="AM93" s="848"/>
      <c r="AN93" s="848"/>
      <c r="AO93" s="848"/>
      <c r="AP93" s="848"/>
      <c r="AQ93" s="848"/>
      <c r="AR93" s="848"/>
      <c r="AS93" s="848"/>
      <c r="AT93" s="848"/>
      <c r="AU93" s="848"/>
      <c r="AV93" s="848"/>
      <c r="AW93" s="848"/>
      <c r="AX93" s="848"/>
      <c r="AY93" s="848"/>
      <c r="AZ93" s="848"/>
      <c r="BA93" s="848"/>
      <c r="BB93" s="848"/>
      <c r="BC93" s="848"/>
      <c r="BD93" s="848"/>
      <c r="BE93" s="848"/>
      <c r="BF93" s="848"/>
      <c r="BG93" s="848"/>
      <c r="BH93" s="848"/>
      <c r="BI93" s="848"/>
      <c r="BJ93" s="848"/>
      <c r="BK93" s="848"/>
      <c r="BL93" s="848"/>
      <c r="BM93" s="848"/>
      <c r="BN93" s="848"/>
      <c r="BO93" s="848"/>
      <c r="BP93" s="848"/>
      <c r="BQ93" s="848"/>
      <c r="BR93" s="848"/>
      <c r="BS93" s="848"/>
      <c r="BT93" s="848"/>
      <c r="BU93" s="848"/>
      <c r="BV93" s="848"/>
      <c r="BW93" s="848"/>
      <c r="BX93" s="848"/>
      <c r="BY93" s="848"/>
      <c r="BZ93" s="848"/>
      <c r="CA93" s="848"/>
      <c r="CB93" s="848"/>
      <c r="CC93" s="848"/>
      <c r="CD93" s="848"/>
      <c r="CE93" s="848"/>
      <c r="CF93" s="848"/>
      <c r="CG93" s="848"/>
      <c r="CH93" s="848"/>
      <c r="CI93" s="848"/>
      <c r="CJ93" s="848"/>
      <c r="CK93" s="848"/>
      <c r="CL93" s="848"/>
      <c r="CM93" s="848"/>
      <c r="CN93" s="848"/>
      <c r="CO93" s="848"/>
      <c r="CP93" s="848"/>
      <c r="CQ93" s="848"/>
      <c r="CR93" s="848"/>
      <c r="CS93" s="848"/>
      <c r="CT93" s="848"/>
      <c r="CU93" s="848"/>
      <c r="CV93" s="848"/>
      <c r="CW93" s="848"/>
      <c r="CX93" s="848"/>
      <c r="CY93" s="848"/>
      <c r="CZ93" s="848"/>
      <c r="DA93" s="848"/>
      <c r="DB93" s="848"/>
      <c r="DC93" s="848"/>
      <c r="DD93" s="848"/>
      <c r="DE93" s="848"/>
      <c r="DF93" s="848"/>
      <c r="DG93" s="848"/>
      <c r="DH93" s="848"/>
      <c r="DI93" s="848"/>
      <c r="DJ93" s="848"/>
    </row>
    <row r="94" spans="1:114" ht="12.75">
      <c r="A94" s="860"/>
      <c r="B94" s="858"/>
      <c r="C94" s="858"/>
      <c r="D94" s="858"/>
      <c r="E94" s="858"/>
      <c r="F94" s="858"/>
      <c r="G94" s="858"/>
      <c r="H94" s="858"/>
      <c r="I94" s="858"/>
      <c r="J94" s="858"/>
      <c r="K94" s="858"/>
      <c r="L94" s="858"/>
      <c r="M94" s="858"/>
      <c r="N94" s="858"/>
      <c r="O94" s="858"/>
      <c r="P94" s="858"/>
      <c r="Q94" s="858"/>
      <c r="R94" s="858"/>
      <c r="S94" s="858"/>
      <c r="T94" s="858"/>
      <c r="U94" s="858"/>
      <c r="V94" s="858"/>
      <c r="W94" s="858"/>
      <c r="X94" s="858"/>
      <c r="Y94" s="858"/>
      <c r="Z94" s="858"/>
      <c r="AA94" s="858"/>
      <c r="AB94" s="858"/>
      <c r="AC94" s="858"/>
      <c r="AD94" s="858"/>
      <c r="AE94" s="858"/>
      <c r="AF94" s="858"/>
      <c r="AG94" s="858"/>
      <c r="AH94" s="859"/>
      <c r="AI94" s="83"/>
      <c r="AJ94" s="83"/>
      <c r="AK94" s="848"/>
      <c r="AL94" s="848"/>
      <c r="AM94" s="848"/>
      <c r="AN94" s="848"/>
      <c r="AO94" s="848"/>
      <c r="AP94" s="848"/>
      <c r="AQ94" s="848"/>
      <c r="AR94" s="848"/>
      <c r="AS94" s="848"/>
      <c r="AT94" s="848"/>
      <c r="AU94" s="848"/>
      <c r="AV94" s="848"/>
      <c r="AW94" s="848"/>
      <c r="AX94" s="848"/>
      <c r="AY94" s="848"/>
      <c r="AZ94" s="848"/>
      <c r="BA94" s="848"/>
      <c r="BB94" s="848"/>
      <c r="BC94" s="848"/>
      <c r="BD94" s="848"/>
      <c r="BE94" s="848"/>
      <c r="BF94" s="848"/>
      <c r="BG94" s="848"/>
      <c r="BH94" s="848"/>
      <c r="BI94" s="848"/>
      <c r="BJ94" s="848"/>
      <c r="BK94" s="848"/>
      <c r="BL94" s="848"/>
      <c r="BM94" s="848"/>
      <c r="BN94" s="848"/>
      <c r="BO94" s="848"/>
      <c r="BP94" s="848"/>
      <c r="BQ94" s="848"/>
      <c r="BR94" s="848"/>
      <c r="BS94" s="848"/>
      <c r="BT94" s="848"/>
      <c r="BU94" s="848"/>
      <c r="BV94" s="848"/>
      <c r="BW94" s="848"/>
      <c r="BX94" s="848"/>
      <c r="BY94" s="848"/>
      <c r="BZ94" s="848"/>
      <c r="CA94" s="848"/>
      <c r="CB94" s="848"/>
      <c r="CC94" s="848"/>
      <c r="CD94" s="848"/>
      <c r="CE94" s="848"/>
      <c r="CF94" s="848"/>
      <c r="CG94" s="848"/>
      <c r="CH94" s="848"/>
      <c r="CI94" s="848"/>
      <c r="CJ94" s="848"/>
      <c r="CK94" s="848"/>
      <c r="CL94" s="848"/>
      <c r="CM94" s="848"/>
      <c r="CN94" s="848"/>
      <c r="CO94" s="848"/>
      <c r="CP94" s="848"/>
      <c r="CQ94" s="848"/>
      <c r="CR94" s="848"/>
      <c r="CS94" s="848"/>
      <c r="CT94" s="848"/>
      <c r="CU94" s="848"/>
      <c r="CV94" s="848"/>
      <c r="CW94" s="848"/>
      <c r="CX94" s="848"/>
      <c r="CY94" s="848"/>
      <c r="CZ94" s="848"/>
      <c r="DA94" s="848"/>
      <c r="DB94" s="848"/>
      <c r="DC94" s="848"/>
      <c r="DD94" s="848"/>
      <c r="DE94" s="848"/>
      <c r="DF94" s="848"/>
      <c r="DG94" s="848"/>
      <c r="DH94" s="848"/>
      <c r="DI94" s="848"/>
      <c r="DJ94" s="848"/>
    </row>
    <row r="95" spans="1:114" s="3" customFormat="1" ht="12.75">
      <c r="A95" s="860"/>
      <c r="B95" s="858"/>
      <c r="C95" s="858"/>
      <c r="D95" s="858"/>
      <c r="E95" s="858"/>
      <c r="F95" s="858"/>
      <c r="G95" s="858"/>
      <c r="H95" s="858"/>
      <c r="I95" s="858"/>
      <c r="J95" s="858"/>
      <c r="K95" s="858"/>
      <c r="L95" s="858"/>
      <c r="M95" s="858"/>
      <c r="N95" s="858"/>
      <c r="O95" s="858"/>
      <c r="P95" s="858"/>
      <c r="Q95" s="858"/>
      <c r="R95" s="858"/>
      <c r="S95" s="858"/>
      <c r="T95" s="858"/>
      <c r="U95" s="858"/>
      <c r="V95" s="858"/>
      <c r="W95" s="858"/>
      <c r="X95" s="858"/>
      <c r="Y95" s="858"/>
      <c r="Z95" s="858"/>
      <c r="AA95" s="858"/>
      <c r="AB95" s="858"/>
      <c r="AC95" s="858"/>
      <c r="AD95" s="858"/>
      <c r="AE95" s="858"/>
      <c r="AF95" s="858"/>
      <c r="AG95" s="858"/>
      <c r="AH95" s="859"/>
      <c r="AI95" s="83"/>
      <c r="AJ95" s="83"/>
      <c r="AK95" s="848"/>
      <c r="AL95" s="848"/>
      <c r="AM95" s="848"/>
      <c r="AN95" s="848"/>
      <c r="AO95" s="848"/>
      <c r="AP95" s="848"/>
      <c r="AQ95" s="848"/>
      <c r="AR95" s="848"/>
      <c r="AS95" s="848"/>
      <c r="AT95" s="848"/>
      <c r="AU95" s="848"/>
      <c r="AV95" s="848"/>
      <c r="AW95" s="848"/>
      <c r="AX95" s="848"/>
      <c r="AY95" s="848"/>
      <c r="AZ95" s="848"/>
      <c r="BA95" s="848"/>
      <c r="BB95" s="848"/>
      <c r="BC95" s="848"/>
      <c r="BD95" s="848"/>
      <c r="BE95" s="848"/>
      <c r="BF95" s="848"/>
      <c r="BG95" s="848"/>
      <c r="BH95" s="848"/>
      <c r="BI95" s="848"/>
      <c r="BJ95" s="848"/>
      <c r="BK95" s="848"/>
      <c r="BL95" s="848"/>
      <c r="BM95" s="848"/>
      <c r="BN95" s="848"/>
      <c r="BO95" s="848"/>
      <c r="BP95" s="848"/>
      <c r="BQ95" s="848"/>
      <c r="BR95" s="848"/>
      <c r="BS95" s="848"/>
      <c r="BT95" s="848"/>
      <c r="BU95" s="848"/>
      <c r="BV95" s="848"/>
      <c r="BW95" s="848"/>
      <c r="BX95" s="848"/>
      <c r="BY95" s="848"/>
      <c r="BZ95" s="848"/>
      <c r="CA95" s="848"/>
      <c r="CB95" s="848"/>
      <c r="CC95" s="848"/>
      <c r="CD95" s="848"/>
      <c r="CE95" s="848"/>
      <c r="CF95" s="848"/>
      <c r="CG95" s="848"/>
      <c r="CH95" s="848"/>
      <c r="CI95" s="848"/>
      <c r="CJ95" s="848"/>
      <c r="CK95" s="848"/>
      <c r="CL95" s="848"/>
      <c r="CM95" s="848"/>
      <c r="CN95" s="848"/>
      <c r="CO95" s="848"/>
      <c r="CP95" s="848"/>
      <c r="CQ95" s="848"/>
      <c r="CR95" s="848"/>
      <c r="CS95" s="848"/>
      <c r="CT95" s="848"/>
      <c r="CU95" s="848"/>
      <c r="CV95" s="848"/>
      <c r="CW95" s="848"/>
      <c r="CX95" s="848"/>
      <c r="CY95" s="848"/>
      <c r="CZ95" s="848"/>
      <c r="DA95" s="848"/>
      <c r="DB95" s="848"/>
      <c r="DC95" s="848"/>
      <c r="DD95" s="848"/>
      <c r="DE95" s="848"/>
      <c r="DF95" s="848"/>
      <c r="DG95" s="848"/>
      <c r="DH95" s="848"/>
      <c r="DI95" s="848"/>
      <c r="DJ95" s="848"/>
    </row>
    <row r="96" spans="1:114" s="4" customFormat="1" ht="12.75">
      <c r="A96" s="860"/>
      <c r="B96" s="858"/>
      <c r="C96" s="858"/>
      <c r="D96" s="858"/>
      <c r="E96" s="858"/>
      <c r="F96" s="858"/>
      <c r="G96" s="858"/>
      <c r="H96" s="858"/>
      <c r="I96" s="858"/>
      <c r="J96" s="858"/>
      <c r="K96" s="858"/>
      <c r="L96" s="858"/>
      <c r="M96" s="858"/>
      <c r="N96" s="858"/>
      <c r="O96" s="858"/>
      <c r="P96" s="858"/>
      <c r="Q96" s="858"/>
      <c r="R96" s="858"/>
      <c r="S96" s="858"/>
      <c r="T96" s="858"/>
      <c r="U96" s="858"/>
      <c r="V96" s="858"/>
      <c r="W96" s="858"/>
      <c r="X96" s="858"/>
      <c r="Y96" s="858"/>
      <c r="Z96" s="858"/>
      <c r="AA96" s="858"/>
      <c r="AB96" s="858"/>
      <c r="AC96" s="858"/>
      <c r="AD96" s="858"/>
      <c r="AE96" s="858"/>
      <c r="AF96" s="858"/>
      <c r="AG96" s="858"/>
      <c r="AH96" s="859"/>
      <c r="AI96" s="83"/>
      <c r="AJ96" s="83"/>
      <c r="AK96" s="848"/>
      <c r="AL96" s="848"/>
      <c r="AM96" s="848"/>
      <c r="AN96" s="848"/>
      <c r="AO96" s="848"/>
      <c r="AP96" s="848"/>
      <c r="AQ96" s="848"/>
      <c r="AR96" s="848"/>
      <c r="AS96" s="848"/>
      <c r="AT96" s="848"/>
      <c r="AU96" s="848"/>
      <c r="AV96" s="848"/>
      <c r="AW96" s="848"/>
      <c r="AX96" s="848"/>
      <c r="AY96" s="848"/>
      <c r="AZ96" s="848"/>
      <c r="BA96" s="848"/>
      <c r="BB96" s="848"/>
      <c r="BC96" s="848"/>
      <c r="BD96" s="848"/>
      <c r="BE96" s="848"/>
      <c r="BF96" s="848"/>
      <c r="BG96" s="848"/>
      <c r="BH96" s="848"/>
      <c r="BI96" s="848"/>
      <c r="BJ96" s="848"/>
      <c r="BK96" s="848"/>
      <c r="BL96" s="848"/>
      <c r="BM96" s="848"/>
      <c r="BN96" s="848"/>
      <c r="BO96" s="848"/>
      <c r="BP96" s="848"/>
      <c r="BQ96" s="848"/>
      <c r="BR96" s="848"/>
      <c r="BS96" s="848"/>
      <c r="BT96" s="848"/>
      <c r="BU96" s="848"/>
      <c r="BV96" s="848"/>
      <c r="BW96" s="848"/>
      <c r="BX96" s="848"/>
      <c r="BY96" s="848"/>
      <c r="BZ96" s="848"/>
      <c r="CA96" s="848"/>
      <c r="CB96" s="848"/>
      <c r="CC96" s="848"/>
      <c r="CD96" s="848"/>
      <c r="CE96" s="848"/>
      <c r="CF96" s="848"/>
      <c r="CG96" s="848"/>
      <c r="CH96" s="848"/>
      <c r="CI96" s="848"/>
      <c r="CJ96" s="848"/>
      <c r="CK96" s="848"/>
      <c r="CL96" s="848"/>
      <c r="CM96" s="848"/>
      <c r="CN96" s="848"/>
      <c r="CO96" s="848"/>
      <c r="CP96" s="848"/>
      <c r="CQ96" s="848"/>
      <c r="CR96" s="848"/>
      <c r="CS96" s="848"/>
      <c r="CT96" s="848"/>
      <c r="CU96" s="848"/>
      <c r="CV96" s="848"/>
      <c r="CW96" s="848"/>
      <c r="CX96" s="848"/>
      <c r="CY96" s="848"/>
      <c r="CZ96" s="848"/>
      <c r="DA96" s="848"/>
      <c r="DB96" s="848"/>
      <c r="DC96" s="848"/>
      <c r="DD96" s="848"/>
      <c r="DE96" s="848"/>
      <c r="DF96" s="848"/>
      <c r="DG96" s="848"/>
      <c r="DH96" s="848"/>
      <c r="DI96" s="848"/>
      <c r="DJ96" s="848"/>
    </row>
    <row r="97" spans="1:114" ht="12.75">
      <c r="A97" s="860"/>
      <c r="B97" s="858"/>
      <c r="C97" s="858"/>
      <c r="D97" s="858"/>
      <c r="E97" s="858"/>
      <c r="F97" s="858"/>
      <c r="G97" s="858"/>
      <c r="H97" s="858"/>
      <c r="I97" s="858"/>
      <c r="J97" s="858"/>
      <c r="K97" s="858"/>
      <c r="L97" s="858"/>
      <c r="M97" s="858"/>
      <c r="N97" s="858"/>
      <c r="O97" s="858"/>
      <c r="P97" s="858"/>
      <c r="Q97" s="858"/>
      <c r="R97" s="858"/>
      <c r="S97" s="858"/>
      <c r="T97" s="858"/>
      <c r="U97" s="858"/>
      <c r="V97" s="858"/>
      <c r="W97" s="858"/>
      <c r="X97" s="858"/>
      <c r="Y97" s="858"/>
      <c r="Z97" s="858"/>
      <c r="AA97" s="858"/>
      <c r="AB97" s="858"/>
      <c r="AC97" s="858"/>
      <c r="AD97" s="858"/>
      <c r="AE97" s="858"/>
      <c r="AF97" s="858"/>
      <c r="AG97" s="858"/>
      <c r="AH97" s="859"/>
      <c r="AI97" s="83"/>
      <c r="AJ97" s="83"/>
      <c r="AK97" s="848"/>
      <c r="AL97" s="848"/>
      <c r="AM97" s="848"/>
      <c r="AN97" s="848"/>
      <c r="AO97" s="848"/>
      <c r="AP97" s="848"/>
      <c r="AQ97" s="848"/>
      <c r="AR97" s="848"/>
      <c r="AS97" s="848"/>
      <c r="AT97" s="848"/>
      <c r="AU97" s="848"/>
      <c r="AV97" s="848"/>
      <c r="AW97" s="848"/>
      <c r="AX97" s="848"/>
      <c r="AY97" s="848"/>
      <c r="AZ97" s="848"/>
      <c r="BA97" s="848"/>
      <c r="BB97" s="848"/>
      <c r="BC97" s="848"/>
      <c r="BD97" s="848"/>
      <c r="BE97" s="848"/>
      <c r="BF97" s="848"/>
      <c r="BG97" s="848"/>
      <c r="BH97" s="848"/>
      <c r="BI97" s="848"/>
      <c r="BJ97" s="848"/>
      <c r="BK97" s="848"/>
      <c r="BL97" s="848"/>
      <c r="BM97" s="848"/>
      <c r="BN97" s="848"/>
      <c r="BO97" s="848"/>
      <c r="BP97" s="848"/>
      <c r="BQ97" s="848"/>
      <c r="BR97" s="848"/>
      <c r="BS97" s="848"/>
      <c r="BT97" s="848"/>
      <c r="BU97" s="848"/>
      <c r="BV97" s="848"/>
      <c r="BW97" s="848"/>
      <c r="BX97" s="848"/>
      <c r="BY97" s="848"/>
      <c r="BZ97" s="848"/>
      <c r="CA97" s="848"/>
      <c r="CB97" s="848"/>
      <c r="CC97" s="848"/>
      <c r="CD97" s="848"/>
      <c r="CE97" s="848"/>
      <c r="CF97" s="848"/>
      <c r="CG97" s="848"/>
      <c r="CH97" s="848"/>
      <c r="CI97" s="848"/>
      <c r="CJ97" s="848"/>
      <c r="CK97" s="848"/>
      <c r="CL97" s="848"/>
      <c r="CM97" s="848"/>
      <c r="CN97" s="848"/>
      <c r="CO97" s="848"/>
      <c r="CP97" s="848"/>
      <c r="CQ97" s="848"/>
      <c r="CR97" s="848"/>
      <c r="CS97" s="848"/>
      <c r="CT97" s="848"/>
      <c r="CU97" s="848"/>
      <c r="CV97" s="848"/>
      <c r="CW97" s="848"/>
      <c r="CX97" s="848"/>
      <c r="CY97" s="848"/>
      <c r="CZ97" s="848"/>
      <c r="DA97" s="848"/>
      <c r="DB97" s="848"/>
      <c r="DC97" s="848"/>
      <c r="DD97" s="848"/>
      <c r="DE97" s="848"/>
      <c r="DF97" s="848"/>
      <c r="DG97" s="848"/>
      <c r="DH97" s="848"/>
      <c r="DI97" s="848"/>
      <c r="DJ97" s="848"/>
    </row>
    <row r="98" spans="1:114" ht="12.75">
      <c r="A98" s="860"/>
      <c r="B98" s="858"/>
      <c r="C98" s="858"/>
      <c r="D98" s="858"/>
      <c r="E98" s="858"/>
      <c r="F98" s="858"/>
      <c r="G98" s="858"/>
      <c r="H98" s="858"/>
      <c r="I98" s="858"/>
      <c r="J98" s="858"/>
      <c r="K98" s="858"/>
      <c r="L98" s="858"/>
      <c r="M98" s="858"/>
      <c r="N98" s="858"/>
      <c r="O98" s="858"/>
      <c r="P98" s="858"/>
      <c r="Q98" s="858"/>
      <c r="R98" s="858"/>
      <c r="S98" s="858"/>
      <c r="T98" s="858"/>
      <c r="U98" s="858"/>
      <c r="V98" s="858"/>
      <c r="W98" s="858"/>
      <c r="X98" s="858"/>
      <c r="Y98" s="858"/>
      <c r="Z98" s="858"/>
      <c r="AA98" s="858"/>
      <c r="AB98" s="858"/>
      <c r="AC98" s="858"/>
      <c r="AD98" s="858"/>
      <c r="AE98" s="858"/>
      <c r="AF98" s="858"/>
      <c r="AG98" s="858"/>
      <c r="AH98" s="859"/>
      <c r="AI98" s="83"/>
      <c r="AJ98" s="83"/>
      <c r="AK98" s="848"/>
      <c r="AL98" s="848"/>
      <c r="AM98" s="848"/>
      <c r="AN98" s="848"/>
      <c r="AO98" s="848"/>
      <c r="AP98" s="848"/>
      <c r="AQ98" s="848"/>
      <c r="AR98" s="848"/>
      <c r="AS98" s="848"/>
      <c r="AT98" s="848"/>
      <c r="AU98" s="848"/>
      <c r="AV98" s="848"/>
      <c r="AW98" s="848"/>
      <c r="AX98" s="848"/>
      <c r="AY98" s="848"/>
      <c r="AZ98" s="848"/>
      <c r="BA98" s="848"/>
      <c r="BB98" s="848"/>
      <c r="BC98" s="848"/>
      <c r="BD98" s="848"/>
      <c r="BE98" s="848"/>
      <c r="BF98" s="848"/>
      <c r="BG98" s="848"/>
      <c r="BH98" s="848"/>
      <c r="BI98" s="848"/>
      <c r="BJ98" s="848"/>
      <c r="BK98" s="848"/>
      <c r="BL98" s="848"/>
      <c r="BM98" s="848"/>
      <c r="BN98" s="848"/>
      <c r="BO98" s="848"/>
      <c r="BP98" s="848"/>
      <c r="BQ98" s="848"/>
      <c r="BR98" s="848"/>
      <c r="BS98" s="848"/>
      <c r="BT98" s="848"/>
      <c r="BU98" s="848"/>
      <c r="BV98" s="848"/>
      <c r="BW98" s="848"/>
      <c r="BX98" s="848"/>
      <c r="BY98" s="848"/>
      <c r="BZ98" s="848"/>
      <c r="CA98" s="848"/>
      <c r="CB98" s="848"/>
      <c r="CC98" s="848"/>
      <c r="CD98" s="848"/>
      <c r="CE98" s="848"/>
      <c r="CF98" s="848"/>
      <c r="CG98" s="848"/>
      <c r="CH98" s="848"/>
      <c r="CI98" s="848"/>
      <c r="CJ98" s="848"/>
      <c r="CK98" s="848"/>
      <c r="CL98" s="848"/>
      <c r="CM98" s="848"/>
      <c r="CN98" s="848"/>
      <c r="CO98" s="848"/>
      <c r="CP98" s="848"/>
      <c r="CQ98" s="848"/>
      <c r="CR98" s="848"/>
      <c r="CS98" s="848"/>
      <c r="CT98" s="848"/>
      <c r="CU98" s="848"/>
      <c r="CV98" s="848"/>
      <c r="CW98" s="848"/>
      <c r="CX98" s="848"/>
      <c r="CY98" s="848"/>
      <c r="CZ98" s="848"/>
      <c r="DA98" s="848"/>
      <c r="DB98" s="848"/>
      <c r="DC98" s="848"/>
      <c r="DD98" s="848"/>
      <c r="DE98" s="848"/>
      <c r="DF98" s="848"/>
      <c r="DG98" s="848"/>
      <c r="DH98" s="848"/>
      <c r="DI98" s="848"/>
      <c r="DJ98" s="848"/>
    </row>
    <row r="99" spans="1:114" s="3" customFormat="1" ht="12.75">
      <c r="A99" s="860"/>
      <c r="B99" s="858"/>
      <c r="C99" s="858"/>
      <c r="D99" s="858"/>
      <c r="E99" s="858"/>
      <c r="F99" s="858"/>
      <c r="G99" s="858"/>
      <c r="H99" s="858"/>
      <c r="I99" s="858"/>
      <c r="J99" s="858"/>
      <c r="K99" s="858"/>
      <c r="L99" s="858"/>
      <c r="M99" s="858"/>
      <c r="N99" s="858"/>
      <c r="O99" s="858"/>
      <c r="P99" s="858"/>
      <c r="Q99" s="858"/>
      <c r="R99" s="858"/>
      <c r="S99" s="858"/>
      <c r="T99" s="858"/>
      <c r="U99" s="858"/>
      <c r="V99" s="858"/>
      <c r="W99" s="858"/>
      <c r="X99" s="858"/>
      <c r="Y99" s="858"/>
      <c r="Z99" s="858"/>
      <c r="AA99" s="858"/>
      <c r="AB99" s="858"/>
      <c r="AC99" s="858"/>
      <c r="AD99" s="858"/>
      <c r="AE99" s="858"/>
      <c r="AF99" s="858"/>
      <c r="AG99" s="858"/>
      <c r="AH99" s="859"/>
      <c r="AI99" s="83"/>
      <c r="AJ99" s="83"/>
      <c r="AK99" s="848"/>
      <c r="AL99" s="848"/>
      <c r="AM99" s="848"/>
      <c r="AN99" s="848"/>
      <c r="AO99" s="848"/>
      <c r="AP99" s="848"/>
      <c r="AQ99" s="848"/>
      <c r="AR99" s="848"/>
      <c r="AS99" s="848"/>
      <c r="AT99" s="848"/>
      <c r="AU99" s="848"/>
      <c r="AV99" s="848"/>
      <c r="AW99" s="848"/>
      <c r="AX99" s="848"/>
      <c r="AY99" s="848"/>
      <c r="AZ99" s="848"/>
      <c r="BA99" s="848"/>
      <c r="BB99" s="848"/>
      <c r="BC99" s="848"/>
      <c r="BD99" s="848"/>
      <c r="BE99" s="848"/>
      <c r="BF99" s="848"/>
      <c r="BG99" s="848"/>
      <c r="BH99" s="848"/>
      <c r="BI99" s="848"/>
      <c r="BJ99" s="848"/>
      <c r="BK99" s="848"/>
      <c r="BL99" s="848"/>
      <c r="BM99" s="848"/>
      <c r="BN99" s="848"/>
      <c r="BO99" s="848"/>
      <c r="BP99" s="848"/>
      <c r="BQ99" s="848"/>
      <c r="BR99" s="848"/>
      <c r="BS99" s="848"/>
      <c r="BT99" s="848"/>
      <c r="BU99" s="848"/>
      <c r="BV99" s="848"/>
      <c r="BW99" s="848"/>
      <c r="BX99" s="848"/>
      <c r="BY99" s="848"/>
      <c r="BZ99" s="848"/>
      <c r="CA99" s="848"/>
      <c r="CB99" s="848"/>
      <c r="CC99" s="848"/>
      <c r="CD99" s="848"/>
      <c r="CE99" s="848"/>
      <c r="CF99" s="848"/>
      <c r="CG99" s="848"/>
      <c r="CH99" s="848"/>
      <c r="CI99" s="848"/>
      <c r="CJ99" s="848"/>
      <c r="CK99" s="848"/>
      <c r="CL99" s="848"/>
      <c r="CM99" s="848"/>
      <c r="CN99" s="848"/>
      <c r="CO99" s="848"/>
      <c r="CP99" s="848"/>
      <c r="CQ99" s="848"/>
      <c r="CR99" s="848"/>
      <c r="CS99" s="848"/>
      <c r="CT99" s="848"/>
      <c r="CU99" s="848"/>
      <c r="CV99" s="848"/>
      <c r="CW99" s="848"/>
      <c r="CX99" s="848"/>
      <c r="CY99" s="848"/>
      <c r="CZ99" s="848"/>
      <c r="DA99" s="848"/>
      <c r="DB99" s="848"/>
      <c r="DC99" s="848"/>
      <c r="DD99" s="848"/>
      <c r="DE99" s="848"/>
      <c r="DF99" s="848"/>
      <c r="DG99" s="848"/>
      <c r="DH99" s="848"/>
      <c r="DI99" s="848"/>
      <c r="DJ99" s="848"/>
    </row>
    <row r="100" spans="1:114" s="2" customFormat="1">
      <c r="A100" s="14"/>
      <c r="B100" s="15"/>
      <c r="C100" s="16"/>
      <c r="D100" s="16"/>
      <c r="E100" s="14"/>
      <c r="F100" s="538"/>
      <c r="G100" s="14"/>
      <c r="H100" s="527"/>
      <c r="I100" s="14"/>
      <c r="J100" s="527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3" spans="1:114" s="3" customFormat="1">
      <c r="A103" s="17"/>
      <c r="B103" s="10"/>
      <c r="C103" s="18"/>
      <c r="D103" s="18"/>
      <c r="E103" s="17"/>
      <c r="F103" s="539"/>
      <c r="G103" s="17"/>
      <c r="H103" s="528"/>
      <c r="I103" s="17"/>
      <c r="J103" s="528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1:114" s="2" customFormat="1">
      <c r="A104" s="14"/>
      <c r="B104" s="15"/>
      <c r="C104" s="16"/>
      <c r="D104" s="16"/>
      <c r="E104" s="14"/>
      <c r="F104" s="538"/>
      <c r="G104" s="14"/>
      <c r="H104" s="527"/>
      <c r="I104" s="14"/>
      <c r="J104" s="527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</row>
    <row r="107" spans="1:114" s="3" customFormat="1">
      <c r="A107" s="17"/>
      <c r="B107" s="10"/>
      <c r="C107" s="18"/>
      <c r="D107" s="18"/>
      <c r="E107" s="17"/>
      <c r="F107" s="539"/>
      <c r="G107" s="17"/>
      <c r="H107" s="528"/>
      <c r="I107" s="17"/>
      <c r="J107" s="528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</row>
    <row r="108" spans="1:114" s="2" customFormat="1">
      <c r="A108" s="14"/>
      <c r="B108" s="15"/>
      <c r="C108" s="16"/>
      <c r="D108" s="16"/>
      <c r="E108" s="14"/>
      <c r="F108" s="538"/>
      <c r="G108" s="14"/>
      <c r="H108" s="527"/>
      <c r="I108" s="14"/>
      <c r="J108" s="527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</row>
    <row r="111" spans="1:114" s="3" customFormat="1">
      <c r="A111" s="17"/>
      <c r="B111" s="10"/>
      <c r="C111" s="18"/>
      <c r="D111" s="18"/>
      <c r="E111" s="17"/>
      <c r="F111" s="539"/>
      <c r="G111" s="17"/>
      <c r="H111" s="528"/>
      <c r="I111" s="17"/>
      <c r="J111" s="528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114" s="2" customFormat="1">
      <c r="A112" s="14"/>
      <c r="B112" s="15"/>
      <c r="C112" s="16"/>
      <c r="D112" s="16"/>
      <c r="E112" s="14"/>
      <c r="F112" s="538"/>
      <c r="G112" s="14"/>
      <c r="H112" s="527"/>
      <c r="I112" s="14"/>
      <c r="J112" s="527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5" spans="1:36" s="3" customFormat="1">
      <c r="A115" s="17"/>
      <c r="B115" s="10"/>
      <c r="C115" s="18"/>
      <c r="D115" s="18"/>
      <c r="E115" s="17"/>
      <c r="F115" s="539"/>
      <c r="G115" s="17"/>
      <c r="H115" s="528"/>
      <c r="I115" s="17"/>
      <c r="J115" s="528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</row>
    <row r="116" spans="1:36" s="2" customFormat="1">
      <c r="A116" s="14"/>
      <c r="B116" s="15"/>
      <c r="C116" s="16"/>
      <c r="D116" s="16"/>
      <c r="E116" s="14"/>
      <c r="F116" s="538"/>
      <c r="G116" s="14"/>
      <c r="H116" s="527"/>
      <c r="I116" s="14"/>
      <c r="J116" s="527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9" spans="1:36" s="3" customFormat="1">
      <c r="A119" s="17"/>
      <c r="B119" s="10"/>
      <c r="C119" s="18"/>
      <c r="D119" s="18"/>
      <c r="E119" s="17"/>
      <c r="F119" s="539"/>
      <c r="G119" s="17"/>
      <c r="H119" s="528"/>
      <c r="I119" s="17"/>
      <c r="J119" s="528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1:36" s="2" customFormat="1">
      <c r="A120" s="14"/>
      <c r="B120" s="15"/>
      <c r="C120" s="16"/>
      <c r="D120" s="16"/>
      <c r="E120" s="14"/>
      <c r="F120" s="538"/>
      <c r="G120" s="14"/>
      <c r="H120" s="527"/>
      <c r="I120" s="14"/>
      <c r="J120" s="527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3" spans="1:36" s="3" customFormat="1">
      <c r="A123" s="17"/>
      <c r="B123" s="10"/>
      <c r="C123" s="18"/>
      <c r="D123" s="18"/>
      <c r="E123" s="17"/>
      <c r="F123" s="539"/>
      <c r="G123" s="17"/>
      <c r="H123" s="528"/>
      <c r="I123" s="17"/>
      <c r="J123" s="528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1:36" s="2" customFormat="1">
      <c r="A124" s="14"/>
      <c r="B124" s="15"/>
      <c r="C124" s="16"/>
      <c r="D124" s="16"/>
      <c r="E124" s="14"/>
      <c r="F124" s="538"/>
      <c r="G124" s="14"/>
      <c r="H124" s="527"/>
      <c r="I124" s="14"/>
      <c r="J124" s="527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7" spans="1:36" s="3" customFormat="1">
      <c r="A127" s="17"/>
      <c r="B127" s="10"/>
      <c r="C127" s="18"/>
      <c r="D127" s="18"/>
      <c r="E127" s="17"/>
      <c r="F127" s="539"/>
      <c r="G127" s="17"/>
      <c r="H127" s="528"/>
      <c r="I127" s="17"/>
      <c r="J127" s="528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1:36" s="2" customFormat="1">
      <c r="A128" s="14"/>
      <c r="B128" s="15"/>
      <c r="C128" s="16"/>
      <c r="D128" s="16"/>
      <c r="E128" s="14"/>
      <c r="F128" s="538"/>
      <c r="G128" s="14"/>
      <c r="H128" s="527"/>
      <c r="I128" s="14"/>
      <c r="J128" s="527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</row>
    <row r="131" spans="1:36" s="3" customFormat="1">
      <c r="A131" s="17"/>
      <c r="B131" s="10"/>
      <c r="C131" s="18"/>
      <c r="D131" s="18"/>
      <c r="E131" s="17"/>
      <c r="F131" s="539"/>
      <c r="G131" s="17"/>
      <c r="H131" s="528"/>
      <c r="I131" s="17"/>
      <c r="J131" s="528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1:36" s="2" customFormat="1">
      <c r="A132" s="14"/>
      <c r="B132" s="15"/>
      <c r="C132" s="16"/>
      <c r="D132" s="16"/>
      <c r="E132" s="14"/>
      <c r="F132" s="538"/>
      <c r="G132" s="14"/>
      <c r="H132" s="527"/>
      <c r="I132" s="14"/>
      <c r="J132" s="527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</row>
    <row r="135" spans="1:36" s="3" customFormat="1">
      <c r="A135" s="17"/>
      <c r="B135" s="10"/>
      <c r="C135" s="18"/>
      <c r="D135" s="18"/>
      <c r="E135" s="17"/>
      <c r="F135" s="539"/>
      <c r="G135" s="17"/>
      <c r="H135" s="528"/>
      <c r="I135" s="17"/>
      <c r="J135" s="528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1:36" s="2" customFormat="1">
      <c r="A136" s="14"/>
      <c r="B136" s="15"/>
      <c r="C136" s="16"/>
      <c r="D136" s="16"/>
      <c r="E136" s="14"/>
      <c r="F136" s="538"/>
      <c r="G136" s="14"/>
      <c r="H136" s="527"/>
      <c r="I136" s="14"/>
      <c r="J136" s="527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</row>
    <row r="139" spans="1:36" s="3" customFormat="1">
      <c r="A139" s="17"/>
      <c r="B139" s="10"/>
      <c r="C139" s="18"/>
      <c r="D139" s="18"/>
      <c r="E139" s="17"/>
      <c r="F139" s="539"/>
      <c r="G139" s="17"/>
      <c r="H139" s="528"/>
      <c r="I139" s="17"/>
      <c r="J139" s="528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1:36" s="2" customFormat="1">
      <c r="A140" s="14"/>
      <c r="B140" s="15"/>
      <c r="C140" s="16"/>
      <c r="D140" s="16"/>
      <c r="E140" s="14"/>
      <c r="F140" s="538"/>
      <c r="G140" s="14"/>
      <c r="H140" s="527"/>
      <c r="I140" s="14"/>
      <c r="J140" s="527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</row>
    <row r="143" spans="1:36" s="3" customFormat="1">
      <c r="A143" s="17"/>
      <c r="B143" s="10"/>
      <c r="C143" s="18"/>
      <c r="D143" s="18"/>
      <c r="E143" s="17"/>
      <c r="F143" s="539"/>
      <c r="G143" s="17"/>
      <c r="H143" s="528"/>
      <c r="I143" s="17"/>
      <c r="J143" s="528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spans="1:36" s="2" customFormat="1">
      <c r="A144" s="14"/>
      <c r="B144" s="15"/>
      <c r="C144" s="16"/>
      <c r="D144" s="16"/>
      <c r="E144" s="14"/>
      <c r="F144" s="538"/>
      <c r="G144" s="14"/>
      <c r="H144" s="527"/>
      <c r="I144" s="14"/>
      <c r="J144" s="527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</row>
    <row r="147" spans="1:36" s="3" customFormat="1">
      <c r="A147" s="17"/>
      <c r="B147" s="10"/>
      <c r="C147" s="18"/>
      <c r="D147" s="18"/>
      <c r="E147" s="17"/>
      <c r="F147" s="539"/>
      <c r="G147" s="17"/>
      <c r="H147" s="528"/>
      <c r="I147" s="17"/>
      <c r="J147" s="528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</row>
    <row r="148" spans="1:36" s="2" customFormat="1">
      <c r="A148" s="14"/>
      <c r="B148" s="15"/>
      <c r="C148" s="16"/>
      <c r="D148" s="16"/>
      <c r="E148" s="14"/>
      <c r="F148" s="538"/>
      <c r="G148" s="14"/>
      <c r="H148" s="527"/>
      <c r="I148" s="14"/>
      <c r="J148" s="527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</row>
    <row r="151" spans="1:36" s="3" customFormat="1">
      <c r="A151" s="17"/>
      <c r="B151" s="10"/>
      <c r="C151" s="18"/>
      <c r="D151" s="18"/>
      <c r="E151" s="17"/>
      <c r="F151" s="539"/>
      <c r="G151" s="17"/>
      <c r="H151" s="528"/>
      <c r="I151" s="17"/>
      <c r="J151" s="528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</row>
    <row r="152" spans="1:36" s="2" customFormat="1">
      <c r="A152" s="14"/>
      <c r="B152" s="15"/>
      <c r="C152" s="16"/>
      <c r="D152" s="16"/>
      <c r="E152" s="14"/>
      <c r="F152" s="538"/>
      <c r="G152" s="14"/>
      <c r="H152" s="527"/>
      <c r="I152" s="14"/>
      <c r="J152" s="527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</row>
    <row r="155" spans="1:36" s="3" customFormat="1">
      <c r="A155" s="17"/>
      <c r="B155" s="10"/>
      <c r="C155" s="18"/>
      <c r="D155" s="18"/>
      <c r="E155" s="17"/>
      <c r="F155" s="539"/>
      <c r="G155" s="17"/>
      <c r="H155" s="528"/>
      <c r="I155" s="17"/>
      <c r="J155" s="528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s="2" customFormat="1">
      <c r="A156" s="14"/>
      <c r="B156" s="15"/>
      <c r="C156" s="16"/>
      <c r="D156" s="16"/>
      <c r="E156" s="14"/>
      <c r="F156" s="538"/>
      <c r="G156" s="14"/>
      <c r="H156" s="527"/>
      <c r="I156" s="14"/>
      <c r="J156" s="527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</row>
    <row r="159" spans="1:36" s="3" customFormat="1">
      <c r="A159" s="17"/>
      <c r="B159" s="10"/>
      <c r="C159" s="18"/>
      <c r="D159" s="18"/>
      <c r="E159" s="17"/>
      <c r="F159" s="539"/>
      <c r="G159" s="17"/>
      <c r="H159" s="528"/>
      <c r="I159" s="17"/>
      <c r="J159" s="528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1:36" s="2" customFormat="1">
      <c r="A160" s="14"/>
      <c r="B160" s="15"/>
      <c r="C160" s="16"/>
      <c r="D160" s="16"/>
      <c r="E160" s="14"/>
      <c r="F160" s="538"/>
      <c r="G160" s="14"/>
      <c r="H160" s="527"/>
      <c r="I160" s="14"/>
      <c r="J160" s="527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</row>
    <row r="163" spans="1:36" s="3" customFormat="1">
      <c r="A163" s="17"/>
      <c r="B163" s="10"/>
      <c r="C163" s="18"/>
      <c r="D163" s="18"/>
      <c r="E163" s="17"/>
      <c r="F163" s="539"/>
      <c r="G163" s="17"/>
      <c r="H163" s="528"/>
      <c r="I163" s="17"/>
      <c r="J163" s="528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36" s="2" customFormat="1">
      <c r="A164" s="14"/>
      <c r="B164" s="15"/>
      <c r="C164" s="16"/>
      <c r="D164" s="16"/>
      <c r="E164" s="14"/>
      <c r="F164" s="538"/>
      <c r="G164" s="14"/>
      <c r="H164" s="527"/>
      <c r="I164" s="14"/>
      <c r="J164" s="527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</row>
    <row r="167" spans="1:36" s="3" customFormat="1">
      <c r="A167" s="17"/>
      <c r="B167" s="10"/>
      <c r="C167" s="18"/>
      <c r="D167" s="18"/>
      <c r="E167" s="17"/>
      <c r="F167" s="539"/>
      <c r="G167" s="17"/>
      <c r="H167" s="528"/>
      <c r="I167" s="17"/>
      <c r="J167" s="528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</row>
    <row r="168" spans="1:36" s="2" customFormat="1">
      <c r="A168" s="14"/>
      <c r="B168" s="15"/>
      <c r="C168" s="16"/>
      <c r="D168" s="16"/>
      <c r="E168" s="14"/>
      <c r="F168" s="538"/>
      <c r="G168" s="14"/>
      <c r="H168" s="527"/>
      <c r="I168" s="14"/>
      <c r="J168" s="527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</row>
    <row r="171" spans="1:36" s="3" customFormat="1">
      <c r="A171" s="17"/>
      <c r="B171" s="10"/>
      <c r="C171" s="18"/>
      <c r="D171" s="18"/>
      <c r="E171" s="17"/>
      <c r="F171" s="539"/>
      <c r="G171" s="17"/>
      <c r="H171" s="528"/>
      <c r="I171" s="17"/>
      <c r="J171" s="528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</row>
    <row r="172" spans="1:36" s="2" customFormat="1">
      <c r="A172" s="14"/>
      <c r="B172" s="15"/>
      <c r="C172" s="16"/>
      <c r="D172" s="16"/>
      <c r="E172" s="14"/>
      <c r="F172" s="538"/>
      <c r="G172" s="14"/>
      <c r="H172" s="527"/>
      <c r="I172" s="14"/>
      <c r="J172" s="527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</row>
    <row r="175" spans="1:36" s="3" customFormat="1">
      <c r="A175" s="17"/>
      <c r="B175" s="10"/>
      <c r="C175" s="18"/>
      <c r="D175" s="18"/>
      <c r="E175" s="17"/>
      <c r="F175" s="539"/>
      <c r="G175" s="17"/>
      <c r="H175" s="528"/>
      <c r="I175" s="17"/>
      <c r="J175" s="528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</row>
    <row r="176" spans="1:36" s="2" customFormat="1">
      <c r="A176" s="14"/>
      <c r="B176" s="15"/>
      <c r="C176" s="16"/>
      <c r="D176" s="16"/>
      <c r="E176" s="14"/>
      <c r="F176" s="538"/>
      <c r="G176" s="14"/>
      <c r="H176" s="527"/>
      <c r="I176" s="14"/>
      <c r="J176" s="527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</row>
    <row r="179" spans="1:36" s="3" customFormat="1">
      <c r="A179" s="17"/>
      <c r="B179" s="10"/>
      <c r="C179" s="18"/>
      <c r="D179" s="18"/>
      <c r="E179" s="17"/>
      <c r="F179" s="539"/>
      <c r="G179" s="17"/>
      <c r="H179" s="528"/>
      <c r="I179" s="17"/>
      <c r="J179" s="528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:36" s="2" customFormat="1">
      <c r="A180" s="14"/>
      <c r="B180" s="15"/>
      <c r="C180" s="16"/>
      <c r="D180" s="16"/>
      <c r="E180" s="14"/>
      <c r="F180" s="538"/>
      <c r="G180" s="14"/>
      <c r="H180" s="527"/>
      <c r="I180" s="14"/>
      <c r="J180" s="527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</row>
    <row r="183" spans="1:36" s="3" customFormat="1">
      <c r="A183" s="17"/>
      <c r="B183" s="10"/>
      <c r="C183" s="18"/>
      <c r="D183" s="18"/>
      <c r="E183" s="17"/>
      <c r="F183" s="539"/>
      <c r="G183" s="17"/>
      <c r="H183" s="528"/>
      <c r="I183" s="17"/>
      <c r="J183" s="528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:36" s="2" customFormat="1">
      <c r="A184" s="14"/>
      <c r="B184" s="15"/>
      <c r="C184" s="16"/>
      <c r="D184" s="16"/>
      <c r="E184" s="14"/>
      <c r="F184" s="538"/>
      <c r="G184" s="14"/>
      <c r="H184" s="527"/>
      <c r="I184" s="14"/>
      <c r="J184" s="527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</row>
    <row r="187" spans="1:36" s="3" customFormat="1">
      <c r="A187" s="17"/>
      <c r="B187" s="10"/>
      <c r="C187" s="18"/>
      <c r="D187" s="18"/>
      <c r="E187" s="17"/>
      <c r="F187" s="539"/>
      <c r="G187" s="17"/>
      <c r="H187" s="528"/>
      <c r="I187" s="17"/>
      <c r="J187" s="528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36" s="2" customFormat="1">
      <c r="A188" s="14"/>
      <c r="B188" s="15"/>
      <c r="C188" s="16"/>
      <c r="D188" s="16"/>
      <c r="E188" s="14"/>
      <c r="F188" s="538"/>
      <c r="G188" s="14"/>
      <c r="H188" s="527"/>
      <c r="I188" s="14"/>
      <c r="J188" s="527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</row>
    <row r="191" spans="1:36" s="3" customFormat="1">
      <c r="A191" s="17"/>
      <c r="B191" s="10"/>
      <c r="C191" s="18"/>
      <c r="D191" s="18"/>
      <c r="E191" s="17"/>
      <c r="F191" s="539"/>
      <c r="G191" s="17"/>
      <c r="H191" s="528"/>
      <c r="I191" s="17"/>
      <c r="J191" s="528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5" spans="1:36" s="6" customFormat="1">
      <c r="A195" s="17"/>
      <c r="B195" s="10"/>
      <c r="C195" s="18"/>
      <c r="D195" s="18"/>
      <c r="E195" s="17"/>
      <c r="F195" s="539"/>
      <c r="G195" s="17"/>
      <c r="H195" s="528"/>
      <c r="I195" s="17"/>
      <c r="J195" s="528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7" spans="1:36" s="7" customFormat="1">
      <c r="A197" s="9"/>
      <c r="B197" s="10"/>
      <c r="C197" s="255"/>
      <c r="D197" s="255"/>
      <c r="E197" s="9"/>
      <c r="F197" s="529"/>
      <c r="G197" s="9"/>
      <c r="H197" s="519"/>
      <c r="I197" s="9"/>
      <c r="J197" s="51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1:36" s="7" customFormat="1">
      <c r="A198" s="9"/>
      <c r="B198" s="10"/>
      <c r="C198" s="255"/>
      <c r="D198" s="255"/>
      <c r="E198" s="9"/>
      <c r="F198" s="529"/>
      <c r="G198" s="9"/>
      <c r="H198" s="519"/>
      <c r="I198" s="9"/>
      <c r="J198" s="51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1:36" s="6" customFormat="1">
      <c r="A199" s="17"/>
      <c r="B199" s="10"/>
      <c r="C199" s="18"/>
      <c r="D199" s="18"/>
      <c r="E199" s="17"/>
      <c r="F199" s="539"/>
      <c r="G199" s="17"/>
      <c r="H199" s="528"/>
      <c r="I199" s="17"/>
      <c r="J199" s="528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1" spans="1:36" s="7" customFormat="1">
      <c r="A201" s="9"/>
      <c r="B201" s="10"/>
      <c r="C201" s="255"/>
      <c r="D201" s="255"/>
      <c r="E201" s="9"/>
      <c r="F201" s="529"/>
      <c r="G201" s="9"/>
      <c r="H201" s="519"/>
      <c r="I201" s="9"/>
      <c r="J201" s="51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1:36" s="7" customFormat="1">
      <c r="A202" s="9"/>
      <c r="B202" s="10"/>
      <c r="C202" s="255"/>
      <c r="D202" s="255"/>
      <c r="E202" s="9"/>
      <c r="F202" s="529"/>
      <c r="G202" s="9"/>
      <c r="H202" s="519"/>
      <c r="I202" s="9"/>
      <c r="J202" s="51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1:36" s="6" customFormat="1">
      <c r="A203" s="17"/>
      <c r="B203" s="10"/>
      <c r="C203" s="18"/>
      <c r="D203" s="18"/>
      <c r="E203" s="17"/>
      <c r="F203" s="539"/>
      <c r="G203" s="17"/>
      <c r="H203" s="528"/>
      <c r="I203" s="17"/>
      <c r="J203" s="528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:36" s="2" customFormat="1">
      <c r="A204" s="14"/>
      <c r="B204" s="15"/>
      <c r="C204" s="16"/>
      <c r="D204" s="16"/>
      <c r="E204" s="14"/>
      <c r="F204" s="538"/>
      <c r="G204" s="14"/>
      <c r="H204" s="527"/>
      <c r="I204" s="14"/>
      <c r="J204" s="527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</row>
    <row r="205" spans="1:36" s="7" customFormat="1">
      <c r="A205" s="9"/>
      <c r="B205" s="10"/>
      <c r="C205" s="255"/>
      <c r="D205" s="255"/>
      <c r="E205" s="9"/>
      <c r="F205" s="529"/>
      <c r="G205" s="9"/>
      <c r="H205" s="519"/>
      <c r="I205" s="9"/>
      <c r="J205" s="51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1:36" s="7" customFormat="1">
      <c r="A206" s="9"/>
      <c r="B206" s="10"/>
      <c r="C206" s="255"/>
      <c r="D206" s="255"/>
      <c r="E206" s="9"/>
      <c r="F206" s="529"/>
      <c r="G206" s="9"/>
      <c r="H206" s="519"/>
      <c r="I206" s="9"/>
      <c r="J206" s="51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1:36" s="6" customFormat="1">
      <c r="A207" s="17"/>
      <c r="B207" s="10"/>
      <c r="C207" s="18"/>
      <c r="D207" s="18"/>
      <c r="E207" s="17"/>
      <c r="F207" s="539"/>
      <c r="G207" s="17"/>
      <c r="H207" s="528"/>
      <c r="I207" s="17"/>
      <c r="J207" s="528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:36" s="2" customFormat="1">
      <c r="A208" s="14"/>
      <c r="B208" s="15"/>
      <c r="C208" s="16"/>
      <c r="D208" s="16"/>
      <c r="E208" s="14"/>
      <c r="F208" s="538"/>
      <c r="G208" s="14"/>
      <c r="H208" s="527"/>
      <c r="I208" s="14"/>
      <c r="J208" s="527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</row>
    <row r="211" spans="1:36" s="6" customFormat="1">
      <c r="A211" s="17"/>
      <c r="B211" s="10"/>
      <c r="C211" s="18"/>
      <c r="D211" s="18"/>
      <c r="E211" s="17"/>
      <c r="F211" s="539"/>
      <c r="G211" s="17"/>
      <c r="H211" s="528"/>
      <c r="I211" s="17"/>
      <c r="J211" s="528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1:36" s="2" customFormat="1">
      <c r="A212" s="14"/>
      <c r="B212" s="15"/>
      <c r="C212" s="16"/>
      <c r="D212" s="16"/>
      <c r="E212" s="14"/>
      <c r="F212" s="538"/>
      <c r="G212" s="14"/>
      <c r="H212" s="527"/>
      <c r="I212" s="14"/>
      <c r="J212" s="527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</row>
    <row r="213" spans="1:36" s="7" customFormat="1">
      <c r="A213" s="9"/>
      <c r="B213" s="10"/>
      <c r="C213" s="255"/>
      <c r="D213" s="255"/>
      <c r="E213" s="9"/>
      <c r="F213" s="529"/>
      <c r="G213" s="9"/>
      <c r="H213" s="519"/>
      <c r="I213" s="9"/>
      <c r="J213" s="51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1:36" s="7" customFormat="1">
      <c r="A214" s="9"/>
      <c r="B214" s="10"/>
      <c r="C214" s="255"/>
      <c r="D214" s="255"/>
      <c r="E214" s="9"/>
      <c r="F214" s="529"/>
      <c r="G214" s="9"/>
      <c r="H214" s="519"/>
      <c r="I214" s="9"/>
      <c r="J214" s="51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1:36" s="6" customFormat="1">
      <c r="A215" s="17"/>
      <c r="B215" s="10"/>
      <c r="C215" s="18"/>
      <c r="D215" s="18"/>
      <c r="E215" s="17"/>
      <c r="F215" s="539"/>
      <c r="G215" s="17"/>
      <c r="H215" s="528"/>
      <c r="I215" s="17"/>
      <c r="J215" s="528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1:36" s="2" customFormat="1">
      <c r="A216" s="14"/>
      <c r="B216" s="15"/>
      <c r="C216" s="16"/>
      <c r="D216" s="16"/>
      <c r="E216" s="14"/>
      <c r="F216" s="538"/>
      <c r="G216" s="14"/>
      <c r="H216" s="527"/>
      <c r="I216" s="14"/>
      <c r="J216" s="527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</row>
    <row r="217" spans="1:36" s="7" customFormat="1">
      <c r="A217" s="9"/>
      <c r="B217" s="10"/>
      <c r="C217" s="255"/>
      <c r="D217" s="255"/>
      <c r="E217" s="9"/>
      <c r="F217" s="529"/>
      <c r="G217" s="9"/>
      <c r="H217" s="519"/>
      <c r="I217" s="9"/>
      <c r="J217" s="51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1:36" s="7" customFormat="1">
      <c r="A218" s="9"/>
      <c r="B218" s="10"/>
      <c r="C218" s="255"/>
      <c r="D218" s="255"/>
      <c r="E218" s="9"/>
      <c r="F218" s="529"/>
      <c r="G218" s="9"/>
      <c r="H218" s="519"/>
      <c r="I218" s="9"/>
      <c r="J218" s="51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1:36" s="6" customFormat="1">
      <c r="A219" s="17"/>
      <c r="B219" s="10"/>
      <c r="C219" s="18"/>
      <c r="D219" s="18"/>
      <c r="E219" s="17"/>
      <c r="F219" s="539"/>
      <c r="G219" s="17"/>
      <c r="H219" s="528"/>
      <c r="I219" s="17"/>
      <c r="J219" s="528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1:36" s="2" customFormat="1">
      <c r="A220" s="14"/>
      <c r="B220" s="15"/>
      <c r="C220" s="16"/>
      <c r="D220" s="16"/>
      <c r="E220" s="14"/>
      <c r="F220" s="538"/>
      <c r="G220" s="14"/>
      <c r="H220" s="527"/>
      <c r="I220" s="14"/>
      <c r="J220" s="527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</row>
    <row r="221" spans="1:36" s="7" customFormat="1">
      <c r="A221" s="9"/>
      <c r="B221" s="10"/>
      <c r="C221" s="255"/>
      <c r="D221" s="255"/>
      <c r="E221" s="9"/>
      <c r="F221" s="529"/>
      <c r="G221" s="9"/>
      <c r="H221" s="519"/>
      <c r="I221" s="9"/>
      <c r="J221" s="51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1:36" s="7" customFormat="1">
      <c r="A222" s="9"/>
      <c r="B222" s="10"/>
      <c r="C222" s="255"/>
      <c r="D222" s="255"/>
      <c r="E222" s="9"/>
      <c r="F222" s="529"/>
      <c r="G222" s="9"/>
      <c r="H222" s="519"/>
      <c r="I222" s="9"/>
      <c r="J222" s="51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1:36" s="6" customFormat="1">
      <c r="A223" s="17"/>
      <c r="B223" s="10"/>
      <c r="C223" s="18"/>
      <c r="D223" s="18"/>
      <c r="E223" s="17"/>
      <c r="F223" s="539"/>
      <c r="G223" s="17"/>
      <c r="H223" s="528"/>
      <c r="I223" s="17"/>
      <c r="J223" s="528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spans="1:36" s="2" customFormat="1">
      <c r="A224" s="14"/>
      <c r="B224" s="15"/>
      <c r="C224" s="16"/>
      <c r="D224" s="16"/>
      <c r="E224" s="14"/>
      <c r="F224" s="538"/>
      <c r="G224" s="14"/>
      <c r="H224" s="527"/>
      <c r="I224" s="14"/>
      <c r="J224" s="527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</row>
    <row r="225" spans="1:36" s="7" customFormat="1">
      <c r="A225" s="9"/>
      <c r="B225" s="10"/>
      <c r="C225" s="255"/>
      <c r="D225" s="255"/>
      <c r="E225" s="9"/>
      <c r="F225" s="529"/>
      <c r="G225" s="9"/>
      <c r="H225" s="519"/>
      <c r="I225" s="9"/>
      <c r="J225" s="51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1:36" s="7" customFormat="1">
      <c r="A226" s="9"/>
      <c r="B226" s="10"/>
      <c r="C226" s="255"/>
      <c r="D226" s="255"/>
      <c r="E226" s="9"/>
      <c r="F226" s="529"/>
      <c r="G226" s="9"/>
      <c r="H226" s="519"/>
      <c r="I226" s="9"/>
      <c r="J226" s="51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1:36" s="6" customFormat="1">
      <c r="A227" s="17"/>
      <c r="B227" s="10"/>
      <c r="C227" s="18"/>
      <c r="D227" s="18"/>
      <c r="E227" s="17"/>
      <c r="F227" s="539"/>
      <c r="G227" s="17"/>
      <c r="H227" s="528"/>
      <c r="I227" s="17"/>
      <c r="J227" s="528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</row>
    <row r="228" spans="1:36" s="2" customFormat="1">
      <c r="A228" s="14"/>
      <c r="B228" s="15"/>
      <c r="C228" s="16"/>
      <c r="D228" s="16"/>
      <c r="E228" s="14"/>
      <c r="F228" s="538"/>
      <c r="G228" s="14"/>
      <c r="H228" s="527"/>
      <c r="I228" s="14"/>
      <c r="J228" s="527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</row>
    <row r="229" spans="1:36" s="8" customFormat="1">
      <c r="A229" s="9"/>
      <c r="B229" s="10"/>
      <c r="C229" s="255"/>
      <c r="D229" s="255"/>
      <c r="E229" s="9"/>
      <c r="F229" s="529"/>
      <c r="G229" s="9"/>
      <c r="H229" s="519"/>
      <c r="I229" s="9"/>
      <c r="J229" s="51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1:36" s="8" customFormat="1">
      <c r="A230" s="9"/>
      <c r="B230" s="10"/>
      <c r="C230" s="255"/>
      <c r="D230" s="255"/>
      <c r="E230" s="9"/>
      <c r="F230" s="529"/>
      <c r="G230" s="9"/>
      <c r="H230" s="519"/>
      <c r="I230" s="9"/>
      <c r="J230" s="51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1:36" s="3" customFormat="1">
      <c r="A231" s="17"/>
      <c r="B231" s="10"/>
      <c r="C231" s="18"/>
      <c r="D231" s="18"/>
      <c r="E231" s="17"/>
      <c r="F231" s="539"/>
      <c r="G231" s="17"/>
      <c r="H231" s="528"/>
      <c r="I231" s="17"/>
      <c r="J231" s="528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</row>
    <row r="232" spans="1:36" s="2" customFormat="1">
      <c r="A232" s="14"/>
      <c r="B232" s="15"/>
      <c r="C232" s="16"/>
      <c r="D232" s="16"/>
      <c r="E232" s="14"/>
      <c r="F232" s="538"/>
      <c r="G232" s="14"/>
      <c r="H232" s="527"/>
      <c r="I232" s="14"/>
      <c r="J232" s="527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</row>
    <row r="233" spans="1:36" s="7" customFormat="1">
      <c r="A233" s="9"/>
      <c r="B233" s="10"/>
      <c r="C233" s="255"/>
      <c r="D233" s="255"/>
      <c r="E233" s="9"/>
      <c r="F233" s="529"/>
      <c r="G233" s="9"/>
      <c r="H233" s="519"/>
      <c r="I233" s="9"/>
      <c r="J233" s="51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1:36" s="7" customFormat="1">
      <c r="A234" s="9"/>
      <c r="B234" s="10"/>
      <c r="C234" s="255"/>
      <c r="D234" s="255"/>
      <c r="E234" s="9"/>
      <c r="F234" s="529"/>
      <c r="G234" s="9"/>
      <c r="H234" s="519"/>
      <c r="I234" s="9"/>
      <c r="J234" s="51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1:36" s="6" customFormat="1">
      <c r="A235" s="17"/>
      <c r="B235" s="10"/>
      <c r="C235" s="18"/>
      <c r="D235" s="18"/>
      <c r="E235" s="17"/>
      <c r="F235" s="539"/>
      <c r="G235" s="17"/>
      <c r="H235" s="528"/>
      <c r="I235" s="17"/>
      <c r="J235" s="528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</row>
    <row r="236" spans="1:36" s="2" customFormat="1">
      <c r="A236" s="14"/>
      <c r="B236" s="15"/>
      <c r="C236" s="16"/>
      <c r="D236" s="16"/>
      <c r="E236" s="14"/>
      <c r="F236" s="538"/>
      <c r="G236" s="14"/>
      <c r="H236" s="527"/>
      <c r="I236" s="14"/>
      <c r="J236" s="527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</row>
    <row r="237" spans="1:36" s="2" customFormat="1" ht="15" customHeight="1">
      <c r="A237" s="14"/>
      <c r="B237" s="15"/>
      <c r="C237" s="16"/>
      <c r="D237" s="16"/>
      <c r="E237" s="14"/>
      <c r="F237" s="538"/>
      <c r="G237" s="14"/>
      <c r="H237" s="527"/>
      <c r="I237" s="14"/>
      <c r="J237" s="527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</row>
    <row r="238" spans="1:36" s="2" customFormat="1">
      <c r="A238" s="14"/>
      <c r="B238" s="15"/>
      <c r="C238" s="16"/>
      <c r="D238" s="16"/>
      <c r="E238" s="14"/>
      <c r="F238" s="538"/>
      <c r="G238" s="14"/>
      <c r="H238" s="527"/>
      <c r="I238" s="14"/>
      <c r="J238" s="527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</row>
    <row r="239" spans="1:36" s="2" customFormat="1" ht="18" customHeight="1">
      <c r="A239" s="14"/>
      <c r="B239" s="15"/>
      <c r="C239" s="16"/>
      <c r="D239" s="16"/>
      <c r="E239" s="14"/>
      <c r="F239" s="538"/>
      <c r="G239" s="14"/>
      <c r="H239" s="527"/>
      <c r="I239" s="14"/>
      <c r="J239" s="527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</row>
    <row r="240" spans="1:36" ht="20.25" customHeight="1"/>
    <row r="241" spans="1:36" s="6" customFormat="1">
      <c r="A241" s="17"/>
      <c r="B241" s="10"/>
      <c r="C241" s="18"/>
      <c r="D241" s="18"/>
      <c r="E241" s="17"/>
      <c r="F241" s="539"/>
      <c r="G241" s="17"/>
      <c r="H241" s="528"/>
      <c r="I241" s="17"/>
      <c r="J241" s="528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</row>
  </sheetData>
  <sortState ref="A9:AJ55">
    <sortCondition descending="1" ref="AJ9:AJ55"/>
  </sortState>
  <mergeCells count="41">
    <mergeCell ref="W1:X1"/>
    <mergeCell ref="AK1:DJ99"/>
    <mergeCell ref="D2:W2"/>
    <mergeCell ref="A3:AB3"/>
    <mergeCell ref="A4:A7"/>
    <mergeCell ref="B4:B7"/>
    <mergeCell ref="C4:C7"/>
    <mergeCell ref="D4:D7"/>
    <mergeCell ref="E4:K5"/>
    <mergeCell ref="L4:V4"/>
    <mergeCell ref="W4:X5"/>
    <mergeCell ref="Y4:AB5"/>
    <mergeCell ref="AC4:AH5"/>
    <mergeCell ref="AJ4:AJ7"/>
    <mergeCell ref="L5:N5"/>
    <mergeCell ref="O5:O7"/>
    <mergeCell ref="P5:P7"/>
    <mergeCell ref="Q5:Q7"/>
    <mergeCell ref="R5:R7"/>
    <mergeCell ref="S5:S7"/>
    <mergeCell ref="I6:I7"/>
    <mergeCell ref="K6:K7"/>
    <mergeCell ref="L6:L7"/>
    <mergeCell ref="M6:M7"/>
    <mergeCell ref="N6:N7"/>
    <mergeCell ref="AC6:AC7"/>
    <mergeCell ref="AD6:AF6"/>
    <mergeCell ref="AG6:AG7"/>
    <mergeCell ref="AH6:AH7"/>
    <mergeCell ref="A67:AH99"/>
    <mergeCell ref="W6:W7"/>
    <mergeCell ref="X6:X7"/>
    <mergeCell ref="Y6:Y7"/>
    <mergeCell ref="Z6:Z7"/>
    <mergeCell ref="AA6:AA7"/>
    <mergeCell ref="AB6:AB7"/>
    <mergeCell ref="T5:T7"/>
    <mergeCell ref="U5:U7"/>
    <mergeCell ref="V5:V7"/>
    <mergeCell ref="E6:E7"/>
    <mergeCell ref="G6:G7"/>
  </mergeCells>
  <pageMargins left="0.27559055118110237" right="0.15748031496062992" top="0.23622047244094491" bottom="0.19685039370078741" header="0.15748031496062992" footer="0.15748031496062992"/>
  <pageSetup paperSize="9" scale="17" orientation="landscape" r:id="rId1"/>
  <headerFooter alignWithMargins="0"/>
  <rowBreaks count="2" manualBreakCount="2">
    <brk id="34" max="109" man="1"/>
    <brk id="66" max="106" man="1"/>
  </rowBreaks>
  <colBreaks count="3" manualBreakCount="3">
    <brk id="20" max="65" man="1"/>
    <brk id="36" max="65" man="1"/>
    <brk id="88" max="6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J241"/>
  <sheetViews>
    <sheetView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T5" sqref="T5:T7"/>
    </sheetView>
  </sheetViews>
  <sheetFormatPr defaultRowHeight="14.25"/>
  <cols>
    <col min="1" max="1" width="3.42578125" style="9" customWidth="1"/>
    <col min="2" max="2" width="50.85546875" style="10" customWidth="1"/>
    <col min="3" max="3" width="9" style="682" customWidth="1"/>
    <col min="4" max="4" width="15.140625" style="682" customWidth="1"/>
    <col min="5" max="5" width="10.28515625" style="9" customWidth="1"/>
    <col min="6" max="6" width="10.28515625" style="529" customWidth="1"/>
    <col min="7" max="7" width="9.7109375" style="9" customWidth="1"/>
    <col min="8" max="8" width="9.7109375" style="519" customWidth="1"/>
    <col min="9" max="9" width="9.7109375" style="9" customWidth="1"/>
    <col min="10" max="10" width="9.7109375" style="519" customWidth="1"/>
    <col min="11" max="11" width="10.85546875" style="9" customWidth="1"/>
    <col min="12" max="15" width="10.42578125" style="9" customWidth="1"/>
    <col min="16" max="16" width="16.28515625" style="9" customWidth="1"/>
    <col min="17" max="17" width="15.140625" style="9" customWidth="1"/>
    <col min="18" max="18" width="13.5703125" style="9" customWidth="1"/>
    <col min="19" max="19" width="10.5703125" style="9" customWidth="1"/>
    <col min="20" max="20" width="10.85546875" style="9" customWidth="1"/>
    <col min="21" max="21" width="18" style="9" customWidth="1"/>
    <col min="22" max="22" width="15.42578125" style="9" customWidth="1"/>
    <col min="23" max="23" width="12.140625" style="9" customWidth="1"/>
    <col min="24" max="24" width="13.42578125" style="9" customWidth="1"/>
    <col min="25" max="27" width="8.85546875" style="9" customWidth="1"/>
    <col min="28" max="28" width="9.28515625" style="9" customWidth="1"/>
    <col min="29" max="29" width="14" style="9" customWidth="1"/>
    <col min="30" max="31" width="8.85546875" style="9" customWidth="1"/>
    <col min="32" max="32" width="10.140625" style="9" customWidth="1"/>
    <col min="33" max="33" width="9.5703125" style="9" customWidth="1"/>
    <col min="34" max="34" width="16.140625" style="9" customWidth="1"/>
    <col min="35" max="35" width="12" style="9" customWidth="1"/>
    <col min="36" max="36" width="10.85546875" style="9" customWidth="1"/>
    <col min="37" max="37" width="9.85546875" style="1" customWidth="1"/>
    <col min="38" max="39" width="10.140625" style="1" customWidth="1"/>
    <col min="40" max="42" width="9.28515625" style="1" customWidth="1"/>
    <col min="43" max="43" width="9.85546875" style="1" customWidth="1"/>
    <col min="44" max="45" width="8.5703125" style="1" customWidth="1"/>
    <col min="46" max="48" width="8.85546875" style="1" customWidth="1"/>
    <col min="49" max="49" width="9.28515625" style="1" customWidth="1"/>
    <col min="50" max="51" width="8.85546875" style="1" customWidth="1"/>
    <col min="52" max="52" width="10" style="1" customWidth="1"/>
    <col min="53" max="54" width="8.85546875" style="1" customWidth="1"/>
    <col min="55" max="55" width="11" style="1" customWidth="1"/>
    <col min="56" max="57" width="9.5703125" style="1" customWidth="1"/>
    <col min="58" max="60" width="8.85546875" style="1" customWidth="1"/>
    <col min="61" max="61" width="10.42578125" style="1" customWidth="1"/>
    <col min="62" max="63" width="8.85546875" style="1" customWidth="1"/>
    <col min="64" max="64" width="9.7109375" style="1" customWidth="1"/>
    <col min="65" max="66" width="8.85546875" style="1" customWidth="1"/>
    <col min="67" max="67" width="9.28515625" style="1" customWidth="1"/>
    <col min="68" max="88" width="8.85546875" style="1" customWidth="1"/>
    <col min="89" max="89" width="9.85546875" style="1" customWidth="1"/>
    <col min="90" max="90" width="8.85546875" style="1" customWidth="1"/>
    <col min="91" max="91" width="10" style="1" customWidth="1"/>
    <col min="92" max="108" width="8.85546875" style="1" customWidth="1"/>
    <col min="109" max="109" width="9.42578125" style="1" customWidth="1"/>
    <col min="110" max="110" width="8.85546875" style="1" customWidth="1"/>
    <col min="111" max="111" width="12" style="1" customWidth="1"/>
    <col min="112" max="112" width="11.140625" style="1" customWidth="1"/>
    <col min="113" max="113" width="28.7109375" style="1" customWidth="1"/>
    <col min="114" max="114" width="5.85546875" style="1" customWidth="1"/>
    <col min="115" max="264" width="9.140625" style="1"/>
    <col min="265" max="265" width="3.42578125" style="1" customWidth="1"/>
    <col min="266" max="266" width="27.85546875" style="1" customWidth="1"/>
    <col min="267" max="267" width="11.85546875" style="1" customWidth="1"/>
    <col min="268" max="268" width="15.140625" style="1" customWidth="1"/>
    <col min="269" max="269" width="10.28515625" style="1" customWidth="1"/>
    <col min="270" max="271" width="9.7109375" style="1" customWidth="1"/>
    <col min="272" max="272" width="10.42578125" style="1" customWidth="1"/>
    <col min="273" max="273" width="10.42578125" style="1" bestFit="1" customWidth="1"/>
    <col min="274" max="274" width="16.28515625" style="1" customWidth="1"/>
    <col min="275" max="275" width="15.140625" style="1" customWidth="1"/>
    <col min="276" max="276" width="13.5703125" style="1" customWidth="1"/>
    <col min="277" max="277" width="10.5703125" style="1" customWidth="1"/>
    <col min="278" max="278" width="10.85546875" style="1" customWidth="1"/>
    <col min="279" max="279" width="18" style="1" customWidth="1"/>
    <col min="280" max="280" width="20.85546875" style="1" customWidth="1"/>
    <col min="281" max="281" width="13.5703125" style="1" customWidth="1"/>
    <col min="282" max="282" width="14.140625" style="1" customWidth="1"/>
    <col min="283" max="285" width="8.85546875" style="1" customWidth="1"/>
    <col min="286" max="286" width="9.28515625" style="1" customWidth="1"/>
    <col min="287" max="287" width="14" style="1" customWidth="1"/>
    <col min="288" max="289" width="8.85546875" style="1" customWidth="1"/>
    <col min="290" max="290" width="10.140625" style="1" customWidth="1"/>
    <col min="291" max="292" width="9.5703125" style="1" customWidth="1"/>
    <col min="293" max="293" width="9.85546875" style="1" customWidth="1"/>
    <col min="294" max="295" width="10.140625" style="1" customWidth="1"/>
    <col min="296" max="298" width="9.28515625" style="1" customWidth="1"/>
    <col min="299" max="299" width="9.85546875" style="1" customWidth="1"/>
    <col min="300" max="301" width="8.5703125" style="1" customWidth="1"/>
    <col min="302" max="304" width="8.85546875" style="1" customWidth="1"/>
    <col min="305" max="305" width="9.28515625" style="1" customWidth="1"/>
    <col min="306" max="307" width="8.85546875" style="1" customWidth="1"/>
    <col min="308" max="308" width="10" style="1" customWidth="1"/>
    <col min="309" max="310" width="8.85546875" style="1" customWidth="1"/>
    <col min="311" max="311" width="11" style="1" customWidth="1"/>
    <col min="312" max="313" width="9.5703125" style="1" customWidth="1"/>
    <col min="314" max="316" width="8.85546875" style="1" customWidth="1"/>
    <col min="317" max="317" width="10.42578125" style="1" customWidth="1"/>
    <col min="318" max="319" width="8.85546875" style="1" customWidth="1"/>
    <col min="320" max="320" width="9.7109375" style="1" customWidth="1"/>
    <col min="321" max="322" width="8.85546875" style="1" customWidth="1"/>
    <col min="323" max="323" width="9.28515625" style="1" customWidth="1"/>
    <col min="324" max="344" width="8.85546875" style="1" customWidth="1"/>
    <col min="345" max="345" width="9.85546875" style="1" customWidth="1"/>
    <col min="346" max="346" width="8.85546875" style="1" customWidth="1"/>
    <col min="347" max="347" width="10" style="1" customWidth="1"/>
    <col min="348" max="364" width="8.85546875" style="1" customWidth="1"/>
    <col min="365" max="365" width="9.42578125" style="1" customWidth="1"/>
    <col min="366" max="366" width="8.85546875" style="1" customWidth="1"/>
    <col min="367" max="367" width="12" style="1" customWidth="1"/>
    <col min="368" max="368" width="11.140625" style="1" customWidth="1"/>
    <col min="369" max="369" width="28.7109375" style="1" customWidth="1"/>
    <col min="370" max="370" width="5.85546875" style="1" customWidth="1"/>
    <col min="371" max="520" width="9.140625" style="1"/>
    <col min="521" max="521" width="3.42578125" style="1" customWidth="1"/>
    <col min="522" max="522" width="27.85546875" style="1" customWidth="1"/>
    <col min="523" max="523" width="11.85546875" style="1" customWidth="1"/>
    <col min="524" max="524" width="15.140625" style="1" customWidth="1"/>
    <col min="525" max="525" width="10.28515625" style="1" customWidth="1"/>
    <col min="526" max="527" width="9.7109375" style="1" customWidth="1"/>
    <col min="528" max="528" width="10.42578125" style="1" customWidth="1"/>
    <col min="529" max="529" width="10.42578125" style="1" bestFit="1" customWidth="1"/>
    <col min="530" max="530" width="16.28515625" style="1" customWidth="1"/>
    <col min="531" max="531" width="15.140625" style="1" customWidth="1"/>
    <col min="532" max="532" width="13.5703125" style="1" customWidth="1"/>
    <col min="533" max="533" width="10.5703125" style="1" customWidth="1"/>
    <col min="534" max="534" width="10.85546875" style="1" customWidth="1"/>
    <col min="535" max="535" width="18" style="1" customWidth="1"/>
    <col min="536" max="536" width="20.85546875" style="1" customWidth="1"/>
    <col min="537" max="537" width="13.5703125" style="1" customWidth="1"/>
    <col min="538" max="538" width="14.140625" style="1" customWidth="1"/>
    <col min="539" max="541" width="8.85546875" style="1" customWidth="1"/>
    <col min="542" max="542" width="9.28515625" style="1" customWidth="1"/>
    <col min="543" max="543" width="14" style="1" customWidth="1"/>
    <col min="544" max="545" width="8.85546875" style="1" customWidth="1"/>
    <col min="546" max="546" width="10.140625" style="1" customWidth="1"/>
    <col min="547" max="548" width="9.5703125" style="1" customWidth="1"/>
    <col min="549" max="549" width="9.85546875" style="1" customWidth="1"/>
    <col min="550" max="551" width="10.140625" style="1" customWidth="1"/>
    <col min="552" max="554" width="9.28515625" style="1" customWidth="1"/>
    <col min="555" max="555" width="9.85546875" style="1" customWidth="1"/>
    <col min="556" max="557" width="8.5703125" style="1" customWidth="1"/>
    <col min="558" max="560" width="8.85546875" style="1" customWidth="1"/>
    <col min="561" max="561" width="9.28515625" style="1" customWidth="1"/>
    <col min="562" max="563" width="8.85546875" style="1" customWidth="1"/>
    <col min="564" max="564" width="10" style="1" customWidth="1"/>
    <col min="565" max="566" width="8.85546875" style="1" customWidth="1"/>
    <col min="567" max="567" width="11" style="1" customWidth="1"/>
    <col min="568" max="569" width="9.5703125" style="1" customWidth="1"/>
    <col min="570" max="572" width="8.85546875" style="1" customWidth="1"/>
    <col min="573" max="573" width="10.42578125" style="1" customWidth="1"/>
    <col min="574" max="575" width="8.85546875" style="1" customWidth="1"/>
    <col min="576" max="576" width="9.7109375" style="1" customWidth="1"/>
    <col min="577" max="578" width="8.85546875" style="1" customWidth="1"/>
    <col min="579" max="579" width="9.28515625" style="1" customWidth="1"/>
    <col min="580" max="600" width="8.85546875" style="1" customWidth="1"/>
    <col min="601" max="601" width="9.85546875" style="1" customWidth="1"/>
    <col min="602" max="602" width="8.85546875" style="1" customWidth="1"/>
    <col min="603" max="603" width="10" style="1" customWidth="1"/>
    <col min="604" max="620" width="8.85546875" style="1" customWidth="1"/>
    <col min="621" max="621" width="9.42578125" style="1" customWidth="1"/>
    <col min="622" max="622" width="8.85546875" style="1" customWidth="1"/>
    <col min="623" max="623" width="12" style="1" customWidth="1"/>
    <col min="624" max="624" width="11.140625" style="1" customWidth="1"/>
    <col min="625" max="625" width="28.7109375" style="1" customWidth="1"/>
    <col min="626" max="626" width="5.85546875" style="1" customWidth="1"/>
    <col min="627" max="776" width="9.140625" style="1"/>
    <col min="777" max="777" width="3.42578125" style="1" customWidth="1"/>
    <col min="778" max="778" width="27.85546875" style="1" customWidth="1"/>
    <col min="779" max="779" width="11.85546875" style="1" customWidth="1"/>
    <col min="780" max="780" width="15.140625" style="1" customWidth="1"/>
    <col min="781" max="781" width="10.28515625" style="1" customWidth="1"/>
    <col min="782" max="783" width="9.7109375" style="1" customWidth="1"/>
    <col min="784" max="784" width="10.42578125" style="1" customWidth="1"/>
    <col min="785" max="785" width="10.42578125" style="1" bestFit="1" customWidth="1"/>
    <col min="786" max="786" width="16.28515625" style="1" customWidth="1"/>
    <col min="787" max="787" width="15.140625" style="1" customWidth="1"/>
    <col min="788" max="788" width="13.5703125" style="1" customWidth="1"/>
    <col min="789" max="789" width="10.5703125" style="1" customWidth="1"/>
    <col min="790" max="790" width="10.85546875" style="1" customWidth="1"/>
    <col min="791" max="791" width="18" style="1" customWidth="1"/>
    <col min="792" max="792" width="20.85546875" style="1" customWidth="1"/>
    <col min="793" max="793" width="13.5703125" style="1" customWidth="1"/>
    <col min="794" max="794" width="14.140625" style="1" customWidth="1"/>
    <col min="795" max="797" width="8.85546875" style="1" customWidth="1"/>
    <col min="798" max="798" width="9.28515625" style="1" customWidth="1"/>
    <col min="799" max="799" width="14" style="1" customWidth="1"/>
    <col min="800" max="801" width="8.85546875" style="1" customWidth="1"/>
    <col min="802" max="802" width="10.140625" style="1" customWidth="1"/>
    <col min="803" max="804" width="9.5703125" style="1" customWidth="1"/>
    <col min="805" max="805" width="9.85546875" style="1" customWidth="1"/>
    <col min="806" max="807" width="10.140625" style="1" customWidth="1"/>
    <col min="808" max="810" width="9.28515625" style="1" customWidth="1"/>
    <col min="811" max="811" width="9.85546875" style="1" customWidth="1"/>
    <col min="812" max="813" width="8.5703125" style="1" customWidth="1"/>
    <col min="814" max="816" width="8.85546875" style="1" customWidth="1"/>
    <col min="817" max="817" width="9.28515625" style="1" customWidth="1"/>
    <col min="818" max="819" width="8.85546875" style="1" customWidth="1"/>
    <col min="820" max="820" width="10" style="1" customWidth="1"/>
    <col min="821" max="822" width="8.85546875" style="1" customWidth="1"/>
    <col min="823" max="823" width="11" style="1" customWidth="1"/>
    <col min="824" max="825" width="9.5703125" style="1" customWidth="1"/>
    <col min="826" max="828" width="8.85546875" style="1" customWidth="1"/>
    <col min="829" max="829" width="10.42578125" style="1" customWidth="1"/>
    <col min="830" max="831" width="8.85546875" style="1" customWidth="1"/>
    <col min="832" max="832" width="9.7109375" style="1" customWidth="1"/>
    <col min="833" max="834" width="8.85546875" style="1" customWidth="1"/>
    <col min="835" max="835" width="9.28515625" style="1" customWidth="1"/>
    <col min="836" max="856" width="8.85546875" style="1" customWidth="1"/>
    <col min="857" max="857" width="9.85546875" style="1" customWidth="1"/>
    <col min="858" max="858" width="8.85546875" style="1" customWidth="1"/>
    <col min="859" max="859" width="10" style="1" customWidth="1"/>
    <col min="860" max="876" width="8.85546875" style="1" customWidth="1"/>
    <col min="877" max="877" width="9.42578125" style="1" customWidth="1"/>
    <col min="878" max="878" width="8.85546875" style="1" customWidth="1"/>
    <col min="879" max="879" width="12" style="1" customWidth="1"/>
    <col min="880" max="880" width="11.140625" style="1" customWidth="1"/>
    <col min="881" max="881" width="28.7109375" style="1" customWidth="1"/>
    <col min="882" max="882" width="5.85546875" style="1" customWidth="1"/>
    <col min="883" max="1032" width="9.140625" style="1"/>
    <col min="1033" max="1033" width="3.42578125" style="1" customWidth="1"/>
    <col min="1034" max="1034" width="27.85546875" style="1" customWidth="1"/>
    <col min="1035" max="1035" width="11.85546875" style="1" customWidth="1"/>
    <col min="1036" max="1036" width="15.140625" style="1" customWidth="1"/>
    <col min="1037" max="1037" width="10.28515625" style="1" customWidth="1"/>
    <col min="1038" max="1039" width="9.7109375" style="1" customWidth="1"/>
    <col min="1040" max="1040" width="10.42578125" style="1" customWidth="1"/>
    <col min="1041" max="1041" width="10.42578125" style="1" bestFit="1" customWidth="1"/>
    <col min="1042" max="1042" width="16.28515625" style="1" customWidth="1"/>
    <col min="1043" max="1043" width="15.140625" style="1" customWidth="1"/>
    <col min="1044" max="1044" width="13.5703125" style="1" customWidth="1"/>
    <col min="1045" max="1045" width="10.5703125" style="1" customWidth="1"/>
    <col min="1046" max="1046" width="10.85546875" style="1" customWidth="1"/>
    <col min="1047" max="1047" width="18" style="1" customWidth="1"/>
    <col min="1048" max="1048" width="20.85546875" style="1" customWidth="1"/>
    <col min="1049" max="1049" width="13.5703125" style="1" customWidth="1"/>
    <col min="1050" max="1050" width="14.140625" style="1" customWidth="1"/>
    <col min="1051" max="1053" width="8.85546875" style="1" customWidth="1"/>
    <col min="1054" max="1054" width="9.28515625" style="1" customWidth="1"/>
    <col min="1055" max="1055" width="14" style="1" customWidth="1"/>
    <col min="1056" max="1057" width="8.85546875" style="1" customWidth="1"/>
    <col min="1058" max="1058" width="10.140625" style="1" customWidth="1"/>
    <col min="1059" max="1060" width="9.5703125" style="1" customWidth="1"/>
    <col min="1061" max="1061" width="9.85546875" style="1" customWidth="1"/>
    <col min="1062" max="1063" width="10.140625" style="1" customWidth="1"/>
    <col min="1064" max="1066" width="9.28515625" style="1" customWidth="1"/>
    <col min="1067" max="1067" width="9.85546875" style="1" customWidth="1"/>
    <col min="1068" max="1069" width="8.5703125" style="1" customWidth="1"/>
    <col min="1070" max="1072" width="8.85546875" style="1" customWidth="1"/>
    <col min="1073" max="1073" width="9.28515625" style="1" customWidth="1"/>
    <col min="1074" max="1075" width="8.85546875" style="1" customWidth="1"/>
    <col min="1076" max="1076" width="10" style="1" customWidth="1"/>
    <col min="1077" max="1078" width="8.85546875" style="1" customWidth="1"/>
    <col min="1079" max="1079" width="11" style="1" customWidth="1"/>
    <col min="1080" max="1081" width="9.5703125" style="1" customWidth="1"/>
    <col min="1082" max="1084" width="8.85546875" style="1" customWidth="1"/>
    <col min="1085" max="1085" width="10.42578125" style="1" customWidth="1"/>
    <col min="1086" max="1087" width="8.85546875" style="1" customWidth="1"/>
    <col min="1088" max="1088" width="9.7109375" style="1" customWidth="1"/>
    <col min="1089" max="1090" width="8.85546875" style="1" customWidth="1"/>
    <col min="1091" max="1091" width="9.28515625" style="1" customWidth="1"/>
    <col min="1092" max="1112" width="8.85546875" style="1" customWidth="1"/>
    <col min="1113" max="1113" width="9.85546875" style="1" customWidth="1"/>
    <col min="1114" max="1114" width="8.85546875" style="1" customWidth="1"/>
    <col min="1115" max="1115" width="10" style="1" customWidth="1"/>
    <col min="1116" max="1132" width="8.85546875" style="1" customWidth="1"/>
    <col min="1133" max="1133" width="9.42578125" style="1" customWidth="1"/>
    <col min="1134" max="1134" width="8.85546875" style="1" customWidth="1"/>
    <col min="1135" max="1135" width="12" style="1" customWidth="1"/>
    <col min="1136" max="1136" width="11.140625" style="1" customWidth="1"/>
    <col min="1137" max="1137" width="28.7109375" style="1" customWidth="1"/>
    <col min="1138" max="1138" width="5.85546875" style="1" customWidth="1"/>
    <col min="1139" max="1288" width="9.140625" style="1"/>
    <col min="1289" max="1289" width="3.42578125" style="1" customWidth="1"/>
    <col min="1290" max="1290" width="27.85546875" style="1" customWidth="1"/>
    <col min="1291" max="1291" width="11.85546875" style="1" customWidth="1"/>
    <col min="1292" max="1292" width="15.140625" style="1" customWidth="1"/>
    <col min="1293" max="1293" width="10.28515625" style="1" customWidth="1"/>
    <col min="1294" max="1295" width="9.7109375" style="1" customWidth="1"/>
    <col min="1296" max="1296" width="10.42578125" style="1" customWidth="1"/>
    <col min="1297" max="1297" width="10.42578125" style="1" bestFit="1" customWidth="1"/>
    <col min="1298" max="1298" width="16.28515625" style="1" customWidth="1"/>
    <col min="1299" max="1299" width="15.140625" style="1" customWidth="1"/>
    <col min="1300" max="1300" width="13.5703125" style="1" customWidth="1"/>
    <col min="1301" max="1301" width="10.5703125" style="1" customWidth="1"/>
    <col min="1302" max="1302" width="10.85546875" style="1" customWidth="1"/>
    <col min="1303" max="1303" width="18" style="1" customWidth="1"/>
    <col min="1304" max="1304" width="20.85546875" style="1" customWidth="1"/>
    <col min="1305" max="1305" width="13.5703125" style="1" customWidth="1"/>
    <col min="1306" max="1306" width="14.140625" style="1" customWidth="1"/>
    <col min="1307" max="1309" width="8.85546875" style="1" customWidth="1"/>
    <col min="1310" max="1310" width="9.28515625" style="1" customWidth="1"/>
    <col min="1311" max="1311" width="14" style="1" customWidth="1"/>
    <col min="1312" max="1313" width="8.85546875" style="1" customWidth="1"/>
    <col min="1314" max="1314" width="10.140625" style="1" customWidth="1"/>
    <col min="1315" max="1316" width="9.5703125" style="1" customWidth="1"/>
    <col min="1317" max="1317" width="9.85546875" style="1" customWidth="1"/>
    <col min="1318" max="1319" width="10.140625" style="1" customWidth="1"/>
    <col min="1320" max="1322" width="9.28515625" style="1" customWidth="1"/>
    <col min="1323" max="1323" width="9.85546875" style="1" customWidth="1"/>
    <col min="1324" max="1325" width="8.5703125" style="1" customWidth="1"/>
    <col min="1326" max="1328" width="8.85546875" style="1" customWidth="1"/>
    <col min="1329" max="1329" width="9.28515625" style="1" customWidth="1"/>
    <col min="1330" max="1331" width="8.85546875" style="1" customWidth="1"/>
    <col min="1332" max="1332" width="10" style="1" customWidth="1"/>
    <col min="1333" max="1334" width="8.85546875" style="1" customWidth="1"/>
    <col min="1335" max="1335" width="11" style="1" customWidth="1"/>
    <col min="1336" max="1337" width="9.5703125" style="1" customWidth="1"/>
    <col min="1338" max="1340" width="8.85546875" style="1" customWidth="1"/>
    <col min="1341" max="1341" width="10.42578125" style="1" customWidth="1"/>
    <col min="1342" max="1343" width="8.85546875" style="1" customWidth="1"/>
    <col min="1344" max="1344" width="9.7109375" style="1" customWidth="1"/>
    <col min="1345" max="1346" width="8.85546875" style="1" customWidth="1"/>
    <col min="1347" max="1347" width="9.28515625" style="1" customWidth="1"/>
    <col min="1348" max="1368" width="8.85546875" style="1" customWidth="1"/>
    <col min="1369" max="1369" width="9.85546875" style="1" customWidth="1"/>
    <col min="1370" max="1370" width="8.85546875" style="1" customWidth="1"/>
    <col min="1371" max="1371" width="10" style="1" customWidth="1"/>
    <col min="1372" max="1388" width="8.85546875" style="1" customWidth="1"/>
    <col min="1389" max="1389" width="9.42578125" style="1" customWidth="1"/>
    <col min="1390" max="1390" width="8.85546875" style="1" customWidth="1"/>
    <col min="1391" max="1391" width="12" style="1" customWidth="1"/>
    <col min="1392" max="1392" width="11.140625" style="1" customWidth="1"/>
    <col min="1393" max="1393" width="28.7109375" style="1" customWidth="1"/>
    <col min="1394" max="1394" width="5.85546875" style="1" customWidth="1"/>
    <col min="1395" max="1544" width="9.140625" style="1"/>
    <col min="1545" max="1545" width="3.42578125" style="1" customWidth="1"/>
    <col min="1546" max="1546" width="27.85546875" style="1" customWidth="1"/>
    <col min="1547" max="1547" width="11.85546875" style="1" customWidth="1"/>
    <col min="1548" max="1548" width="15.140625" style="1" customWidth="1"/>
    <col min="1549" max="1549" width="10.28515625" style="1" customWidth="1"/>
    <col min="1550" max="1551" width="9.7109375" style="1" customWidth="1"/>
    <col min="1552" max="1552" width="10.42578125" style="1" customWidth="1"/>
    <col min="1553" max="1553" width="10.42578125" style="1" bestFit="1" customWidth="1"/>
    <col min="1554" max="1554" width="16.28515625" style="1" customWidth="1"/>
    <col min="1555" max="1555" width="15.140625" style="1" customWidth="1"/>
    <col min="1556" max="1556" width="13.5703125" style="1" customWidth="1"/>
    <col min="1557" max="1557" width="10.5703125" style="1" customWidth="1"/>
    <col min="1558" max="1558" width="10.85546875" style="1" customWidth="1"/>
    <col min="1559" max="1559" width="18" style="1" customWidth="1"/>
    <col min="1560" max="1560" width="20.85546875" style="1" customWidth="1"/>
    <col min="1561" max="1561" width="13.5703125" style="1" customWidth="1"/>
    <col min="1562" max="1562" width="14.140625" style="1" customWidth="1"/>
    <col min="1563" max="1565" width="8.85546875" style="1" customWidth="1"/>
    <col min="1566" max="1566" width="9.28515625" style="1" customWidth="1"/>
    <col min="1567" max="1567" width="14" style="1" customWidth="1"/>
    <col min="1568" max="1569" width="8.85546875" style="1" customWidth="1"/>
    <col min="1570" max="1570" width="10.140625" style="1" customWidth="1"/>
    <col min="1571" max="1572" width="9.5703125" style="1" customWidth="1"/>
    <col min="1573" max="1573" width="9.85546875" style="1" customWidth="1"/>
    <col min="1574" max="1575" width="10.140625" style="1" customWidth="1"/>
    <col min="1576" max="1578" width="9.28515625" style="1" customWidth="1"/>
    <col min="1579" max="1579" width="9.85546875" style="1" customWidth="1"/>
    <col min="1580" max="1581" width="8.5703125" style="1" customWidth="1"/>
    <col min="1582" max="1584" width="8.85546875" style="1" customWidth="1"/>
    <col min="1585" max="1585" width="9.28515625" style="1" customWidth="1"/>
    <col min="1586" max="1587" width="8.85546875" style="1" customWidth="1"/>
    <col min="1588" max="1588" width="10" style="1" customWidth="1"/>
    <col min="1589" max="1590" width="8.85546875" style="1" customWidth="1"/>
    <col min="1591" max="1591" width="11" style="1" customWidth="1"/>
    <col min="1592" max="1593" width="9.5703125" style="1" customWidth="1"/>
    <col min="1594" max="1596" width="8.85546875" style="1" customWidth="1"/>
    <col min="1597" max="1597" width="10.42578125" style="1" customWidth="1"/>
    <col min="1598" max="1599" width="8.85546875" style="1" customWidth="1"/>
    <col min="1600" max="1600" width="9.7109375" style="1" customWidth="1"/>
    <col min="1601" max="1602" width="8.85546875" style="1" customWidth="1"/>
    <col min="1603" max="1603" width="9.28515625" style="1" customWidth="1"/>
    <col min="1604" max="1624" width="8.85546875" style="1" customWidth="1"/>
    <col min="1625" max="1625" width="9.85546875" style="1" customWidth="1"/>
    <col min="1626" max="1626" width="8.85546875" style="1" customWidth="1"/>
    <col min="1627" max="1627" width="10" style="1" customWidth="1"/>
    <col min="1628" max="1644" width="8.85546875" style="1" customWidth="1"/>
    <col min="1645" max="1645" width="9.42578125" style="1" customWidth="1"/>
    <col min="1646" max="1646" width="8.85546875" style="1" customWidth="1"/>
    <col min="1647" max="1647" width="12" style="1" customWidth="1"/>
    <col min="1648" max="1648" width="11.140625" style="1" customWidth="1"/>
    <col min="1649" max="1649" width="28.7109375" style="1" customWidth="1"/>
    <col min="1650" max="1650" width="5.85546875" style="1" customWidth="1"/>
    <col min="1651" max="1800" width="9.140625" style="1"/>
    <col min="1801" max="1801" width="3.42578125" style="1" customWidth="1"/>
    <col min="1802" max="1802" width="27.85546875" style="1" customWidth="1"/>
    <col min="1803" max="1803" width="11.85546875" style="1" customWidth="1"/>
    <col min="1804" max="1804" width="15.140625" style="1" customWidth="1"/>
    <col min="1805" max="1805" width="10.28515625" style="1" customWidth="1"/>
    <col min="1806" max="1807" width="9.7109375" style="1" customWidth="1"/>
    <col min="1808" max="1808" width="10.42578125" style="1" customWidth="1"/>
    <col min="1809" max="1809" width="10.42578125" style="1" bestFit="1" customWidth="1"/>
    <col min="1810" max="1810" width="16.28515625" style="1" customWidth="1"/>
    <col min="1811" max="1811" width="15.140625" style="1" customWidth="1"/>
    <col min="1812" max="1812" width="13.5703125" style="1" customWidth="1"/>
    <col min="1813" max="1813" width="10.5703125" style="1" customWidth="1"/>
    <col min="1814" max="1814" width="10.85546875" style="1" customWidth="1"/>
    <col min="1815" max="1815" width="18" style="1" customWidth="1"/>
    <col min="1816" max="1816" width="20.85546875" style="1" customWidth="1"/>
    <col min="1817" max="1817" width="13.5703125" style="1" customWidth="1"/>
    <col min="1818" max="1818" width="14.140625" style="1" customWidth="1"/>
    <col min="1819" max="1821" width="8.85546875" style="1" customWidth="1"/>
    <col min="1822" max="1822" width="9.28515625" style="1" customWidth="1"/>
    <col min="1823" max="1823" width="14" style="1" customWidth="1"/>
    <col min="1824" max="1825" width="8.85546875" style="1" customWidth="1"/>
    <col min="1826" max="1826" width="10.140625" style="1" customWidth="1"/>
    <col min="1827" max="1828" width="9.5703125" style="1" customWidth="1"/>
    <col min="1829" max="1829" width="9.85546875" style="1" customWidth="1"/>
    <col min="1830" max="1831" width="10.140625" style="1" customWidth="1"/>
    <col min="1832" max="1834" width="9.28515625" style="1" customWidth="1"/>
    <col min="1835" max="1835" width="9.85546875" style="1" customWidth="1"/>
    <col min="1836" max="1837" width="8.5703125" style="1" customWidth="1"/>
    <col min="1838" max="1840" width="8.85546875" style="1" customWidth="1"/>
    <col min="1841" max="1841" width="9.28515625" style="1" customWidth="1"/>
    <col min="1842" max="1843" width="8.85546875" style="1" customWidth="1"/>
    <col min="1844" max="1844" width="10" style="1" customWidth="1"/>
    <col min="1845" max="1846" width="8.85546875" style="1" customWidth="1"/>
    <col min="1847" max="1847" width="11" style="1" customWidth="1"/>
    <col min="1848" max="1849" width="9.5703125" style="1" customWidth="1"/>
    <col min="1850" max="1852" width="8.85546875" style="1" customWidth="1"/>
    <col min="1853" max="1853" width="10.42578125" style="1" customWidth="1"/>
    <col min="1854" max="1855" width="8.85546875" style="1" customWidth="1"/>
    <col min="1856" max="1856" width="9.7109375" style="1" customWidth="1"/>
    <col min="1857" max="1858" width="8.85546875" style="1" customWidth="1"/>
    <col min="1859" max="1859" width="9.28515625" style="1" customWidth="1"/>
    <col min="1860" max="1880" width="8.85546875" style="1" customWidth="1"/>
    <col min="1881" max="1881" width="9.85546875" style="1" customWidth="1"/>
    <col min="1882" max="1882" width="8.85546875" style="1" customWidth="1"/>
    <col min="1883" max="1883" width="10" style="1" customWidth="1"/>
    <col min="1884" max="1900" width="8.85546875" style="1" customWidth="1"/>
    <col min="1901" max="1901" width="9.42578125" style="1" customWidth="1"/>
    <col min="1902" max="1902" width="8.85546875" style="1" customWidth="1"/>
    <col min="1903" max="1903" width="12" style="1" customWidth="1"/>
    <col min="1904" max="1904" width="11.140625" style="1" customWidth="1"/>
    <col min="1905" max="1905" width="28.7109375" style="1" customWidth="1"/>
    <col min="1906" max="1906" width="5.85546875" style="1" customWidth="1"/>
    <col min="1907" max="2056" width="9.140625" style="1"/>
    <col min="2057" max="2057" width="3.42578125" style="1" customWidth="1"/>
    <col min="2058" max="2058" width="27.85546875" style="1" customWidth="1"/>
    <col min="2059" max="2059" width="11.85546875" style="1" customWidth="1"/>
    <col min="2060" max="2060" width="15.140625" style="1" customWidth="1"/>
    <col min="2061" max="2061" width="10.28515625" style="1" customWidth="1"/>
    <col min="2062" max="2063" width="9.7109375" style="1" customWidth="1"/>
    <col min="2064" max="2064" width="10.42578125" style="1" customWidth="1"/>
    <col min="2065" max="2065" width="10.42578125" style="1" bestFit="1" customWidth="1"/>
    <col min="2066" max="2066" width="16.28515625" style="1" customWidth="1"/>
    <col min="2067" max="2067" width="15.140625" style="1" customWidth="1"/>
    <col min="2068" max="2068" width="13.5703125" style="1" customWidth="1"/>
    <col min="2069" max="2069" width="10.5703125" style="1" customWidth="1"/>
    <col min="2070" max="2070" width="10.85546875" style="1" customWidth="1"/>
    <col min="2071" max="2071" width="18" style="1" customWidth="1"/>
    <col min="2072" max="2072" width="20.85546875" style="1" customWidth="1"/>
    <col min="2073" max="2073" width="13.5703125" style="1" customWidth="1"/>
    <col min="2074" max="2074" width="14.140625" style="1" customWidth="1"/>
    <col min="2075" max="2077" width="8.85546875" style="1" customWidth="1"/>
    <col min="2078" max="2078" width="9.28515625" style="1" customWidth="1"/>
    <col min="2079" max="2079" width="14" style="1" customWidth="1"/>
    <col min="2080" max="2081" width="8.85546875" style="1" customWidth="1"/>
    <col min="2082" max="2082" width="10.140625" style="1" customWidth="1"/>
    <col min="2083" max="2084" width="9.5703125" style="1" customWidth="1"/>
    <col min="2085" max="2085" width="9.85546875" style="1" customWidth="1"/>
    <col min="2086" max="2087" width="10.140625" style="1" customWidth="1"/>
    <col min="2088" max="2090" width="9.28515625" style="1" customWidth="1"/>
    <col min="2091" max="2091" width="9.85546875" style="1" customWidth="1"/>
    <col min="2092" max="2093" width="8.5703125" style="1" customWidth="1"/>
    <col min="2094" max="2096" width="8.85546875" style="1" customWidth="1"/>
    <col min="2097" max="2097" width="9.28515625" style="1" customWidth="1"/>
    <col min="2098" max="2099" width="8.85546875" style="1" customWidth="1"/>
    <col min="2100" max="2100" width="10" style="1" customWidth="1"/>
    <col min="2101" max="2102" width="8.85546875" style="1" customWidth="1"/>
    <col min="2103" max="2103" width="11" style="1" customWidth="1"/>
    <col min="2104" max="2105" width="9.5703125" style="1" customWidth="1"/>
    <col min="2106" max="2108" width="8.85546875" style="1" customWidth="1"/>
    <col min="2109" max="2109" width="10.42578125" style="1" customWidth="1"/>
    <col min="2110" max="2111" width="8.85546875" style="1" customWidth="1"/>
    <col min="2112" max="2112" width="9.7109375" style="1" customWidth="1"/>
    <col min="2113" max="2114" width="8.85546875" style="1" customWidth="1"/>
    <col min="2115" max="2115" width="9.28515625" style="1" customWidth="1"/>
    <col min="2116" max="2136" width="8.85546875" style="1" customWidth="1"/>
    <col min="2137" max="2137" width="9.85546875" style="1" customWidth="1"/>
    <col min="2138" max="2138" width="8.85546875" style="1" customWidth="1"/>
    <col min="2139" max="2139" width="10" style="1" customWidth="1"/>
    <col min="2140" max="2156" width="8.85546875" style="1" customWidth="1"/>
    <col min="2157" max="2157" width="9.42578125" style="1" customWidth="1"/>
    <col min="2158" max="2158" width="8.85546875" style="1" customWidth="1"/>
    <col min="2159" max="2159" width="12" style="1" customWidth="1"/>
    <col min="2160" max="2160" width="11.140625" style="1" customWidth="1"/>
    <col min="2161" max="2161" width="28.7109375" style="1" customWidth="1"/>
    <col min="2162" max="2162" width="5.85546875" style="1" customWidth="1"/>
    <col min="2163" max="2312" width="9.140625" style="1"/>
    <col min="2313" max="2313" width="3.42578125" style="1" customWidth="1"/>
    <col min="2314" max="2314" width="27.85546875" style="1" customWidth="1"/>
    <col min="2315" max="2315" width="11.85546875" style="1" customWidth="1"/>
    <col min="2316" max="2316" width="15.140625" style="1" customWidth="1"/>
    <col min="2317" max="2317" width="10.28515625" style="1" customWidth="1"/>
    <col min="2318" max="2319" width="9.7109375" style="1" customWidth="1"/>
    <col min="2320" max="2320" width="10.42578125" style="1" customWidth="1"/>
    <col min="2321" max="2321" width="10.42578125" style="1" bestFit="1" customWidth="1"/>
    <col min="2322" max="2322" width="16.28515625" style="1" customWidth="1"/>
    <col min="2323" max="2323" width="15.140625" style="1" customWidth="1"/>
    <col min="2324" max="2324" width="13.5703125" style="1" customWidth="1"/>
    <col min="2325" max="2325" width="10.5703125" style="1" customWidth="1"/>
    <col min="2326" max="2326" width="10.85546875" style="1" customWidth="1"/>
    <col min="2327" max="2327" width="18" style="1" customWidth="1"/>
    <col min="2328" max="2328" width="20.85546875" style="1" customWidth="1"/>
    <col min="2329" max="2329" width="13.5703125" style="1" customWidth="1"/>
    <col min="2330" max="2330" width="14.140625" style="1" customWidth="1"/>
    <col min="2331" max="2333" width="8.85546875" style="1" customWidth="1"/>
    <col min="2334" max="2334" width="9.28515625" style="1" customWidth="1"/>
    <col min="2335" max="2335" width="14" style="1" customWidth="1"/>
    <col min="2336" max="2337" width="8.85546875" style="1" customWidth="1"/>
    <col min="2338" max="2338" width="10.140625" style="1" customWidth="1"/>
    <col min="2339" max="2340" width="9.5703125" style="1" customWidth="1"/>
    <col min="2341" max="2341" width="9.85546875" style="1" customWidth="1"/>
    <col min="2342" max="2343" width="10.140625" style="1" customWidth="1"/>
    <col min="2344" max="2346" width="9.28515625" style="1" customWidth="1"/>
    <col min="2347" max="2347" width="9.85546875" style="1" customWidth="1"/>
    <col min="2348" max="2349" width="8.5703125" style="1" customWidth="1"/>
    <col min="2350" max="2352" width="8.85546875" style="1" customWidth="1"/>
    <col min="2353" max="2353" width="9.28515625" style="1" customWidth="1"/>
    <col min="2354" max="2355" width="8.85546875" style="1" customWidth="1"/>
    <col min="2356" max="2356" width="10" style="1" customWidth="1"/>
    <col min="2357" max="2358" width="8.85546875" style="1" customWidth="1"/>
    <col min="2359" max="2359" width="11" style="1" customWidth="1"/>
    <col min="2360" max="2361" width="9.5703125" style="1" customWidth="1"/>
    <col min="2362" max="2364" width="8.85546875" style="1" customWidth="1"/>
    <col min="2365" max="2365" width="10.42578125" style="1" customWidth="1"/>
    <col min="2366" max="2367" width="8.85546875" style="1" customWidth="1"/>
    <col min="2368" max="2368" width="9.7109375" style="1" customWidth="1"/>
    <col min="2369" max="2370" width="8.85546875" style="1" customWidth="1"/>
    <col min="2371" max="2371" width="9.28515625" style="1" customWidth="1"/>
    <col min="2372" max="2392" width="8.85546875" style="1" customWidth="1"/>
    <col min="2393" max="2393" width="9.85546875" style="1" customWidth="1"/>
    <col min="2394" max="2394" width="8.85546875" style="1" customWidth="1"/>
    <col min="2395" max="2395" width="10" style="1" customWidth="1"/>
    <col min="2396" max="2412" width="8.85546875" style="1" customWidth="1"/>
    <col min="2413" max="2413" width="9.42578125" style="1" customWidth="1"/>
    <col min="2414" max="2414" width="8.85546875" style="1" customWidth="1"/>
    <col min="2415" max="2415" width="12" style="1" customWidth="1"/>
    <col min="2416" max="2416" width="11.140625" style="1" customWidth="1"/>
    <col min="2417" max="2417" width="28.7109375" style="1" customWidth="1"/>
    <col min="2418" max="2418" width="5.85546875" style="1" customWidth="1"/>
    <col min="2419" max="2568" width="9.140625" style="1"/>
    <col min="2569" max="2569" width="3.42578125" style="1" customWidth="1"/>
    <col min="2570" max="2570" width="27.85546875" style="1" customWidth="1"/>
    <col min="2571" max="2571" width="11.85546875" style="1" customWidth="1"/>
    <col min="2572" max="2572" width="15.140625" style="1" customWidth="1"/>
    <col min="2573" max="2573" width="10.28515625" style="1" customWidth="1"/>
    <col min="2574" max="2575" width="9.7109375" style="1" customWidth="1"/>
    <col min="2576" max="2576" width="10.42578125" style="1" customWidth="1"/>
    <col min="2577" max="2577" width="10.42578125" style="1" bestFit="1" customWidth="1"/>
    <col min="2578" max="2578" width="16.28515625" style="1" customWidth="1"/>
    <col min="2579" max="2579" width="15.140625" style="1" customWidth="1"/>
    <col min="2580" max="2580" width="13.5703125" style="1" customWidth="1"/>
    <col min="2581" max="2581" width="10.5703125" style="1" customWidth="1"/>
    <col min="2582" max="2582" width="10.85546875" style="1" customWidth="1"/>
    <col min="2583" max="2583" width="18" style="1" customWidth="1"/>
    <col min="2584" max="2584" width="20.85546875" style="1" customWidth="1"/>
    <col min="2585" max="2585" width="13.5703125" style="1" customWidth="1"/>
    <col min="2586" max="2586" width="14.140625" style="1" customWidth="1"/>
    <col min="2587" max="2589" width="8.85546875" style="1" customWidth="1"/>
    <col min="2590" max="2590" width="9.28515625" style="1" customWidth="1"/>
    <col min="2591" max="2591" width="14" style="1" customWidth="1"/>
    <col min="2592" max="2593" width="8.85546875" style="1" customWidth="1"/>
    <col min="2594" max="2594" width="10.140625" style="1" customWidth="1"/>
    <col min="2595" max="2596" width="9.5703125" style="1" customWidth="1"/>
    <col min="2597" max="2597" width="9.85546875" style="1" customWidth="1"/>
    <col min="2598" max="2599" width="10.140625" style="1" customWidth="1"/>
    <col min="2600" max="2602" width="9.28515625" style="1" customWidth="1"/>
    <col min="2603" max="2603" width="9.85546875" style="1" customWidth="1"/>
    <col min="2604" max="2605" width="8.5703125" style="1" customWidth="1"/>
    <col min="2606" max="2608" width="8.85546875" style="1" customWidth="1"/>
    <col min="2609" max="2609" width="9.28515625" style="1" customWidth="1"/>
    <col min="2610" max="2611" width="8.85546875" style="1" customWidth="1"/>
    <col min="2612" max="2612" width="10" style="1" customWidth="1"/>
    <col min="2613" max="2614" width="8.85546875" style="1" customWidth="1"/>
    <col min="2615" max="2615" width="11" style="1" customWidth="1"/>
    <col min="2616" max="2617" width="9.5703125" style="1" customWidth="1"/>
    <col min="2618" max="2620" width="8.85546875" style="1" customWidth="1"/>
    <col min="2621" max="2621" width="10.42578125" style="1" customWidth="1"/>
    <col min="2622" max="2623" width="8.85546875" style="1" customWidth="1"/>
    <col min="2624" max="2624" width="9.7109375" style="1" customWidth="1"/>
    <col min="2625" max="2626" width="8.85546875" style="1" customWidth="1"/>
    <col min="2627" max="2627" width="9.28515625" style="1" customWidth="1"/>
    <col min="2628" max="2648" width="8.85546875" style="1" customWidth="1"/>
    <col min="2649" max="2649" width="9.85546875" style="1" customWidth="1"/>
    <col min="2650" max="2650" width="8.85546875" style="1" customWidth="1"/>
    <col min="2651" max="2651" width="10" style="1" customWidth="1"/>
    <col min="2652" max="2668" width="8.85546875" style="1" customWidth="1"/>
    <col min="2669" max="2669" width="9.42578125" style="1" customWidth="1"/>
    <col min="2670" max="2670" width="8.85546875" style="1" customWidth="1"/>
    <col min="2671" max="2671" width="12" style="1" customWidth="1"/>
    <col min="2672" max="2672" width="11.140625" style="1" customWidth="1"/>
    <col min="2673" max="2673" width="28.7109375" style="1" customWidth="1"/>
    <col min="2674" max="2674" width="5.85546875" style="1" customWidth="1"/>
    <col min="2675" max="2824" width="9.140625" style="1"/>
    <col min="2825" max="2825" width="3.42578125" style="1" customWidth="1"/>
    <col min="2826" max="2826" width="27.85546875" style="1" customWidth="1"/>
    <col min="2827" max="2827" width="11.85546875" style="1" customWidth="1"/>
    <col min="2828" max="2828" width="15.140625" style="1" customWidth="1"/>
    <col min="2829" max="2829" width="10.28515625" style="1" customWidth="1"/>
    <col min="2830" max="2831" width="9.7109375" style="1" customWidth="1"/>
    <col min="2832" max="2832" width="10.42578125" style="1" customWidth="1"/>
    <col min="2833" max="2833" width="10.42578125" style="1" bestFit="1" customWidth="1"/>
    <col min="2834" max="2834" width="16.28515625" style="1" customWidth="1"/>
    <col min="2835" max="2835" width="15.140625" style="1" customWidth="1"/>
    <col min="2836" max="2836" width="13.5703125" style="1" customWidth="1"/>
    <col min="2837" max="2837" width="10.5703125" style="1" customWidth="1"/>
    <col min="2838" max="2838" width="10.85546875" style="1" customWidth="1"/>
    <col min="2839" max="2839" width="18" style="1" customWidth="1"/>
    <col min="2840" max="2840" width="20.85546875" style="1" customWidth="1"/>
    <col min="2841" max="2841" width="13.5703125" style="1" customWidth="1"/>
    <col min="2842" max="2842" width="14.140625" style="1" customWidth="1"/>
    <col min="2843" max="2845" width="8.85546875" style="1" customWidth="1"/>
    <col min="2846" max="2846" width="9.28515625" style="1" customWidth="1"/>
    <col min="2847" max="2847" width="14" style="1" customWidth="1"/>
    <col min="2848" max="2849" width="8.85546875" style="1" customWidth="1"/>
    <col min="2850" max="2850" width="10.140625" style="1" customWidth="1"/>
    <col min="2851" max="2852" width="9.5703125" style="1" customWidth="1"/>
    <col min="2853" max="2853" width="9.85546875" style="1" customWidth="1"/>
    <col min="2854" max="2855" width="10.140625" style="1" customWidth="1"/>
    <col min="2856" max="2858" width="9.28515625" style="1" customWidth="1"/>
    <col min="2859" max="2859" width="9.85546875" style="1" customWidth="1"/>
    <col min="2860" max="2861" width="8.5703125" style="1" customWidth="1"/>
    <col min="2862" max="2864" width="8.85546875" style="1" customWidth="1"/>
    <col min="2865" max="2865" width="9.28515625" style="1" customWidth="1"/>
    <col min="2866" max="2867" width="8.85546875" style="1" customWidth="1"/>
    <col min="2868" max="2868" width="10" style="1" customWidth="1"/>
    <col min="2869" max="2870" width="8.85546875" style="1" customWidth="1"/>
    <col min="2871" max="2871" width="11" style="1" customWidth="1"/>
    <col min="2872" max="2873" width="9.5703125" style="1" customWidth="1"/>
    <col min="2874" max="2876" width="8.85546875" style="1" customWidth="1"/>
    <col min="2877" max="2877" width="10.42578125" style="1" customWidth="1"/>
    <col min="2878" max="2879" width="8.85546875" style="1" customWidth="1"/>
    <col min="2880" max="2880" width="9.7109375" style="1" customWidth="1"/>
    <col min="2881" max="2882" width="8.85546875" style="1" customWidth="1"/>
    <col min="2883" max="2883" width="9.28515625" style="1" customWidth="1"/>
    <col min="2884" max="2904" width="8.85546875" style="1" customWidth="1"/>
    <col min="2905" max="2905" width="9.85546875" style="1" customWidth="1"/>
    <col min="2906" max="2906" width="8.85546875" style="1" customWidth="1"/>
    <col min="2907" max="2907" width="10" style="1" customWidth="1"/>
    <col min="2908" max="2924" width="8.85546875" style="1" customWidth="1"/>
    <col min="2925" max="2925" width="9.42578125" style="1" customWidth="1"/>
    <col min="2926" max="2926" width="8.85546875" style="1" customWidth="1"/>
    <col min="2927" max="2927" width="12" style="1" customWidth="1"/>
    <col min="2928" max="2928" width="11.140625" style="1" customWidth="1"/>
    <col min="2929" max="2929" width="28.7109375" style="1" customWidth="1"/>
    <col min="2930" max="2930" width="5.85546875" style="1" customWidth="1"/>
    <col min="2931" max="3080" width="9.140625" style="1"/>
    <col min="3081" max="3081" width="3.42578125" style="1" customWidth="1"/>
    <col min="3082" max="3082" width="27.85546875" style="1" customWidth="1"/>
    <col min="3083" max="3083" width="11.85546875" style="1" customWidth="1"/>
    <col min="3084" max="3084" width="15.140625" style="1" customWidth="1"/>
    <col min="3085" max="3085" width="10.28515625" style="1" customWidth="1"/>
    <col min="3086" max="3087" width="9.7109375" style="1" customWidth="1"/>
    <col min="3088" max="3088" width="10.42578125" style="1" customWidth="1"/>
    <col min="3089" max="3089" width="10.42578125" style="1" bestFit="1" customWidth="1"/>
    <col min="3090" max="3090" width="16.28515625" style="1" customWidth="1"/>
    <col min="3091" max="3091" width="15.140625" style="1" customWidth="1"/>
    <col min="3092" max="3092" width="13.5703125" style="1" customWidth="1"/>
    <col min="3093" max="3093" width="10.5703125" style="1" customWidth="1"/>
    <col min="3094" max="3094" width="10.85546875" style="1" customWidth="1"/>
    <col min="3095" max="3095" width="18" style="1" customWidth="1"/>
    <col min="3096" max="3096" width="20.85546875" style="1" customWidth="1"/>
    <col min="3097" max="3097" width="13.5703125" style="1" customWidth="1"/>
    <col min="3098" max="3098" width="14.140625" style="1" customWidth="1"/>
    <col min="3099" max="3101" width="8.85546875" style="1" customWidth="1"/>
    <col min="3102" max="3102" width="9.28515625" style="1" customWidth="1"/>
    <col min="3103" max="3103" width="14" style="1" customWidth="1"/>
    <col min="3104" max="3105" width="8.85546875" style="1" customWidth="1"/>
    <col min="3106" max="3106" width="10.140625" style="1" customWidth="1"/>
    <col min="3107" max="3108" width="9.5703125" style="1" customWidth="1"/>
    <col min="3109" max="3109" width="9.85546875" style="1" customWidth="1"/>
    <col min="3110" max="3111" width="10.140625" style="1" customWidth="1"/>
    <col min="3112" max="3114" width="9.28515625" style="1" customWidth="1"/>
    <col min="3115" max="3115" width="9.85546875" style="1" customWidth="1"/>
    <col min="3116" max="3117" width="8.5703125" style="1" customWidth="1"/>
    <col min="3118" max="3120" width="8.85546875" style="1" customWidth="1"/>
    <col min="3121" max="3121" width="9.28515625" style="1" customWidth="1"/>
    <col min="3122" max="3123" width="8.85546875" style="1" customWidth="1"/>
    <col min="3124" max="3124" width="10" style="1" customWidth="1"/>
    <col min="3125" max="3126" width="8.85546875" style="1" customWidth="1"/>
    <col min="3127" max="3127" width="11" style="1" customWidth="1"/>
    <col min="3128" max="3129" width="9.5703125" style="1" customWidth="1"/>
    <col min="3130" max="3132" width="8.85546875" style="1" customWidth="1"/>
    <col min="3133" max="3133" width="10.42578125" style="1" customWidth="1"/>
    <col min="3134" max="3135" width="8.85546875" style="1" customWidth="1"/>
    <col min="3136" max="3136" width="9.7109375" style="1" customWidth="1"/>
    <col min="3137" max="3138" width="8.85546875" style="1" customWidth="1"/>
    <col min="3139" max="3139" width="9.28515625" style="1" customWidth="1"/>
    <col min="3140" max="3160" width="8.85546875" style="1" customWidth="1"/>
    <col min="3161" max="3161" width="9.85546875" style="1" customWidth="1"/>
    <col min="3162" max="3162" width="8.85546875" style="1" customWidth="1"/>
    <col min="3163" max="3163" width="10" style="1" customWidth="1"/>
    <col min="3164" max="3180" width="8.85546875" style="1" customWidth="1"/>
    <col min="3181" max="3181" width="9.42578125" style="1" customWidth="1"/>
    <col min="3182" max="3182" width="8.85546875" style="1" customWidth="1"/>
    <col min="3183" max="3183" width="12" style="1" customWidth="1"/>
    <col min="3184" max="3184" width="11.140625" style="1" customWidth="1"/>
    <col min="3185" max="3185" width="28.7109375" style="1" customWidth="1"/>
    <col min="3186" max="3186" width="5.85546875" style="1" customWidth="1"/>
    <col min="3187" max="3336" width="9.140625" style="1"/>
    <col min="3337" max="3337" width="3.42578125" style="1" customWidth="1"/>
    <col min="3338" max="3338" width="27.85546875" style="1" customWidth="1"/>
    <col min="3339" max="3339" width="11.85546875" style="1" customWidth="1"/>
    <col min="3340" max="3340" width="15.140625" style="1" customWidth="1"/>
    <col min="3341" max="3341" width="10.28515625" style="1" customWidth="1"/>
    <col min="3342" max="3343" width="9.7109375" style="1" customWidth="1"/>
    <col min="3344" max="3344" width="10.42578125" style="1" customWidth="1"/>
    <col min="3345" max="3345" width="10.42578125" style="1" bestFit="1" customWidth="1"/>
    <col min="3346" max="3346" width="16.28515625" style="1" customWidth="1"/>
    <col min="3347" max="3347" width="15.140625" style="1" customWidth="1"/>
    <col min="3348" max="3348" width="13.5703125" style="1" customWidth="1"/>
    <col min="3349" max="3349" width="10.5703125" style="1" customWidth="1"/>
    <col min="3350" max="3350" width="10.85546875" style="1" customWidth="1"/>
    <col min="3351" max="3351" width="18" style="1" customWidth="1"/>
    <col min="3352" max="3352" width="20.85546875" style="1" customWidth="1"/>
    <col min="3353" max="3353" width="13.5703125" style="1" customWidth="1"/>
    <col min="3354" max="3354" width="14.140625" style="1" customWidth="1"/>
    <col min="3355" max="3357" width="8.85546875" style="1" customWidth="1"/>
    <col min="3358" max="3358" width="9.28515625" style="1" customWidth="1"/>
    <col min="3359" max="3359" width="14" style="1" customWidth="1"/>
    <col min="3360" max="3361" width="8.85546875" style="1" customWidth="1"/>
    <col min="3362" max="3362" width="10.140625" style="1" customWidth="1"/>
    <col min="3363" max="3364" width="9.5703125" style="1" customWidth="1"/>
    <col min="3365" max="3365" width="9.85546875" style="1" customWidth="1"/>
    <col min="3366" max="3367" width="10.140625" style="1" customWidth="1"/>
    <col min="3368" max="3370" width="9.28515625" style="1" customWidth="1"/>
    <col min="3371" max="3371" width="9.85546875" style="1" customWidth="1"/>
    <col min="3372" max="3373" width="8.5703125" style="1" customWidth="1"/>
    <col min="3374" max="3376" width="8.85546875" style="1" customWidth="1"/>
    <col min="3377" max="3377" width="9.28515625" style="1" customWidth="1"/>
    <col min="3378" max="3379" width="8.85546875" style="1" customWidth="1"/>
    <col min="3380" max="3380" width="10" style="1" customWidth="1"/>
    <col min="3381" max="3382" width="8.85546875" style="1" customWidth="1"/>
    <col min="3383" max="3383" width="11" style="1" customWidth="1"/>
    <col min="3384" max="3385" width="9.5703125" style="1" customWidth="1"/>
    <col min="3386" max="3388" width="8.85546875" style="1" customWidth="1"/>
    <col min="3389" max="3389" width="10.42578125" style="1" customWidth="1"/>
    <col min="3390" max="3391" width="8.85546875" style="1" customWidth="1"/>
    <col min="3392" max="3392" width="9.7109375" style="1" customWidth="1"/>
    <col min="3393" max="3394" width="8.85546875" style="1" customWidth="1"/>
    <col min="3395" max="3395" width="9.28515625" style="1" customWidth="1"/>
    <col min="3396" max="3416" width="8.85546875" style="1" customWidth="1"/>
    <col min="3417" max="3417" width="9.85546875" style="1" customWidth="1"/>
    <col min="3418" max="3418" width="8.85546875" style="1" customWidth="1"/>
    <col min="3419" max="3419" width="10" style="1" customWidth="1"/>
    <col min="3420" max="3436" width="8.85546875" style="1" customWidth="1"/>
    <col min="3437" max="3437" width="9.42578125" style="1" customWidth="1"/>
    <col min="3438" max="3438" width="8.85546875" style="1" customWidth="1"/>
    <col min="3439" max="3439" width="12" style="1" customWidth="1"/>
    <col min="3440" max="3440" width="11.140625" style="1" customWidth="1"/>
    <col min="3441" max="3441" width="28.7109375" style="1" customWidth="1"/>
    <col min="3442" max="3442" width="5.85546875" style="1" customWidth="1"/>
    <col min="3443" max="3592" width="9.140625" style="1"/>
    <col min="3593" max="3593" width="3.42578125" style="1" customWidth="1"/>
    <col min="3594" max="3594" width="27.85546875" style="1" customWidth="1"/>
    <col min="3595" max="3595" width="11.85546875" style="1" customWidth="1"/>
    <col min="3596" max="3596" width="15.140625" style="1" customWidth="1"/>
    <col min="3597" max="3597" width="10.28515625" style="1" customWidth="1"/>
    <col min="3598" max="3599" width="9.7109375" style="1" customWidth="1"/>
    <col min="3600" max="3600" width="10.42578125" style="1" customWidth="1"/>
    <col min="3601" max="3601" width="10.42578125" style="1" bestFit="1" customWidth="1"/>
    <col min="3602" max="3602" width="16.28515625" style="1" customWidth="1"/>
    <col min="3603" max="3603" width="15.140625" style="1" customWidth="1"/>
    <col min="3604" max="3604" width="13.5703125" style="1" customWidth="1"/>
    <col min="3605" max="3605" width="10.5703125" style="1" customWidth="1"/>
    <col min="3606" max="3606" width="10.85546875" style="1" customWidth="1"/>
    <col min="3607" max="3607" width="18" style="1" customWidth="1"/>
    <col min="3608" max="3608" width="20.85546875" style="1" customWidth="1"/>
    <col min="3609" max="3609" width="13.5703125" style="1" customWidth="1"/>
    <col min="3610" max="3610" width="14.140625" style="1" customWidth="1"/>
    <col min="3611" max="3613" width="8.85546875" style="1" customWidth="1"/>
    <col min="3614" max="3614" width="9.28515625" style="1" customWidth="1"/>
    <col min="3615" max="3615" width="14" style="1" customWidth="1"/>
    <col min="3616" max="3617" width="8.85546875" style="1" customWidth="1"/>
    <col min="3618" max="3618" width="10.140625" style="1" customWidth="1"/>
    <col min="3619" max="3620" width="9.5703125" style="1" customWidth="1"/>
    <col min="3621" max="3621" width="9.85546875" style="1" customWidth="1"/>
    <col min="3622" max="3623" width="10.140625" style="1" customWidth="1"/>
    <col min="3624" max="3626" width="9.28515625" style="1" customWidth="1"/>
    <col min="3627" max="3627" width="9.85546875" style="1" customWidth="1"/>
    <col min="3628" max="3629" width="8.5703125" style="1" customWidth="1"/>
    <col min="3630" max="3632" width="8.85546875" style="1" customWidth="1"/>
    <col min="3633" max="3633" width="9.28515625" style="1" customWidth="1"/>
    <col min="3634" max="3635" width="8.85546875" style="1" customWidth="1"/>
    <col min="3636" max="3636" width="10" style="1" customWidth="1"/>
    <col min="3637" max="3638" width="8.85546875" style="1" customWidth="1"/>
    <col min="3639" max="3639" width="11" style="1" customWidth="1"/>
    <col min="3640" max="3641" width="9.5703125" style="1" customWidth="1"/>
    <col min="3642" max="3644" width="8.85546875" style="1" customWidth="1"/>
    <col min="3645" max="3645" width="10.42578125" style="1" customWidth="1"/>
    <col min="3646" max="3647" width="8.85546875" style="1" customWidth="1"/>
    <col min="3648" max="3648" width="9.7109375" style="1" customWidth="1"/>
    <col min="3649" max="3650" width="8.85546875" style="1" customWidth="1"/>
    <col min="3651" max="3651" width="9.28515625" style="1" customWidth="1"/>
    <col min="3652" max="3672" width="8.85546875" style="1" customWidth="1"/>
    <col min="3673" max="3673" width="9.85546875" style="1" customWidth="1"/>
    <col min="3674" max="3674" width="8.85546875" style="1" customWidth="1"/>
    <col min="3675" max="3675" width="10" style="1" customWidth="1"/>
    <col min="3676" max="3692" width="8.85546875" style="1" customWidth="1"/>
    <col min="3693" max="3693" width="9.42578125" style="1" customWidth="1"/>
    <col min="3694" max="3694" width="8.85546875" style="1" customWidth="1"/>
    <col min="3695" max="3695" width="12" style="1" customWidth="1"/>
    <col min="3696" max="3696" width="11.140625" style="1" customWidth="1"/>
    <col min="3697" max="3697" width="28.7109375" style="1" customWidth="1"/>
    <col min="3698" max="3698" width="5.85546875" style="1" customWidth="1"/>
    <col min="3699" max="3848" width="9.140625" style="1"/>
    <col min="3849" max="3849" width="3.42578125" style="1" customWidth="1"/>
    <col min="3850" max="3850" width="27.85546875" style="1" customWidth="1"/>
    <col min="3851" max="3851" width="11.85546875" style="1" customWidth="1"/>
    <col min="3852" max="3852" width="15.140625" style="1" customWidth="1"/>
    <col min="3853" max="3853" width="10.28515625" style="1" customWidth="1"/>
    <col min="3854" max="3855" width="9.7109375" style="1" customWidth="1"/>
    <col min="3856" max="3856" width="10.42578125" style="1" customWidth="1"/>
    <col min="3857" max="3857" width="10.42578125" style="1" bestFit="1" customWidth="1"/>
    <col min="3858" max="3858" width="16.28515625" style="1" customWidth="1"/>
    <col min="3859" max="3859" width="15.140625" style="1" customWidth="1"/>
    <col min="3860" max="3860" width="13.5703125" style="1" customWidth="1"/>
    <col min="3861" max="3861" width="10.5703125" style="1" customWidth="1"/>
    <col min="3862" max="3862" width="10.85546875" style="1" customWidth="1"/>
    <col min="3863" max="3863" width="18" style="1" customWidth="1"/>
    <col min="3864" max="3864" width="20.85546875" style="1" customWidth="1"/>
    <col min="3865" max="3865" width="13.5703125" style="1" customWidth="1"/>
    <col min="3866" max="3866" width="14.140625" style="1" customWidth="1"/>
    <col min="3867" max="3869" width="8.85546875" style="1" customWidth="1"/>
    <col min="3870" max="3870" width="9.28515625" style="1" customWidth="1"/>
    <col min="3871" max="3871" width="14" style="1" customWidth="1"/>
    <col min="3872" max="3873" width="8.85546875" style="1" customWidth="1"/>
    <col min="3874" max="3874" width="10.140625" style="1" customWidth="1"/>
    <col min="3875" max="3876" width="9.5703125" style="1" customWidth="1"/>
    <col min="3877" max="3877" width="9.85546875" style="1" customWidth="1"/>
    <col min="3878" max="3879" width="10.140625" style="1" customWidth="1"/>
    <col min="3880" max="3882" width="9.28515625" style="1" customWidth="1"/>
    <col min="3883" max="3883" width="9.85546875" style="1" customWidth="1"/>
    <col min="3884" max="3885" width="8.5703125" style="1" customWidth="1"/>
    <col min="3886" max="3888" width="8.85546875" style="1" customWidth="1"/>
    <col min="3889" max="3889" width="9.28515625" style="1" customWidth="1"/>
    <col min="3890" max="3891" width="8.85546875" style="1" customWidth="1"/>
    <col min="3892" max="3892" width="10" style="1" customWidth="1"/>
    <col min="3893" max="3894" width="8.85546875" style="1" customWidth="1"/>
    <col min="3895" max="3895" width="11" style="1" customWidth="1"/>
    <col min="3896" max="3897" width="9.5703125" style="1" customWidth="1"/>
    <col min="3898" max="3900" width="8.85546875" style="1" customWidth="1"/>
    <col min="3901" max="3901" width="10.42578125" style="1" customWidth="1"/>
    <col min="3902" max="3903" width="8.85546875" style="1" customWidth="1"/>
    <col min="3904" max="3904" width="9.7109375" style="1" customWidth="1"/>
    <col min="3905" max="3906" width="8.85546875" style="1" customWidth="1"/>
    <col min="3907" max="3907" width="9.28515625" style="1" customWidth="1"/>
    <col min="3908" max="3928" width="8.85546875" style="1" customWidth="1"/>
    <col min="3929" max="3929" width="9.85546875" style="1" customWidth="1"/>
    <col min="3930" max="3930" width="8.85546875" style="1" customWidth="1"/>
    <col min="3931" max="3931" width="10" style="1" customWidth="1"/>
    <col min="3932" max="3948" width="8.85546875" style="1" customWidth="1"/>
    <col min="3949" max="3949" width="9.42578125" style="1" customWidth="1"/>
    <col min="3950" max="3950" width="8.85546875" style="1" customWidth="1"/>
    <col min="3951" max="3951" width="12" style="1" customWidth="1"/>
    <col min="3952" max="3952" width="11.140625" style="1" customWidth="1"/>
    <col min="3953" max="3953" width="28.7109375" style="1" customWidth="1"/>
    <col min="3954" max="3954" width="5.85546875" style="1" customWidth="1"/>
    <col min="3955" max="4104" width="9.140625" style="1"/>
    <col min="4105" max="4105" width="3.42578125" style="1" customWidth="1"/>
    <col min="4106" max="4106" width="27.85546875" style="1" customWidth="1"/>
    <col min="4107" max="4107" width="11.85546875" style="1" customWidth="1"/>
    <col min="4108" max="4108" width="15.140625" style="1" customWidth="1"/>
    <col min="4109" max="4109" width="10.28515625" style="1" customWidth="1"/>
    <col min="4110" max="4111" width="9.7109375" style="1" customWidth="1"/>
    <col min="4112" max="4112" width="10.42578125" style="1" customWidth="1"/>
    <col min="4113" max="4113" width="10.42578125" style="1" bestFit="1" customWidth="1"/>
    <col min="4114" max="4114" width="16.28515625" style="1" customWidth="1"/>
    <col min="4115" max="4115" width="15.140625" style="1" customWidth="1"/>
    <col min="4116" max="4116" width="13.5703125" style="1" customWidth="1"/>
    <col min="4117" max="4117" width="10.5703125" style="1" customWidth="1"/>
    <col min="4118" max="4118" width="10.85546875" style="1" customWidth="1"/>
    <col min="4119" max="4119" width="18" style="1" customWidth="1"/>
    <col min="4120" max="4120" width="20.85546875" style="1" customWidth="1"/>
    <col min="4121" max="4121" width="13.5703125" style="1" customWidth="1"/>
    <col min="4122" max="4122" width="14.140625" style="1" customWidth="1"/>
    <col min="4123" max="4125" width="8.85546875" style="1" customWidth="1"/>
    <col min="4126" max="4126" width="9.28515625" style="1" customWidth="1"/>
    <col min="4127" max="4127" width="14" style="1" customWidth="1"/>
    <col min="4128" max="4129" width="8.85546875" style="1" customWidth="1"/>
    <col min="4130" max="4130" width="10.140625" style="1" customWidth="1"/>
    <col min="4131" max="4132" width="9.5703125" style="1" customWidth="1"/>
    <col min="4133" max="4133" width="9.85546875" style="1" customWidth="1"/>
    <col min="4134" max="4135" width="10.140625" style="1" customWidth="1"/>
    <col min="4136" max="4138" width="9.28515625" style="1" customWidth="1"/>
    <col min="4139" max="4139" width="9.85546875" style="1" customWidth="1"/>
    <col min="4140" max="4141" width="8.5703125" style="1" customWidth="1"/>
    <col min="4142" max="4144" width="8.85546875" style="1" customWidth="1"/>
    <col min="4145" max="4145" width="9.28515625" style="1" customWidth="1"/>
    <col min="4146" max="4147" width="8.85546875" style="1" customWidth="1"/>
    <col min="4148" max="4148" width="10" style="1" customWidth="1"/>
    <col min="4149" max="4150" width="8.85546875" style="1" customWidth="1"/>
    <col min="4151" max="4151" width="11" style="1" customWidth="1"/>
    <col min="4152" max="4153" width="9.5703125" style="1" customWidth="1"/>
    <col min="4154" max="4156" width="8.85546875" style="1" customWidth="1"/>
    <col min="4157" max="4157" width="10.42578125" style="1" customWidth="1"/>
    <col min="4158" max="4159" width="8.85546875" style="1" customWidth="1"/>
    <col min="4160" max="4160" width="9.7109375" style="1" customWidth="1"/>
    <col min="4161" max="4162" width="8.85546875" style="1" customWidth="1"/>
    <col min="4163" max="4163" width="9.28515625" style="1" customWidth="1"/>
    <col min="4164" max="4184" width="8.85546875" style="1" customWidth="1"/>
    <col min="4185" max="4185" width="9.85546875" style="1" customWidth="1"/>
    <col min="4186" max="4186" width="8.85546875" style="1" customWidth="1"/>
    <col min="4187" max="4187" width="10" style="1" customWidth="1"/>
    <col min="4188" max="4204" width="8.85546875" style="1" customWidth="1"/>
    <col min="4205" max="4205" width="9.42578125" style="1" customWidth="1"/>
    <col min="4206" max="4206" width="8.85546875" style="1" customWidth="1"/>
    <col min="4207" max="4207" width="12" style="1" customWidth="1"/>
    <col min="4208" max="4208" width="11.140625" style="1" customWidth="1"/>
    <col min="4209" max="4209" width="28.7109375" style="1" customWidth="1"/>
    <col min="4210" max="4210" width="5.85546875" style="1" customWidth="1"/>
    <col min="4211" max="4360" width="9.140625" style="1"/>
    <col min="4361" max="4361" width="3.42578125" style="1" customWidth="1"/>
    <col min="4362" max="4362" width="27.85546875" style="1" customWidth="1"/>
    <col min="4363" max="4363" width="11.85546875" style="1" customWidth="1"/>
    <col min="4364" max="4364" width="15.140625" style="1" customWidth="1"/>
    <col min="4365" max="4365" width="10.28515625" style="1" customWidth="1"/>
    <col min="4366" max="4367" width="9.7109375" style="1" customWidth="1"/>
    <col min="4368" max="4368" width="10.42578125" style="1" customWidth="1"/>
    <col min="4369" max="4369" width="10.42578125" style="1" bestFit="1" customWidth="1"/>
    <col min="4370" max="4370" width="16.28515625" style="1" customWidth="1"/>
    <col min="4371" max="4371" width="15.140625" style="1" customWidth="1"/>
    <col min="4372" max="4372" width="13.5703125" style="1" customWidth="1"/>
    <col min="4373" max="4373" width="10.5703125" style="1" customWidth="1"/>
    <col min="4374" max="4374" width="10.85546875" style="1" customWidth="1"/>
    <col min="4375" max="4375" width="18" style="1" customWidth="1"/>
    <col min="4376" max="4376" width="20.85546875" style="1" customWidth="1"/>
    <col min="4377" max="4377" width="13.5703125" style="1" customWidth="1"/>
    <col min="4378" max="4378" width="14.140625" style="1" customWidth="1"/>
    <col min="4379" max="4381" width="8.85546875" style="1" customWidth="1"/>
    <col min="4382" max="4382" width="9.28515625" style="1" customWidth="1"/>
    <col min="4383" max="4383" width="14" style="1" customWidth="1"/>
    <col min="4384" max="4385" width="8.85546875" style="1" customWidth="1"/>
    <col min="4386" max="4386" width="10.140625" style="1" customWidth="1"/>
    <col min="4387" max="4388" width="9.5703125" style="1" customWidth="1"/>
    <col min="4389" max="4389" width="9.85546875" style="1" customWidth="1"/>
    <col min="4390" max="4391" width="10.140625" style="1" customWidth="1"/>
    <col min="4392" max="4394" width="9.28515625" style="1" customWidth="1"/>
    <col min="4395" max="4395" width="9.85546875" style="1" customWidth="1"/>
    <col min="4396" max="4397" width="8.5703125" style="1" customWidth="1"/>
    <col min="4398" max="4400" width="8.85546875" style="1" customWidth="1"/>
    <col min="4401" max="4401" width="9.28515625" style="1" customWidth="1"/>
    <col min="4402" max="4403" width="8.85546875" style="1" customWidth="1"/>
    <col min="4404" max="4404" width="10" style="1" customWidth="1"/>
    <col min="4405" max="4406" width="8.85546875" style="1" customWidth="1"/>
    <col min="4407" max="4407" width="11" style="1" customWidth="1"/>
    <col min="4408" max="4409" width="9.5703125" style="1" customWidth="1"/>
    <col min="4410" max="4412" width="8.85546875" style="1" customWidth="1"/>
    <col min="4413" max="4413" width="10.42578125" style="1" customWidth="1"/>
    <col min="4414" max="4415" width="8.85546875" style="1" customWidth="1"/>
    <col min="4416" max="4416" width="9.7109375" style="1" customWidth="1"/>
    <col min="4417" max="4418" width="8.85546875" style="1" customWidth="1"/>
    <col min="4419" max="4419" width="9.28515625" style="1" customWidth="1"/>
    <col min="4420" max="4440" width="8.85546875" style="1" customWidth="1"/>
    <col min="4441" max="4441" width="9.85546875" style="1" customWidth="1"/>
    <col min="4442" max="4442" width="8.85546875" style="1" customWidth="1"/>
    <col min="4443" max="4443" width="10" style="1" customWidth="1"/>
    <col min="4444" max="4460" width="8.85546875" style="1" customWidth="1"/>
    <col min="4461" max="4461" width="9.42578125" style="1" customWidth="1"/>
    <col min="4462" max="4462" width="8.85546875" style="1" customWidth="1"/>
    <col min="4463" max="4463" width="12" style="1" customWidth="1"/>
    <col min="4464" max="4464" width="11.140625" style="1" customWidth="1"/>
    <col min="4465" max="4465" width="28.7109375" style="1" customWidth="1"/>
    <col min="4466" max="4466" width="5.85546875" style="1" customWidth="1"/>
    <col min="4467" max="4616" width="9.140625" style="1"/>
    <col min="4617" max="4617" width="3.42578125" style="1" customWidth="1"/>
    <col min="4618" max="4618" width="27.85546875" style="1" customWidth="1"/>
    <col min="4619" max="4619" width="11.85546875" style="1" customWidth="1"/>
    <col min="4620" max="4620" width="15.140625" style="1" customWidth="1"/>
    <col min="4621" max="4621" width="10.28515625" style="1" customWidth="1"/>
    <col min="4622" max="4623" width="9.7109375" style="1" customWidth="1"/>
    <col min="4624" max="4624" width="10.42578125" style="1" customWidth="1"/>
    <col min="4625" max="4625" width="10.42578125" style="1" bestFit="1" customWidth="1"/>
    <col min="4626" max="4626" width="16.28515625" style="1" customWidth="1"/>
    <col min="4627" max="4627" width="15.140625" style="1" customWidth="1"/>
    <col min="4628" max="4628" width="13.5703125" style="1" customWidth="1"/>
    <col min="4629" max="4629" width="10.5703125" style="1" customWidth="1"/>
    <col min="4630" max="4630" width="10.85546875" style="1" customWidth="1"/>
    <col min="4631" max="4631" width="18" style="1" customWidth="1"/>
    <col min="4632" max="4632" width="20.85546875" style="1" customWidth="1"/>
    <col min="4633" max="4633" width="13.5703125" style="1" customWidth="1"/>
    <col min="4634" max="4634" width="14.140625" style="1" customWidth="1"/>
    <col min="4635" max="4637" width="8.85546875" style="1" customWidth="1"/>
    <col min="4638" max="4638" width="9.28515625" style="1" customWidth="1"/>
    <col min="4639" max="4639" width="14" style="1" customWidth="1"/>
    <col min="4640" max="4641" width="8.85546875" style="1" customWidth="1"/>
    <col min="4642" max="4642" width="10.140625" style="1" customWidth="1"/>
    <col min="4643" max="4644" width="9.5703125" style="1" customWidth="1"/>
    <col min="4645" max="4645" width="9.85546875" style="1" customWidth="1"/>
    <col min="4646" max="4647" width="10.140625" style="1" customWidth="1"/>
    <col min="4648" max="4650" width="9.28515625" style="1" customWidth="1"/>
    <col min="4651" max="4651" width="9.85546875" style="1" customWidth="1"/>
    <col min="4652" max="4653" width="8.5703125" style="1" customWidth="1"/>
    <col min="4654" max="4656" width="8.85546875" style="1" customWidth="1"/>
    <col min="4657" max="4657" width="9.28515625" style="1" customWidth="1"/>
    <col min="4658" max="4659" width="8.85546875" style="1" customWidth="1"/>
    <col min="4660" max="4660" width="10" style="1" customWidth="1"/>
    <col min="4661" max="4662" width="8.85546875" style="1" customWidth="1"/>
    <col min="4663" max="4663" width="11" style="1" customWidth="1"/>
    <col min="4664" max="4665" width="9.5703125" style="1" customWidth="1"/>
    <col min="4666" max="4668" width="8.85546875" style="1" customWidth="1"/>
    <col min="4669" max="4669" width="10.42578125" style="1" customWidth="1"/>
    <col min="4670" max="4671" width="8.85546875" style="1" customWidth="1"/>
    <col min="4672" max="4672" width="9.7109375" style="1" customWidth="1"/>
    <col min="4673" max="4674" width="8.85546875" style="1" customWidth="1"/>
    <col min="4675" max="4675" width="9.28515625" style="1" customWidth="1"/>
    <col min="4676" max="4696" width="8.85546875" style="1" customWidth="1"/>
    <col min="4697" max="4697" width="9.85546875" style="1" customWidth="1"/>
    <col min="4698" max="4698" width="8.85546875" style="1" customWidth="1"/>
    <col min="4699" max="4699" width="10" style="1" customWidth="1"/>
    <col min="4700" max="4716" width="8.85546875" style="1" customWidth="1"/>
    <col min="4717" max="4717" width="9.42578125" style="1" customWidth="1"/>
    <col min="4718" max="4718" width="8.85546875" style="1" customWidth="1"/>
    <col min="4719" max="4719" width="12" style="1" customWidth="1"/>
    <col min="4720" max="4720" width="11.140625" style="1" customWidth="1"/>
    <col min="4721" max="4721" width="28.7109375" style="1" customWidth="1"/>
    <col min="4722" max="4722" width="5.85546875" style="1" customWidth="1"/>
    <col min="4723" max="4872" width="9.140625" style="1"/>
    <col min="4873" max="4873" width="3.42578125" style="1" customWidth="1"/>
    <col min="4874" max="4874" width="27.85546875" style="1" customWidth="1"/>
    <col min="4875" max="4875" width="11.85546875" style="1" customWidth="1"/>
    <col min="4876" max="4876" width="15.140625" style="1" customWidth="1"/>
    <col min="4877" max="4877" width="10.28515625" style="1" customWidth="1"/>
    <col min="4878" max="4879" width="9.7109375" style="1" customWidth="1"/>
    <col min="4880" max="4880" width="10.42578125" style="1" customWidth="1"/>
    <col min="4881" max="4881" width="10.42578125" style="1" bestFit="1" customWidth="1"/>
    <col min="4882" max="4882" width="16.28515625" style="1" customWidth="1"/>
    <col min="4883" max="4883" width="15.140625" style="1" customWidth="1"/>
    <col min="4884" max="4884" width="13.5703125" style="1" customWidth="1"/>
    <col min="4885" max="4885" width="10.5703125" style="1" customWidth="1"/>
    <col min="4886" max="4886" width="10.85546875" style="1" customWidth="1"/>
    <col min="4887" max="4887" width="18" style="1" customWidth="1"/>
    <col min="4888" max="4888" width="20.85546875" style="1" customWidth="1"/>
    <col min="4889" max="4889" width="13.5703125" style="1" customWidth="1"/>
    <col min="4890" max="4890" width="14.140625" style="1" customWidth="1"/>
    <col min="4891" max="4893" width="8.85546875" style="1" customWidth="1"/>
    <col min="4894" max="4894" width="9.28515625" style="1" customWidth="1"/>
    <col min="4895" max="4895" width="14" style="1" customWidth="1"/>
    <col min="4896" max="4897" width="8.85546875" style="1" customWidth="1"/>
    <col min="4898" max="4898" width="10.140625" style="1" customWidth="1"/>
    <col min="4899" max="4900" width="9.5703125" style="1" customWidth="1"/>
    <col min="4901" max="4901" width="9.85546875" style="1" customWidth="1"/>
    <col min="4902" max="4903" width="10.140625" style="1" customWidth="1"/>
    <col min="4904" max="4906" width="9.28515625" style="1" customWidth="1"/>
    <col min="4907" max="4907" width="9.85546875" style="1" customWidth="1"/>
    <col min="4908" max="4909" width="8.5703125" style="1" customWidth="1"/>
    <col min="4910" max="4912" width="8.85546875" style="1" customWidth="1"/>
    <col min="4913" max="4913" width="9.28515625" style="1" customWidth="1"/>
    <col min="4914" max="4915" width="8.85546875" style="1" customWidth="1"/>
    <col min="4916" max="4916" width="10" style="1" customWidth="1"/>
    <col min="4917" max="4918" width="8.85546875" style="1" customWidth="1"/>
    <col min="4919" max="4919" width="11" style="1" customWidth="1"/>
    <col min="4920" max="4921" width="9.5703125" style="1" customWidth="1"/>
    <col min="4922" max="4924" width="8.85546875" style="1" customWidth="1"/>
    <col min="4925" max="4925" width="10.42578125" style="1" customWidth="1"/>
    <col min="4926" max="4927" width="8.85546875" style="1" customWidth="1"/>
    <col min="4928" max="4928" width="9.7109375" style="1" customWidth="1"/>
    <col min="4929" max="4930" width="8.85546875" style="1" customWidth="1"/>
    <col min="4931" max="4931" width="9.28515625" style="1" customWidth="1"/>
    <col min="4932" max="4952" width="8.85546875" style="1" customWidth="1"/>
    <col min="4953" max="4953" width="9.85546875" style="1" customWidth="1"/>
    <col min="4954" max="4954" width="8.85546875" style="1" customWidth="1"/>
    <col min="4955" max="4955" width="10" style="1" customWidth="1"/>
    <col min="4956" max="4972" width="8.85546875" style="1" customWidth="1"/>
    <col min="4973" max="4973" width="9.42578125" style="1" customWidth="1"/>
    <col min="4974" max="4974" width="8.85546875" style="1" customWidth="1"/>
    <col min="4975" max="4975" width="12" style="1" customWidth="1"/>
    <col min="4976" max="4976" width="11.140625" style="1" customWidth="1"/>
    <col min="4977" max="4977" width="28.7109375" style="1" customWidth="1"/>
    <col min="4978" max="4978" width="5.85546875" style="1" customWidth="1"/>
    <col min="4979" max="5128" width="9.140625" style="1"/>
    <col min="5129" max="5129" width="3.42578125" style="1" customWidth="1"/>
    <col min="5130" max="5130" width="27.85546875" style="1" customWidth="1"/>
    <col min="5131" max="5131" width="11.85546875" style="1" customWidth="1"/>
    <col min="5132" max="5132" width="15.140625" style="1" customWidth="1"/>
    <col min="5133" max="5133" width="10.28515625" style="1" customWidth="1"/>
    <col min="5134" max="5135" width="9.7109375" style="1" customWidth="1"/>
    <col min="5136" max="5136" width="10.42578125" style="1" customWidth="1"/>
    <col min="5137" max="5137" width="10.42578125" style="1" bestFit="1" customWidth="1"/>
    <col min="5138" max="5138" width="16.28515625" style="1" customWidth="1"/>
    <col min="5139" max="5139" width="15.140625" style="1" customWidth="1"/>
    <col min="5140" max="5140" width="13.5703125" style="1" customWidth="1"/>
    <col min="5141" max="5141" width="10.5703125" style="1" customWidth="1"/>
    <col min="5142" max="5142" width="10.85546875" style="1" customWidth="1"/>
    <col min="5143" max="5143" width="18" style="1" customWidth="1"/>
    <col min="5144" max="5144" width="20.85546875" style="1" customWidth="1"/>
    <col min="5145" max="5145" width="13.5703125" style="1" customWidth="1"/>
    <col min="5146" max="5146" width="14.140625" style="1" customWidth="1"/>
    <col min="5147" max="5149" width="8.85546875" style="1" customWidth="1"/>
    <col min="5150" max="5150" width="9.28515625" style="1" customWidth="1"/>
    <col min="5151" max="5151" width="14" style="1" customWidth="1"/>
    <col min="5152" max="5153" width="8.85546875" style="1" customWidth="1"/>
    <col min="5154" max="5154" width="10.140625" style="1" customWidth="1"/>
    <col min="5155" max="5156" width="9.5703125" style="1" customWidth="1"/>
    <col min="5157" max="5157" width="9.85546875" style="1" customWidth="1"/>
    <col min="5158" max="5159" width="10.140625" style="1" customWidth="1"/>
    <col min="5160" max="5162" width="9.28515625" style="1" customWidth="1"/>
    <col min="5163" max="5163" width="9.85546875" style="1" customWidth="1"/>
    <col min="5164" max="5165" width="8.5703125" style="1" customWidth="1"/>
    <col min="5166" max="5168" width="8.85546875" style="1" customWidth="1"/>
    <col min="5169" max="5169" width="9.28515625" style="1" customWidth="1"/>
    <col min="5170" max="5171" width="8.85546875" style="1" customWidth="1"/>
    <col min="5172" max="5172" width="10" style="1" customWidth="1"/>
    <col min="5173" max="5174" width="8.85546875" style="1" customWidth="1"/>
    <col min="5175" max="5175" width="11" style="1" customWidth="1"/>
    <col min="5176" max="5177" width="9.5703125" style="1" customWidth="1"/>
    <col min="5178" max="5180" width="8.85546875" style="1" customWidth="1"/>
    <col min="5181" max="5181" width="10.42578125" style="1" customWidth="1"/>
    <col min="5182" max="5183" width="8.85546875" style="1" customWidth="1"/>
    <col min="5184" max="5184" width="9.7109375" style="1" customWidth="1"/>
    <col min="5185" max="5186" width="8.85546875" style="1" customWidth="1"/>
    <col min="5187" max="5187" width="9.28515625" style="1" customWidth="1"/>
    <col min="5188" max="5208" width="8.85546875" style="1" customWidth="1"/>
    <col min="5209" max="5209" width="9.85546875" style="1" customWidth="1"/>
    <col min="5210" max="5210" width="8.85546875" style="1" customWidth="1"/>
    <col min="5211" max="5211" width="10" style="1" customWidth="1"/>
    <col min="5212" max="5228" width="8.85546875" style="1" customWidth="1"/>
    <col min="5229" max="5229" width="9.42578125" style="1" customWidth="1"/>
    <col min="5230" max="5230" width="8.85546875" style="1" customWidth="1"/>
    <col min="5231" max="5231" width="12" style="1" customWidth="1"/>
    <col min="5232" max="5232" width="11.140625" style="1" customWidth="1"/>
    <col min="5233" max="5233" width="28.7109375" style="1" customWidth="1"/>
    <col min="5234" max="5234" width="5.85546875" style="1" customWidth="1"/>
    <col min="5235" max="5384" width="9.140625" style="1"/>
    <col min="5385" max="5385" width="3.42578125" style="1" customWidth="1"/>
    <col min="5386" max="5386" width="27.85546875" style="1" customWidth="1"/>
    <col min="5387" max="5387" width="11.85546875" style="1" customWidth="1"/>
    <col min="5388" max="5388" width="15.140625" style="1" customWidth="1"/>
    <col min="5389" max="5389" width="10.28515625" style="1" customWidth="1"/>
    <col min="5390" max="5391" width="9.7109375" style="1" customWidth="1"/>
    <col min="5392" max="5392" width="10.42578125" style="1" customWidth="1"/>
    <col min="5393" max="5393" width="10.42578125" style="1" bestFit="1" customWidth="1"/>
    <col min="5394" max="5394" width="16.28515625" style="1" customWidth="1"/>
    <col min="5395" max="5395" width="15.140625" style="1" customWidth="1"/>
    <col min="5396" max="5396" width="13.5703125" style="1" customWidth="1"/>
    <col min="5397" max="5397" width="10.5703125" style="1" customWidth="1"/>
    <col min="5398" max="5398" width="10.85546875" style="1" customWidth="1"/>
    <col min="5399" max="5399" width="18" style="1" customWidth="1"/>
    <col min="5400" max="5400" width="20.85546875" style="1" customWidth="1"/>
    <col min="5401" max="5401" width="13.5703125" style="1" customWidth="1"/>
    <col min="5402" max="5402" width="14.140625" style="1" customWidth="1"/>
    <col min="5403" max="5405" width="8.85546875" style="1" customWidth="1"/>
    <col min="5406" max="5406" width="9.28515625" style="1" customWidth="1"/>
    <col min="5407" max="5407" width="14" style="1" customWidth="1"/>
    <col min="5408" max="5409" width="8.85546875" style="1" customWidth="1"/>
    <col min="5410" max="5410" width="10.140625" style="1" customWidth="1"/>
    <col min="5411" max="5412" width="9.5703125" style="1" customWidth="1"/>
    <col min="5413" max="5413" width="9.85546875" style="1" customWidth="1"/>
    <col min="5414" max="5415" width="10.140625" style="1" customWidth="1"/>
    <col min="5416" max="5418" width="9.28515625" style="1" customWidth="1"/>
    <col min="5419" max="5419" width="9.85546875" style="1" customWidth="1"/>
    <col min="5420" max="5421" width="8.5703125" style="1" customWidth="1"/>
    <col min="5422" max="5424" width="8.85546875" style="1" customWidth="1"/>
    <col min="5425" max="5425" width="9.28515625" style="1" customWidth="1"/>
    <col min="5426" max="5427" width="8.85546875" style="1" customWidth="1"/>
    <col min="5428" max="5428" width="10" style="1" customWidth="1"/>
    <col min="5429" max="5430" width="8.85546875" style="1" customWidth="1"/>
    <col min="5431" max="5431" width="11" style="1" customWidth="1"/>
    <col min="5432" max="5433" width="9.5703125" style="1" customWidth="1"/>
    <col min="5434" max="5436" width="8.85546875" style="1" customWidth="1"/>
    <col min="5437" max="5437" width="10.42578125" style="1" customWidth="1"/>
    <col min="5438" max="5439" width="8.85546875" style="1" customWidth="1"/>
    <col min="5440" max="5440" width="9.7109375" style="1" customWidth="1"/>
    <col min="5441" max="5442" width="8.85546875" style="1" customWidth="1"/>
    <col min="5443" max="5443" width="9.28515625" style="1" customWidth="1"/>
    <col min="5444" max="5464" width="8.85546875" style="1" customWidth="1"/>
    <col min="5465" max="5465" width="9.85546875" style="1" customWidth="1"/>
    <col min="5466" max="5466" width="8.85546875" style="1" customWidth="1"/>
    <col min="5467" max="5467" width="10" style="1" customWidth="1"/>
    <col min="5468" max="5484" width="8.85546875" style="1" customWidth="1"/>
    <col min="5485" max="5485" width="9.42578125" style="1" customWidth="1"/>
    <col min="5486" max="5486" width="8.85546875" style="1" customWidth="1"/>
    <col min="5487" max="5487" width="12" style="1" customWidth="1"/>
    <col min="5488" max="5488" width="11.140625" style="1" customWidth="1"/>
    <col min="5489" max="5489" width="28.7109375" style="1" customWidth="1"/>
    <col min="5490" max="5490" width="5.85546875" style="1" customWidth="1"/>
    <col min="5491" max="5640" width="9.140625" style="1"/>
    <col min="5641" max="5641" width="3.42578125" style="1" customWidth="1"/>
    <col min="5642" max="5642" width="27.85546875" style="1" customWidth="1"/>
    <col min="5643" max="5643" width="11.85546875" style="1" customWidth="1"/>
    <col min="5644" max="5644" width="15.140625" style="1" customWidth="1"/>
    <col min="5645" max="5645" width="10.28515625" style="1" customWidth="1"/>
    <col min="5646" max="5647" width="9.7109375" style="1" customWidth="1"/>
    <col min="5648" max="5648" width="10.42578125" style="1" customWidth="1"/>
    <col min="5649" max="5649" width="10.42578125" style="1" bestFit="1" customWidth="1"/>
    <col min="5650" max="5650" width="16.28515625" style="1" customWidth="1"/>
    <col min="5651" max="5651" width="15.140625" style="1" customWidth="1"/>
    <col min="5652" max="5652" width="13.5703125" style="1" customWidth="1"/>
    <col min="5653" max="5653" width="10.5703125" style="1" customWidth="1"/>
    <col min="5654" max="5654" width="10.85546875" style="1" customWidth="1"/>
    <col min="5655" max="5655" width="18" style="1" customWidth="1"/>
    <col min="5656" max="5656" width="20.85546875" style="1" customWidth="1"/>
    <col min="5657" max="5657" width="13.5703125" style="1" customWidth="1"/>
    <col min="5658" max="5658" width="14.140625" style="1" customWidth="1"/>
    <col min="5659" max="5661" width="8.85546875" style="1" customWidth="1"/>
    <col min="5662" max="5662" width="9.28515625" style="1" customWidth="1"/>
    <col min="5663" max="5663" width="14" style="1" customWidth="1"/>
    <col min="5664" max="5665" width="8.85546875" style="1" customWidth="1"/>
    <col min="5666" max="5666" width="10.140625" style="1" customWidth="1"/>
    <col min="5667" max="5668" width="9.5703125" style="1" customWidth="1"/>
    <col min="5669" max="5669" width="9.85546875" style="1" customWidth="1"/>
    <col min="5670" max="5671" width="10.140625" style="1" customWidth="1"/>
    <col min="5672" max="5674" width="9.28515625" style="1" customWidth="1"/>
    <col min="5675" max="5675" width="9.85546875" style="1" customWidth="1"/>
    <col min="5676" max="5677" width="8.5703125" style="1" customWidth="1"/>
    <col min="5678" max="5680" width="8.85546875" style="1" customWidth="1"/>
    <col min="5681" max="5681" width="9.28515625" style="1" customWidth="1"/>
    <col min="5682" max="5683" width="8.85546875" style="1" customWidth="1"/>
    <col min="5684" max="5684" width="10" style="1" customWidth="1"/>
    <col min="5685" max="5686" width="8.85546875" style="1" customWidth="1"/>
    <col min="5687" max="5687" width="11" style="1" customWidth="1"/>
    <col min="5688" max="5689" width="9.5703125" style="1" customWidth="1"/>
    <col min="5690" max="5692" width="8.85546875" style="1" customWidth="1"/>
    <col min="5693" max="5693" width="10.42578125" style="1" customWidth="1"/>
    <col min="5694" max="5695" width="8.85546875" style="1" customWidth="1"/>
    <col min="5696" max="5696" width="9.7109375" style="1" customWidth="1"/>
    <col min="5697" max="5698" width="8.85546875" style="1" customWidth="1"/>
    <col min="5699" max="5699" width="9.28515625" style="1" customWidth="1"/>
    <col min="5700" max="5720" width="8.85546875" style="1" customWidth="1"/>
    <col min="5721" max="5721" width="9.85546875" style="1" customWidth="1"/>
    <col min="5722" max="5722" width="8.85546875" style="1" customWidth="1"/>
    <col min="5723" max="5723" width="10" style="1" customWidth="1"/>
    <col min="5724" max="5740" width="8.85546875" style="1" customWidth="1"/>
    <col min="5741" max="5741" width="9.42578125" style="1" customWidth="1"/>
    <col min="5742" max="5742" width="8.85546875" style="1" customWidth="1"/>
    <col min="5743" max="5743" width="12" style="1" customWidth="1"/>
    <col min="5744" max="5744" width="11.140625" style="1" customWidth="1"/>
    <col min="5745" max="5745" width="28.7109375" style="1" customWidth="1"/>
    <col min="5746" max="5746" width="5.85546875" style="1" customWidth="1"/>
    <col min="5747" max="5896" width="9.140625" style="1"/>
    <col min="5897" max="5897" width="3.42578125" style="1" customWidth="1"/>
    <col min="5898" max="5898" width="27.85546875" style="1" customWidth="1"/>
    <col min="5899" max="5899" width="11.85546875" style="1" customWidth="1"/>
    <col min="5900" max="5900" width="15.140625" style="1" customWidth="1"/>
    <col min="5901" max="5901" width="10.28515625" style="1" customWidth="1"/>
    <col min="5902" max="5903" width="9.7109375" style="1" customWidth="1"/>
    <col min="5904" max="5904" width="10.42578125" style="1" customWidth="1"/>
    <col min="5905" max="5905" width="10.42578125" style="1" bestFit="1" customWidth="1"/>
    <col min="5906" max="5906" width="16.28515625" style="1" customWidth="1"/>
    <col min="5907" max="5907" width="15.140625" style="1" customWidth="1"/>
    <col min="5908" max="5908" width="13.5703125" style="1" customWidth="1"/>
    <col min="5909" max="5909" width="10.5703125" style="1" customWidth="1"/>
    <col min="5910" max="5910" width="10.85546875" style="1" customWidth="1"/>
    <col min="5911" max="5911" width="18" style="1" customWidth="1"/>
    <col min="5912" max="5912" width="20.85546875" style="1" customWidth="1"/>
    <col min="5913" max="5913" width="13.5703125" style="1" customWidth="1"/>
    <col min="5914" max="5914" width="14.140625" style="1" customWidth="1"/>
    <col min="5915" max="5917" width="8.85546875" style="1" customWidth="1"/>
    <col min="5918" max="5918" width="9.28515625" style="1" customWidth="1"/>
    <col min="5919" max="5919" width="14" style="1" customWidth="1"/>
    <col min="5920" max="5921" width="8.85546875" style="1" customWidth="1"/>
    <col min="5922" max="5922" width="10.140625" style="1" customWidth="1"/>
    <col min="5923" max="5924" width="9.5703125" style="1" customWidth="1"/>
    <col min="5925" max="5925" width="9.85546875" style="1" customWidth="1"/>
    <col min="5926" max="5927" width="10.140625" style="1" customWidth="1"/>
    <col min="5928" max="5930" width="9.28515625" style="1" customWidth="1"/>
    <col min="5931" max="5931" width="9.85546875" style="1" customWidth="1"/>
    <col min="5932" max="5933" width="8.5703125" style="1" customWidth="1"/>
    <col min="5934" max="5936" width="8.85546875" style="1" customWidth="1"/>
    <col min="5937" max="5937" width="9.28515625" style="1" customWidth="1"/>
    <col min="5938" max="5939" width="8.85546875" style="1" customWidth="1"/>
    <col min="5940" max="5940" width="10" style="1" customWidth="1"/>
    <col min="5941" max="5942" width="8.85546875" style="1" customWidth="1"/>
    <col min="5943" max="5943" width="11" style="1" customWidth="1"/>
    <col min="5944" max="5945" width="9.5703125" style="1" customWidth="1"/>
    <col min="5946" max="5948" width="8.85546875" style="1" customWidth="1"/>
    <col min="5949" max="5949" width="10.42578125" style="1" customWidth="1"/>
    <col min="5950" max="5951" width="8.85546875" style="1" customWidth="1"/>
    <col min="5952" max="5952" width="9.7109375" style="1" customWidth="1"/>
    <col min="5953" max="5954" width="8.85546875" style="1" customWidth="1"/>
    <col min="5955" max="5955" width="9.28515625" style="1" customWidth="1"/>
    <col min="5956" max="5976" width="8.85546875" style="1" customWidth="1"/>
    <col min="5977" max="5977" width="9.85546875" style="1" customWidth="1"/>
    <col min="5978" max="5978" width="8.85546875" style="1" customWidth="1"/>
    <col min="5979" max="5979" width="10" style="1" customWidth="1"/>
    <col min="5980" max="5996" width="8.85546875" style="1" customWidth="1"/>
    <col min="5997" max="5997" width="9.42578125" style="1" customWidth="1"/>
    <col min="5998" max="5998" width="8.85546875" style="1" customWidth="1"/>
    <col min="5999" max="5999" width="12" style="1" customWidth="1"/>
    <col min="6000" max="6000" width="11.140625" style="1" customWidth="1"/>
    <col min="6001" max="6001" width="28.7109375" style="1" customWidth="1"/>
    <col min="6002" max="6002" width="5.85546875" style="1" customWidth="1"/>
    <col min="6003" max="6152" width="9.140625" style="1"/>
    <col min="6153" max="6153" width="3.42578125" style="1" customWidth="1"/>
    <col min="6154" max="6154" width="27.85546875" style="1" customWidth="1"/>
    <col min="6155" max="6155" width="11.85546875" style="1" customWidth="1"/>
    <col min="6156" max="6156" width="15.140625" style="1" customWidth="1"/>
    <col min="6157" max="6157" width="10.28515625" style="1" customWidth="1"/>
    <col min="6158" max="6159" width="9.7109375" style="1" customWidth="1"/>
    <col min="6160" max="6160" width="10.42578125" style="1" customWidth="1"/>
    <col min="6161" max="6161" width="10.42578125" style="1" bestFit="1" customWidth="1"/>
    <col min="6162" max="6162" width="16.28515625" style="1" customWidth="1"/>
    <col min="6163" max="6163" width="15.140625" style="1" customWidth="1"/>
    <col min="6164" max="6164" width="13.5703125" style="1" customWidth="1"/>
    <col min="6165" max="6165" width="10.5703125" style="1" customWidth="1"/>
    <col min="6166" max="6166" width="10.85546875" style="1" customWidth="1"/>
    <col min="6167" max="6167" width="18" style="1" customWidth="1"/>
    <col min="6168" max="6168" width="20.85546875" style="1" customWidth="1"/>
    <col min="6169" max="6169" width="13.5703125" style="1" customWidth="1"/>
    <col min="6170" max="6170" width="14.140625" style="1" customWidth="1"/>
    <col min="6171" max="6173" width="8.85546875" style="1" customWidth="1"/>
    <col min="6174" max="6174" width="9.28515625" style="1" customWidth="1"/>
    <col min="6175" max="6175" width="14" style="1" customWidth="1"/>
    <col min="6176" max="6177" width="8.85546875" style="1" customWidth="1"/>
    <col min="6178" max="6178" width="10.140625" style="1" customWidth="1"/>
    <col min="6179" max="6180" width="9.5703125" style="1" customWidth="1"/>
    <col min="6181" max="6181" width="9.85546875" style="1" customWidth="1"/>
    <col min="6182" max="6183" width="10.140625" style="1" customWidth="1"/>
    <col min="6184" max="6186" width="9.28515625" style="1" customWidth="1"/>
    <col min="6187" max="6187" width="9.85546875" style="1" customWidth="1"/>
    <col min="6188" max="6189" width="8.5703125" style="1" customWidth="1"/>
    <col min="6190" max="6192" width="8.85546875" style="1" customWidth="1"/>
    <col min="6193" max="6193" width="9.28515625" style="1" customWidth="1"/>
    <col min="6194" max="6195" width="8.85546875" style="1" customWidth="1"/>
    <col min="6196" max="6196" width="10" style="1" customWidth="1"/>
    <col min="6197" max="6198" width="8.85546875" style="1" customWidth="1"/>
    <col min="6199" max="6199" width="11" style="1" customWidth="1"/>
    <col min="6200" max="6201" width="9.5703125" style="1" customWidth="1"/>
    <col min="6202" max="6204" width="8.85546875" style="1" customWidth="1"/>
    <col min="6205" max="6205" width="10.42578125" style="1" customWidth="1"/>
    <col min="6206" max="6207" width="8.85546875" style="1" customWidth="1"/>
    <col min="6208" max="6208" width="9.7109375" style="1" customWidth="1"/>
    <col min="6209" max="6210" width="8.85546875" style="1" customWidth="1"/>
    <col min="6211" max="6211" width="9.28515625" style="1" customWidth="1"/>
    <col min="6212" max="6232" width="8.85546875" style="1" customWidth="1"/>
    <col min="6233" max="6233" width="9.85546875" style="1" customWidth="1"/>
    <col min="6234" max="6234" width="8.85546875" style="1" customWidth="1"/>
    <col min="6235" max="6235" width="10" style="1" customWidth="1"/>
    <col min="6236" max="6252" width="8.85546875" style="1" customWidth="1"/>
    <col min="6253" max="6253" width="9.42578125" style="1" customWidth="1"/>
    <col min="6254" max="6254" width="8.85546875" style="1" customWidth="1"/>
    <col min="6255" max="6255" width="12" style="1" customWidth="1"/>
    <col min="6256" max="6256" width="11.140625" style="1" customWidth="1"/>
    <col min="6257" max="6257" width="28.7109375" style="1" customWidth="1"/>
    <col min="6258" max="6258" width="5.85546875" style="1" customWidth="1"/>
    <col min="6259" max="6408" width="9.140625" style="1"/>
    <col min="6409" max="6409" width="3.42578125" style="1" customWidth="1"/>
    <col min="6410" max="6410" width="27.85546875" style="1" customWidth="1"/>
    <col min="6411" max="6411" width="11.85546875" style="1" customWidth="1"/>
    <col min="6412" max="6412" width="15.140625" style="1" customWidth="1"/>
    <col min="6413" max="6413" width="10.28515625" style="1" customWidth="1"/>
    <col min="6414" max="6415" width="9.7109375" style="1" customWidth="1"/>
    <col min="6416" max="6416" width="10.42578125" style="1" customWidth="1"/>
    <col min="6417" max="6417" width="10.42578125" style="1" bestFit="1" customWidth="1"/>
    <col min="6418" max="6418" width="16.28515625" style="1" customWidth="1"/>
    <col min="6419" max="6419" width="15.140625" style="1" customWidth="1"/>
    <col min="6420" max="6420" width="13.5703125" style="1" customWidth="1"/>
    <col min="6421" max="6421" width="10.5703125" style="1" customWidth="1"/>
    <col min="6422" max="6422" width="10.85546875" style="1" customWidth="1"/>
    <col min="6423" max="6423" width="18" style="1" customWidth="1"/>
    <col min="6424" max="6424" width="20.85546875" style="1" customWidth="1"/>
    <col min="6425" max="6425" width="13.5703125" style="1" customWidth="1"/>
    <col min="6426" max="6426" width="14.140625" style="1" customWidth="1"/>
    <col min="6427" max="6429" width="8.85546875" style="1" customWidth="1"/>
    <col min="6430" max="6430" width="9.28515625" style="1" customWidth="1"/>
    <col min="6431" max="6431" width="14" style="1" customWidth="1"/>
    <col min="6432" max="6433" width="8.85546875" style="1" customWidth="1"/>
    <col min="6434" max="6434" width="10.140625" style="1" customWidth="1"/>
    <col min="6435" max="6436" width="9.5703125" style="1" customWidth="1"/>
    <col min="6437" max="6437" width="9.85546875" style="1" customWidth="1"/>
    <col min="6438" max="6439" width="10.140625" style="1" customWidth="1"/>
    <col min="6440" max="6442" width="9.28515625" style="1" customWidth="1"/>
    <col min="6443" max="6443" width="9.85546875" style="1" customWidth="1"/>
    <col min="6444" max="6445" width="8.5703125" style="1" customWidth="1"/>
    <col min="6446" max="6448" width="8.85546875" style="1" customWidth="1"/>
    <col min="6449" max="6449" width="9.28515625" style="1" customWidth="1"/>
    <col min="6450" max="6451" width="8.85546875" style="1" customWidth="1"/>
    <col min="6452" max="6452" width="10" style="1" customWidth="1"/>
    <col min="6453" max="6454" width="8.85546875" style="1" customWidth="1"/>
    <col min="6455" max="6455" width="11" style="1" customWidth="1"/>
    <col min="6456" max="6457" width="9.5703125" style="1" customWidth="1"/>
    <col min="6458" max="6460" width="8.85546875" style="1" customWidth="1"/>
    <col min="6461" max="6461" width="10.42578125" style="1" customWidth="1"/>
    <col min="6462" max="6463" width="8.85546875" style="1" customWidth="1"/>
    <col min="6464" max="6464" width="9.7109375" style="1" customWidth="1"/>
    <col min="6465" max="6466" width="8.85546875" style="1" customWidth="1"/>
    <col min="6467" max="6467" width="9.28515625" style="1" customWidth="1"/>
    <col min="6468" max="6488" width="8.85546875" style="1" customWidth="1"/>
    <col min="6489" max="6489" width="9.85546875" style="1" customWidth="1"/>
    <col min="6490" max="6490" width="8.85546875" style="1" customWidth="1"/>
    <col min="6491" max="6491" width="10" style="1" customWidth="1"/>
    <col min="6492" max="6508" width="8.85546875" style="1" customWidth="1"/>
    <col min="6509" max="6509" width="9.42578125" style="1" customWidth="1"/>
    <col min="6510" max="6510" width="8.85546875" style="1" customWidth="1"/>
    <col min="6511" max="6511" width="12" style="1" customWidth="1"/>
    <col min="6512" max="6512" width="11.140625" style="1" customWidth="1"/>
    <col min="6513" max="6513" width="28.7109375" style="1" customWidth="1"/>
    <col min="6514" max="6514" width="5.85546875" style="1" customWidth="1"/>
    <col min="6515" max="6664" width="9.140625" style="1"/>
    <col min="6665" max="6665" width="3.42578125" style="1" customWidth="1"/>
    <col min="6666" max="6666" width="27.85546875" style="1" customWidth="1"/>
    <col min="6667" max="6667" width="11.85546875" style="1" customWidth="1"/>
    <col min="6668" max="6668" width="15.140625" style="1" customWidth="1"/>
    <col min="6669" max="6669" width="10.28515625" style="1" customWidth="1"/>
    <col min="6670" max="6671" width="9.7109375" style="1" customWidth="1"/>
    <col min="6672" max="6672" width="10.42578125" style="1" customWidth="1"/>
    <col min="6673" max="6673" width="10.42578125" style="1" bestFit="1" customWidth="1"/>
    <col min="6674" max="6674" width="16.28515625" style="1" customWidth="1"/>
    <col min="6675" max="6675" width="15.140625" style="1" customWidth="1"/>
    <col min="6676" max="6676" width="13.5703125" style="1" customWidth="1"/>
    <col min="6677" max="6677" width="10.5703125" style="1" customWidth="1"/>
    <col min="6678" max="6678" width="10.85546875" style="1" customWidth="1"/>
    <col min="6679" max="6679" width="18" style="1" customWidth="1"/>
    <col min="6680" max="6680" width="20.85546875" style="1" customWidth="1"/>
    <col min="6681" max="6681" width="13.5703125" style="1" customWidth="1"/>
    <col min="6682" max="6682" width="14.140625" style="1" customWidth="1"/>
    <col min="6683" max="6685" width="8.85546875" style="1" customWidth="1"/>
    <col min="6686" max="6686" width="9.28515625" style="1" customWidth="1"/>
    <col min="6687" max="6687" width="14" style="1" customWidth="1"/>
    <col min="6688" max="6689" width="8.85546875" style="1" customWidth="1"/>
    <col min="6690" max="6690" width="10.140625" style="1" customWidth="1"/>
    <col min="6691" max="6692" width="9.5703125" style="1" customWidth="1"/>
    <col min="6693" max="6693" width="9.85546875" style="1" customWidth="1"/>
    <col min="6694" max="6695" width="10.140625" style="1" customWidth="1"/>
    <col min="6696" max="6698" width="9.28515625" style="1" customWidth="1"/>
    <col min="6699" max="6699" width="9.85546875" style="1" customWidth="1"/>
    <col min="6700" max="6701" width="8.5703125" style="1" customWidth="1"/>
    <col min="6702" max="6704" width="8.85546875" style="1" customWidth="1"/>
    <col min="6705" max="6705" width="9.28515625" style="1" customWidth="1"/>
    <col min="6706" max="6707" width="8.85546875" style="1" customWidth="1"/>
    <col min="6708" max="6708" width="10" style="1" customWidth="1"/>
    <col min="6709" max="6710" width="8.85546875" style="1" customWidth="1"/>
    <col min="6711" max="6711" width="11" style="1" customWidth="1"/>
    <col min="6712" max="6713" width="9.5703125" style="1" customWidth="1"/>
    <col min="6714" max="6716" width="8.85546875" style="1" customWidth="1"/>
    <col min="6717" max="6717" width="10.42578125" style="1" customWidth="1"/>
    <col min="6718" max="6719" width="8.85546875" style="1" customWidth="1"/>
    <col min="6720" max="6720" width="9.7109375" style="1" customWidth="1"/>
    <col min="6721" max="6722" width="8.85546875" style="1" customWidth="1"/>
    <col min="6723" max="6723" width="9.28515625" style="1" customWidth="1"/>
    <col min="6724" max="6744" width="8.85546875" style="1" customWidth="1"/>
    <col min="6745" max="6745" width="9.85546875" style="1" customWidth="1"/>
    <col min="6746" max="6746" width="8.85546875" style="1" customWidth="1"/>
    <col min="6747" max="6747" width="10" style="1" customWidth="1"/>
    <col min="6748" max="6764" width="8.85546875" style="1" customWidth="1"/>
    <col min="6765" max="6765" width="9.42578125" style="1" customWidth="1"/>
    <col min="6766" max="6766" width="8.85546875" style="1" customWidth="1"/>
    <col min="6767" max="6767" width="12" style="1" customWidth="1"/>
    <col min="6768" max="6768" width="11.140625" style="1" customWidth="1"/>
    <col min="6769" max="6769" width="28.7109375" style="1" customWidth="1"/>
    <col min="6770" max="6770" width="5.85546875" style="1" customWidth="1"/>
    <col min="6771" max="6920" width="9.140625" style="1"/>
    <col min="6921" max="6921" width="3.42578125" style="1" customWidth="1"/>
    <col min="6922" max="6922" width="27.85546875" style="1" customWidth="1"/>
    <col min="6923" max="6923" width="11.85546875" style="1" customWidth="1"/>
    <col min="6924" max="6924" width="15.140625" style="1" customWidth="1"/>
    <col min="6925" max="6925" width="10.28515625" style="1" customWidth="1"/>
    <col min="6926" max="6927" width="9.7109375" style="1" customWidth="1"/>
    <col min="6928" max="6928" width="10.42578125" style="1" customWidth="1"/>
    <col min="6929" max="6929" width="10.42578125" style="1" bestFit="1" customWidth="1"/>
    <col min="6930" max="6930" width="16.28515625" style="1" customWidth="1"/>
    <col min="6931" max="6931" width="15.140625" style="1" customWidth="1"/>
    <col min="6932" max="6932" width="13.5703125" style="1" customWidth="1"/>
    <col min="6933" max="6933" width="10.5703125" style="1" customWidth="1"/>
    <col min="6934" max="6934" width="10.85546875" style="1" customWidth="1"/>
    <col min="6935" max="6935" width="18" style="1" customWidth="1"/>
    <col min="6936" max="6936" width="20.85546875" style="1" customWidth="1"/>
    <col min="6937" max="6937" width="13.5703125" style="1" customWidth="1"/>
    <col min="6938" max="6938" width="14.140625" style="1" customWidth="1"/>
    <col min="6939" max="6941" width="8.85546875" style="1" customWidth="1"/>
    <col min="6942" max="6942" width="9.28515625" style="1" customWidth="1"/>
    <col min="6943" max="6943" width="14" style="1" customWidth="1"/>
    <col min="6944" max="6945" width="8.85546875" style="1" customWidth="1"/>
    <col min="6946" max="6946" width="10.140625" style="1" customWidth="1"/>
    <col min="6947" max="6948" width="9.5703125" style="1" customWidth="1"/>
    <col min="6949" max="6949" width="9.85546875" style="1" customWidth="1"/>
    <col min="6950" max="6951" width="10.140625" style="1" customWidth="1"/>
    <col min="6952" max="6954" width="9.28515625" style="1" customWidth="1"/>
    <col min="6955" max="6955" width="9.85546875" style="1" customWidth="1"/>
    <col min="6956" max="6957" width="8.5703125" style="1" customWidth="1"/>
    <col min="6958" max="6960" width="8.85546875" style="1" customWidth="1"/>
    <col min="6961" max="6961" width="9.28515625" style="1" customWidth="1"/>
    <col min="6962" max="6963" width="8.85546875" style="1" customWidth="1"/>
    <col min="6964" max="6964" width="10" style="1" customWidth="1"/>
    <col min="6965" max="6966" width="8.85546875" style="1" customWidth="1"/>
    <col min="6967" max="6967" width="11" style="1" customWidth="1"/>
    <col min="6968" max="6969" width="9.5703125" style="1" customWidth="1"/>
    <col min="6970" max="6972" width="8.85546875" style="1" customWidth="1"/>
    <col min="6973" max="6973" width="10.42578125" style="1" customWidth="1"/>
    <col min="6974" max="6975" width="8.85546875" style="1" customWidth="1"/>
    <col min="6976" max="6976" width="9.7109375" style="1" customWidth="1"/>
    <col min="6977" max="6978" width="8.85546875" style="1" customWidth="1"/>
    <col min="6979" max="6979" width="9.28515625" style="1" customWidth="1"/>
    <col min="6980" max="7000" width="8.85546875" style="1" customWidth="1"/>
    <col min="7001" max="7001" width="9.85546875" style="1" customWidth="1"/>
    <col min="7002" max="7002" width="8.85546875" style="1" customWidth="1"/>
    <col min="7003" max="7003" width="10" style="1" customWidth="1"/>
    <col min="7004" max="7020" width="8.85546875" style="1" customWidth="1"/>
    <col min="7021" max="7021" width="9.42578125" style="1" customWidth="1"/>
    <col min="7022" max="7022" width="8.85546875" style="1" customWidth="1"/>
    <col min="7023" max="7023" width="12" style="1" customWidth="1"/>
    <col min="7024" max="7024" width="11.140625" style="1" customWidth="1"/>
    <col min="7025" max="7025" width="28.7109375" style="1" customWidth="1"/>
    <col min="7026" max="7026" width="5.85546875" style="1" customWidth="1"/>
    <col min="7027" max="7176" width="9.140625" style="1"/>
    <col min="7177" max="7177" width="3.42578125" style="1" customWidth="1"/>
    <col min="7178" max="7178" width="27.85546875" style="1" customWidth="1"/>
    <col min="7179" max="7179" width="11.85546875" style="1" customWidth="1"/>
    <col min="7180" max="7180" width="15.140625" style="1" customWidth="1"/>
    <col min="7181" max="7181" width="10.28515625" style="1" customWidth="1"/>
    <col min="7182" max="7183" width="9.7109375" style="1" customWidth="1"/>
    <col min="7184" max="7184" width="10.42578125" style="1" customWidth="1"/>
    <col min="7185" max="7185" width="10.42578125" style="1" bestFit="1" customWidth="1"/>
    <col min="7186" max="7186" width="16.28515625" style="1" customWidth="1"/>
    <col min="7187" max="7187" width="15.140625" style="1" customWidth="1"/>
    <col min="7188" max="7188" width="13.5703125" style="1" customWidth="1"/>
    <col min="7189" max="7189" width="10.5703125" style="1" customWidth="1"/>
    <col min="7190" max="7190" width="10.85546875" style="1" customWidth="1"/>
    <col min="7191" max="7191" width="18" style="1" customWidth="1"/>
    <col min="7192" max="7192" width="20.85546875" style="1" customWidth="1"/>
    <col min="7193" max="7193" width="13.5703125" style="1" customWidth="1"/>
    <col min="7194" max="7194" width="14.140625" style="1" customWidth="1"/>
    <col min="7195" max="7197" width="8.85546875" style="1" customWidth="1"/>
    <col min="7198" max="7198" width="9.28515625" style="1" customWidth="1"/>
    <col min="7199" max="7199" width="14" style="1" customWidth="1"/>
    <col min="7200" max="7201" width="8.85546875" style="1" customWidth="1"/>
    <col min="7202" max="7202" width="10.140625" style="1" customWidth="1"/>
    <col min="7203" max="7204" width="9.5703125" style="1" customWidth="1"/>
    <col min="7205" max="7205" width="9.85546875" style="1" customWidth="1"/>
    <col min="7206" max="7207" width="10.140625" style="1" customWidth="1"/>
    <col min="7208" max="7210" width="9.28515625" style="1" customWidth="1"/>
    <col min="7211" max="7211" width="9.85546875" style="1" customWidth="1"/>
    <col min="7212" max="7213" width="8.5703125" style="1" customWidth="1"/>
    <col min="7214" max="7216" width="8.85546875" style="1" customWidth="1"/>
    <col min="7217" max="7217" width="9.28515625" style="1" customWidth="1"/>
    <col min="7218" max="7219" width="8.85546875" style="1" customWidth="1"/>
    <col min="7220" max="7220" width="10" style="1" customWidth="1"/>
    <col min="7221" max="7222" width="8.85546875" style="1" customWidth="1"/>
    <col min="7223" max="7223" width="11" style="1" customWidth="1"/>
    <col min="7224" max="7225" width="9.5703125" style="1" customWidth="1"/>
    <col min="7226" max="7228" width="8.85546875" style="1" customWidth="1"/>
    <col min="7229" max="7229" width="10.42578125" style="1" customWidth="1"/>
    <col min="7230" max="7231" width="8.85546875" style="1" customWidth="1"/>
    <col min="7232" max="7232" width="9.7109375" style="1" customWidth="1"/>
    <col min="7233" max="7234" width="8.85546875" style="1" customWidth="1"/>
    <col min="7235" max="7235" width="9.28515625" style="1" customWidth="1"/>
    <col min="7236" max="7256" width="8.85546875" style="1" customWidth="1"/>
    <col min="7257" max="7257" width="9.85546875" style="1" customWidth="1"/>
    <col min="7258" max="7258" width="8.85546875" style="1" customWidth="1"/>
    <col min="7259" max="7259" width="10" style="1" customWidth="1"/>
    <col min="7260" max="7276" width="8.85546875" style="1" customWidth="1"/>
    <col min="7277" max="7277" width="9.42578125" style="1" customWidth="1"/>
    <col min="7278" max="7278" width="8.85546875" style="1" customWidth="1"/>
    <col min="7279" max="7279" width="12" style="1" customWidth="1"/>
    <col min="7280" max="7280" width="11.140625" style="1" customWidth="1"/>
    <col min="7281" max="7281" width="28.7109375" style="1" customWidth="1"/>
    <col min="7282" max="7282" width="5.85546875" style="1" customWidth="1"/>
    <col min="7283" max="7432" width="9.140625" style="1"/>
    <col min="7433" max="7433" width="3.42578125" style="1" customWidth="1"/>
    <col min="7434" max="7434" width="27.85546875" style="1" customWidth="1"/>
    <col min="7435" max="7435" width="11.85546875" style="1" customWidth="1"/>
    <col min="7436" max="7436" width="15.140625" style="1" customWidth="1"/>
    <col min="7437" max="7437" width="10.28515625" style="1" customWidth="1"/>
    <col min="7438" max="7439" width="9.7109375" style="1" customWidth="1"/>
    <col min="7440" max="7440" width="10.42578125" style="1" customWidth="1"/>
    <col min="7441" max="7441" width="10.42578125" style="1" bestFit="1" customWidth="1"/>
    <col min="7442" max="7442" width="16.28515625" style="1" customWidth="1"/>
    <col min="7443" max="7443" width="15.140625" style="1" customWidth="1"/>
    <col min="7444" max="7444" width="13.5703125" style="1" customWidth="1"/>
    <col min="7445" max="7445" width="10.5703125" style="1" customWidth="1"/>
    <col min="7446" max="7446" width="10.85546875" style="1" customWidth="1"/>
    <col min="7447" max="7447" width="18" style="1" customWidth="1"/>
    <col min="7448" max="7448" width="20.85546875" style="1" customWidth="1"/>
    <col min="7449" max="7449" width="13.5703125" style="1" customWidth="1"/>
    <col min="7450" max="7450" width="14.140625" style="1" customWidth="1"/>
    <col min="7451" max="7453" width="8.85546875" style="1" customWidth="1"/>
    <col min="7454" max="7454" width="9.28515625" style="1" customWidth="1"/>
    <col min="7455" max="7455" width="14" style="1" customWidth="1"/>
    <col min="7456" max="7457" width="8.85546875" style="1" customWidth="1"/>
    <col min="7458" max="7458" width="10.140625" style="1" customWidth="1"/>
    <col min="7459" max="7460" width="9.5703125" style="1" customWidth="1"/>
    <col min="7461" max="7461" width="9.85546875" style="1" customWidth="1"/>
    <col min="7462" max="7463" width="10.140625" style="1" customWidth="1"/>
    <col min="7464" max="7466" width="9.28515625" style="1" customWidth="1"/>
    <col min="7467" max="7467" width="9.85546875" style="1" customWidth="1"/>
    <col min="7468" max="7469" width="8.5703125" style="1" customWidth="1"/>
    <col min="7470" max="7472" width="8.85546875" style="1" customWidth="1"/>
    <col min="7473" max="7473" width="9.28515625" style="1" customWidth="1"/>
    <col min="7474" max="7475" width="8.85546875" style="1" customWidth="1"/>
    <col min="7476" max="7476" width="10" style="1" customWidth="1"/>
    <col min="7477" max="7478" width="8.85546875" style="1" customWidth="1"/>
    <col min="7479" max="7479" width="11" style="1" customWidth="1"/>
    <col min="7480" max="7481" width="9.5703125" style="1" customWidth="1"/>
    <col min="7482" max="7484" width="8.85546875" style="1" customWidth="1"/>
    <col min="7485" max="7485" width="10.42578125" style="1" customWidth="1"/>
    <col min="7486" max="7487" width="8.85546875" style="1" customWidth="1"/>
    <col min="7488" max="7488" width="9.7109375" style="1" customWidth="1"/>
    <col min="7489" max="7490" width="8.85546875" style="1" customWidth="1"/>
    <col min="7491" max="7491" width="9.28515625" style="1" customWidth="1"/>
    <col min="7492" max="7512" width="8.85546875" style="1" customWidth="1"/>
    <col min="7513" max="7513" width="9.85546875" style="1" customWidth="1"/>
    <col min="7514" max="7514" width="8.85546875" style="1" customWidth="1"/>
    <col min="7515" max="7515" width="10" style="1" customWidth="1"/>
    <col min="7516" max="7532" width="8.85546875" style="1" customWidth="1"/>
    <col min="7533" max="7533" width="9.42578125" style="1" customWidth="1"/>
    <col min="7534" max="7534" width="8.85546875" style="1" customWidth="1"/>
    <col min="7535" max="7535" width="12" style="1" customWidth="1"/>
    <col min="7536" max="7536" width="11.140625" style="1" customWidth="1"/>
    <col min="7537" max="7537" width="28.7109375" style="1" customWidth="1"/>
    <col min="7538" max="7538" width="5.85546875" style="1" customWidth="1"/>
    <col min="7539" max="7688" width="9.140625" style="1"/>
    <col min="7689" max="7689" width="3.42578125" style="1" customWidth="1"/>
    <col min="7690" max="7690" width="27.85546875" style="1" customWidth="1"/>
    <col min="7691" max="7691" width="11.85546875" style="1" customWidth="1"/>
    <col min="7692" max="7692" width="15.140625" style="1" customWidth="1"/>
    <col min="7693" max="7693" width="10.28515625" style="1" customWidth="1"/>
    <col min="7694" max="7695" width="9.7109375" style="1" customWidth="1"/>
    <col min="7696" max="7696" width="10.42578125" style="1" customWidth="1"/>
    <col min="7697" max="7697" width="10.42578125" style="1" bestFit="1" customWidth="1"/>
    <col min="7698" max="7698" width="16.28515625" style="1" customWidth="1"/>
    <col min="7699" max="7699" width="15.140625" style="1" customWidth="1"/>
    <col min="7700" max="7700" width="13.5703125" style="1" customWidth="1"/>
    <col min="7701" max="7701" width="10.5703125" style="1" customWidth="1"/>
    <col min="7702" max="7702" width="10.85546875" style="1" customWidth="1"/>
    <col min="7703" max="7703" width="18" style="1" customWidth="1"/>
    <col min="7704" max="7704" width="20.85546875" style="1" customWidth="1"/>
    <col min="7705" max="7705" width="13.5703125" style="1" customWidth="1"/>
    <col min="7706" max="7706" width="14.140625" style="1" customWidth="1"/>
    <col min="7707" max="7709" width="8.85546875" style="1" customWidth="1"/>
    <col min="7710" max="7710" width="9.28515625" style="1" customWidth="1"/>
    <col min="7711" max="7711" width="14" style="1" customWidth="1"/>
    <col min="7712" max="7713" width="8.85546875" style="1" customWidth="1"/>
    <col min="7714" max="7714" width="10.140625" style="1" customWidth="1"/>
    <col min="7715" max="7716" width="9.5703125" style="1" customWidth="1"/>
    <col min="7717" max="7717" width="9.85546875" style="1" customWidth="1"/>
    <col min="7718" max="7719" width="10.140625" style="1" customWidth="1"/>
    <col min="7720" max="7722" width="9.28515625" style="1" customWidth="1"/>
    <col min="7723" max="7723" width="9.85546875" style="1" customWidth="1"/>
    <col min="7724" max="7725" width="8.5703125" style="1" customWidth="1"/>
    <col min="7726" max="7728" width="8.85546875" style="1" customWidth="1"/>
    <col min="7729" max="7729" width="9.28515625" style="1" customWidth="1"/>
    <col min="7730" max="7731" width="8.85546875" style="1" customWidth="1"/>
    <col min="7732" max="7732" width="10" style="1" customWidth="1"/>
    <col min="7733" max="7734" width="8.85546875" style="1" customWidth="1"/>
    <col min="7735" max="7735" width="11" style="1" customWidth="1"/>
    <col min="7736" max="7737" width="9.5703125" style="1" customWidth="1"/>
    <col min="7738" max="7740" width="8.85546875" style="1" customWidth="1"/>
    <col min="7741" max="7741" width="10.42578125" style="1" customWidth="1"/>
    <col min="7742" max="7743" width="8.85546875" style="1" customWidth="1"/>
    <col min="7744" max="7744" width="9.7109375" style="1" customWidth="1"/>
    <col min="7745" max="7746" width="8.85546875" style="1" customWidth="1"/>
    <col min="7747" max="7747" width="9.28515625" style="1" customWidth="1"/>
    <col min="7748" max="7768" width="8.85546875" style="1" customWidth="1"/>
    <col min="7769" max="7769" width="9.85546875" style="1" customWidth="1"/>
    <col min="7770" max="7770" width="8.85546875" style="1" customWidth="1"/>
    <col min="7771" max="7771" width="10" style="1" customWidth="1"/>
    <col min="7772" max="7788" width="8.85546875" style="1" customWidth="1"/>
    <col min="7789" max="7789" width="9.42578125" style="1" customWidth="1"/>
    <col min="7790" max="7790" width="8.85546875" style="1" customWidth="1"/>
    <col min="7791" max="7791" width="12" style="1" customWidth="1"/>
    <col min="7792" max="7792" width="11.140625" style="1" customWidth="1"/>
    <col min="7793" max="7793" width="28.7109375" style="1" customWidth="1"/>
    <col min="7794" max="7794" width="5.85546875" style="1" customWidth="1"/>
    <col min="7795" max="7944" width="9.140625" style="1"/>
    <col min="7945" max="7945" width="3.42578125" style="1" customWidth="1"/>
    <col min="7946" max="7946" width="27.85546875" style="1" customWidth="1"/>
    <col min="7947" max="7947" width="11.85546875" style="1" customWidth="1"/>
    <col min="7948" max="7948" width="15.140625" style="1" customWidth="1"/>
    <col min="7949" max="7949" width="10.28515625" style="1" customWidth="1"/>
    <col min="7950" max="7951" width="9.7109375" style="1" customWidth="1"/>
    <col min="7952" max="7952" width="10.42578125" style="1" customWidth="1"/>
    <col min="7953" max="7953" width="10.42578125" style="1" bestFit="1" customWidth="1"/>
    <col min="7954" max="7954" width="16.28515625" style="1" customWidth="1"/>
    <col min="7955" max="7955" width="15.140625" style="1" customWidth="1"/>
    <col min="7956" max="7956" width="13.5703125" style="1" customWidth="1"/>
    <col min="7957" max="7957" width="10.5703125" style="1" customWidth="1"/>
    <col min="7958" max="7958" width="10.85546875" style="1" customWidth="1"/>
    <col min="7959" max="7959" width="18" style="1" customWidth="1"/>
    <col min="7960" max="7960" width="20.85546875" style="1" customWidth="1"/>
    <col min="7961" max="7961" width="13.5703125" style="1" customWidth="1"/>
    <col min="7962" max="7962" width="14.140625" style="1" customWidth="1"/>
    <col min="7963" max="7965" width="8.85546875" style="1" customWidth="1"/>
    <col min="7966" max="7966" width="9.28515625" style="1" customWidth="1"/>
    <col min="7967" max="7967" width="14" style="1" customWidth="1"/>
    <col min="7968" max="7969" width="8.85546875" style="1" customWidth="1"/>
    <col min="7970" max="7970" width="10.140625" style="1" customWidth="1"/>
    <col min="7971" max="7972" width="9.5703125" style="1" customWidth="1"/>
    <col min="7973" max="7973" width="9.85546875" style="1" customWidth="1"/>
    <col min="7974" max="7975" width="10.140625" style="1" customWidth="1"/>
    <col min="7976" max="7978" width="9.28515625" style="1" customWidth="1"/>
    <col min="7979" max="7979" width="9.85546875" style="1" customWidth="1"/>
    <col min="7980" max="7981" width="8.5703125" style="1" customWidth="1"/>
    <col min="7982" max="7984" width="8.85546875" style="1" customWidth="1"/>
    <col min="7985" max="7985" width="9.28515625" style="1" customWidth="1"/>
    <col min="7986" max="7987" width="8.85546875" style="1" customWidth="1"/>
    <col min="7988" max="7988" width="10" style="1" customWidth="1"/>
    <col min="7989" max="7990" width="8.85546875" style="1" customWidth="1"/>
    <col min="7991" max="7991" width="11" style="1" customWidth="1"/>
    <col min="7992" max="7993" width="9.5703125" style="1" customWidth="1"/>
    <col min="7994" max="7996" width="8.85546875" style="1" customWidth="1"/>
    <col min="7997" max="7997" width="10.42578125" style="1" customWidth="1"/>
    <col min="7998" max="7999" width="8.85546875" style="1" customWidth="1"/>
    <col min="8000" max="8000" width="9.7109375" style="1" customWidth="1"/>
    <col min="8001" max="8002" width="8.85546875" style="1" customWidth="1"/>
    <col min="8003" max="8003" width="9.28515625" style="1" customWidth="1"/>
    <col min="8004" max="8024" width="8.85546875" style="1" customWidth="1"/>
    <col min="8025" max="8025" width="9.85546875" style="1" customWidth="1"/>
    <col min="8026" max="8026" width="8.85546875" style="1" customWidth="1"/>
    <col min="8027" max="8027" width="10" style="1" customWidth="1"/>
    <col min="8028" max="8044" width="8.85546875" style="1" customWidth="1"/>
    <col min="8045" max="8045" width="9.42578125" style="1" customWidth="1"/>
    <col min="8046" max="8046" width="8.85546875" style="1" customWidth="1"/>
    <col min="8047" max="8047" width="12" style="1" customWidth="1"/>
    <col min="8048" max="8048" width="11.140625" style="1" customWidth="1"/>
    <col min="8049" max="8049" width="28.7109375" style="1" customWidth="1"/>
    <col min="8050" max="8050" width="5.85546875" style="1" customWidth="1"/>
    <col min="8051" max="8200" width="9.140625" style="1"/>
    <col min="8201" max="8201" width="3.42578125" style="1" customWidth="1"/>
    <col min="8202" max="8202" width="27.85546875" style="1" customWidth="1"/>
    <col min="8203" max="8203" width="11.85546875" style="1" customWidth="1"/>
    <col min="8204" max="8204" width="15.140625" style="1" customWidth="1"/>
    <col min="8205" max="8205" width="10.28515625" style="1" customWidth="1"/>
    <col min="8206" max="8207" width="9.7109375" style="1" customWidth="1"/>
    <col min="8208" max="8208" width="10.42578125" style="1" customWidth="1"/>
    <col min="8209" max="8209" width="10.42578125" style="1" bestFit="1" customWidth="1"/>
    <col min="8210" max="8210" width="16.28515625" style="1" customWidth="1"/>
    <col min="8211" max="8211" width="15.140625" style="1" customWidth="1"/>
    <col min="8212" max="8212" width="13.5703125" style="1" customWidth="1"/>
    <col min="8213" max="8213" width="10.5703125" style="1" customWidth="1"/>
    <col min="8214" max="8214" width="10.85546875" style="1" customWidth="1"/>
    <col min="8215" max="8215" width="18" style="1" customWidth="1"/>
    <col min="8216" max="8216" width="20.85546875" style="1" customWidth="1"/>
    <col min="8217" max="8217" width="13.5703125" style="1" customWidth="1"/>
    <col min="8218" max="8218" width="14.140625" style="1" customWidth="1"/>
    <col min="8219" max="8221" width="8.85546875" style="1" customWidth="1"/>
    <col min="8222" max="8222" width="9.28515625" style="1" customWidth="1"/>
    <col min="8223" max="8223" width="14" style="1" customWidth="1"/>
    <col min="8224" max="8225" width="8.85546875" style="1" customWidth="1"/>
    <col min="8226" max="8226" width="10.140625" style="1" customWidth="1"/>
    <col min="8227" max="8228" width="9.5703125" style="1" customWidth="1"/>
    <col min="8229" max="8229" width="9.85546875" style="1" customWidth="1"/>
    <col min="8230" max="8231" width="10.140625" style="1" customWidth="1"/>
    <col min="8232" max="8234" width="9.28515625" style="1" customWidth="1"/>
    <col min="8235" max="8235" width="9.85546875" style="1" customWidth="1"/>
    <col min="8236" max="8237" width="8.5703125" style="1" customWidth="1"/>
    <col min="8238" max="8240" width="8.85546875" style="1" customWidth="1"/>
    <col min="8241" max="8241" width="9.28515625" style="1" customWidth="1"/>
    <col min="8242" max="8243" width="8.85546875" style="1" customWidth="1"/>
    <col min="8244" max="8244" width="10" style="1" customWidth="1"/>
    <col min="8245" max="8246" width="8.85546875" style="1" customWidth="1"/>
    <col min="8247" max="8247" width="11" style="1" customWidth="1"/>
    <col min="8248" max="8249" width="9.5703125" style="1" customWidth="1"/>
    <col min="8250" max="8252" width="8.85546875" style="1" customWidth="1"/>
    <col min="8253" max="8253" width="10.42578125" style="1" customWidth="1"/>
    <col min="8254" max="8255" width="8.85546875" style="1" customWidth="1"/>
    <col min="8256" max="8256" width="9.7109375" style="1" customWidth="1"/>
    <col min="8257" max="8258" width="8.85546875" style="1" customWidth="1"/>
    <col min="8259" max="8259" width="9.28515625" style="1" customWidth="1"/>
    <col min="8260" max="8280" width="8.85546875" style="1" customWidth="1"/>
    <col min="8281" max="8281" width="9.85546875" style="1" customWidth="1"/>
    <col min="8282" max="8282" width="8.85546875" style="1" customWidth="1"/>
    <col min="8283" max="8283" width="10" style="1" customWidth="1"/>
    <col min="8284" max="8300" width="8.85546875" style="1" customWidth="1"/>
    <col min="8301" max="8301" width="9.42578125" style="1" customWidth="1"/>
    <col min="8302" max="8302" width="8.85546875" style="1" customWidth="1"/>
    <col min="8303" max="8303" width="12" style="1" customWidth="1"/>
    <col min="8304" max="8304" width="11.140625" style="1" customWidth="1"/>
    <col min="8305" max="8305" width="28.7109375" style="1" customWidth="1"/>
    <col min="8306" max="8306" width="5.85546875" style="1" customWidth="1"/>
    <col min="8307" max="8456" width="9.140625" style="1"/>
    <col min="8457" max="8457" width="3.42578125" style="1" customWidth="1"/>
    <col min="8458" max="8458" width="27.85546875" style="1" customWidth="1"/>
    <col min="8459" max="8459" width="11.85546875" style="1" customWidth="1"/>
    <col min="8460" max="8460" width="15.140625" style="1" customWidth="1"/>
    <col min="8461" max="8461" width="10.28515625" style="1" customWidth="1"/>
    <col min="8462" max="8463" width="9.7109375" style="1" customWidth="1"/>
    <col min="8464" max="8464" width="10.42578125" style="1" customWidth="1"/>
    <col min="8465" max="8465" width="10.42578125" style="1" bestFit="1" customWidth="1"/>
    <col min="8466" max="8466" width="16.28515625" style="1" customWidth="1"/>
    <col min="8467" max="8467" width="15.140625" style="1" customWidth="1"/>
    <col min="8468" max="8468" width="13.5703125" style="1" customWidth="1"/>
    <col min="8469" max="8469" width="10.5703125" style="1" customWidth="1"/>
    <col min="8470" max="8470" width="10.85546875" style="1" customWidth="1"/>
    <col min="8471" max="8471" width="18" style="1" customWidth="1"/>
    <col min="8472" max="8472" width="20.85546875" style="1" customWidth="1"/>
    <col min="8473" max="8473" width="13.5703125" style="1" customWidth="1"/>
    <col min="8474" max="8474" width="14.140625" style="1" customWidth="1"/>
    <col min="8475" max="8477" width="8.85546875" style="1" customWidth="1"/>
    <col min="8478" max="8478" width="9.28515625" style="1" customWidth="1"/>
    <col min="8479" max="8479" width="14" style="1" customWidth="1"/>
    <col min="8480" max="8481" width="8.85546875" style="1" customWidth="1"/>
    <col min="8482" max="8482" width="10.140625" style="1" customWidth="1"/>
    <col min="8483" max="8484" width="9.5703125" style="1" customWidth="1"/>
    <col min="8485" max="8485" width="9.85546875" style="1" customWidth="1"/>
    <col min="8486" max="8487" width="10.140625" style="1" customWidth="1"/>
    <col min="8488" max="8490" width="9.28515625" style="1" customWidth="1"/>
    <col min="8491" max="8491" width="9.85546875" style="1" customWidth="1"/>
    <col min="8492" max="8493" width="8.5703125" style="1" customWidth="1"/>
    <col min="8494" max="8496" width="8.85546875" style="1" customWidth="1"/>
    <col min="8497" max="8497" width="9.28515625" style="1" customWidth="1"/>
    <col min="8498" max="8499" width="8.85546875" style="1" customWidth="1"/>
    <col min="8500" max="8500" width="10" style="1" customWidth="1"/>
    <col min="8501" max="8502" width="8.85546875" style="1" customWidth="1"/>
    <col min="8503" max="8503" width="11" style="1" customWidth="1"/>
    <col min="8504" max="8505" width="9.5703125" style="1" customWidth="1"/>
    <col min="8506" max="8508" width="8.85546875" style="1" customWidth="1"/>
    <col min="8509" max="8509" width="10.42578125" style="1" customWidth="1"/>
    <col min="8510" max="8511" width="8.85546875" style="1" customWidth="1"/>
    <col min="8512" max="8512" width="9.7109375" style="1" customWidth="1"/>
    <col min="8513" max="8514" width="8.85546875" style="1" customWidth="1"/>
    <col min="8515" max="8515" width="9.28515625" style="1" customWidth="1"/>
    <col min="8516" max="8536" width="8.85546875" style="1" customWidth="1"/>
    <col min="8537" max="8537" width="9.85546875" style="1" customWidth="1"/>
    <col min="8538" max="8538" width="8.85546875" style="1" customWidth="1"/>
    <col min="8539" max="8539" width="10" style="1" customWidth="1"/>
    <col min="8540" max="8556" width="8.85546875" style="1" customWidth="1"/>
    <col min="8557" max="8557" width="9.42578125" style="1" customWidth="1"/>
    <col min="8558" max="8558" width="8.85546875" style="1" customWidth="1"/>
    <col min="8559" max="8559" width="12" style="1" customWidth="1"/>
    <col min="8560" max="8560" width="11.140625" style="1" customWidth="1"/>
    <col min="8561" max="8561" width="28.7109375" style="1" customWidth="1"/>
    <col min="8562" max="8562" width="5.85546875" style="1" customWidth="1"/>
    <col min="8563" max="8712" width="9.140625" style="1"/>
    <col min="8713" max="8713" width="3.42578125" style="1" customWidth="1"/>
    <col min="8714" max="8714" width="27.85546875" style="1" customWidth="1"/>
    <col min="8715" max="8715" width="11.85546875" style="1" customWidth="1"/>
    <col min="8716" max="8716" width="15.140625" style="1" customWidth="1"/>
    <col min="8717" max="8717" width="10.28515625" style="1" customWidth="1"/>
    <col min="8718" max="8719" width="9.7109375" style="1" customWidth="1"/>
    <col min="8720" max="8720" width="10.42578125" style="1" customWidth="1"/>
    <col min="8721" max="8721" width="10.42578125" style="1" bestFit="1" customWidth="1"/>
    <col min="8722" max="8722" width="16.28515625" style="1" customWidth="1"/>
    <col min="8723" max="8723" width="15.140625" style="1" customWidth="1"/>
    <col min="8724" max="8724" width="13.5703125" style="1" customWidth="1"/>
    <col min="8725" max="8725" width="10.5703125" style="1" customWidth="1"/>
    <col min="8726" max="8726" width="10.85546875" style="1" customWidth="1"/>
    <col min="8727" max="8727" width="18" style="1" customWidth="1"/>
    <col min="8728" max="8728" width="20.85546875" style="1" customWidth="1"/>
    <col min="8729" max="8729" width="13.5703125" style="1" customWidth="1"/>
    <col min="8730" max="8730" width="14.140625" style="1" customWidth="1"/>
    <col min="8731" max="8733" width="8.85546875" style="1" customWidth="1"/>
    <col min="8734" max="8734" width="9.28515625" style="1" customWidth="1"/>
    <col min="8735" max="8735" width="14" style="1" customWidth="1"/>
    <col min="8736" max="8737" width="8.85546875" style="1" customWidth="1"/>
    <col min="8738" max="8738" width="10.140625" style="1" customWidth="1"/>
    <col min="8739" max="8740" width="9.5703125" style="1" customWidth="1"/>
    <col min="8741" max="8741" width="9.85546875" style="1" customWidth="1"/>
    <col min="8742" max="8743" width="10.140625" style="1" customWidth="1"/>
    <col min="8744" max="8746" width="9.28515625" style="1" customWidth="1"/>
    <col min="8747" max="8747" width="9.85546875" style="1" customWidth="1"/>
    <col min="8748" max="8749" width="8.5703125" style="1" customWidth="1"/>
    <col min="8750" max="8752" width="8.85546875" style="1" customWidth="1"/>
    <col min="8753" max="8753" width="9.28515625" style="1" customWidth="1"/>
    <col min="8754" max="8755" width="8.85546875" style="1" customWidth="1"/>
    <col min="8756" max="8756" width="10" style="1" customWidth="1"/>
    <col min="8757" max="8758" width="8.85546875" style="1" customWidth="1"/>
    <col min="8759" max="8759" width="11" style="1" customWidth="1"/>
    <col min="8760" max="8761" width="9.5703125" style="1" customWidth="1"/>
    <col min="8762" max="8764" width="8.85546875" style="1" customWidth="1"/>
    <col min="8765" max="8765" width="10.42578125" style="1" customWidth="1"/>
    <col min="8766" max="8767" width="8.85546875" style="1" customWidth="1"/>
    <col min="8768" max="8768" width="9.7109375" style="1" customWidth="1"/>
    <col min="8769" max="8770" width="8.85546875" style="1" customWidth="1"/>
    <col min="8771" max="8771" width="9.28515625" style="1" customWidth="1"/>
    <col min="8772" max="8792" width="8.85546875" style="1" customWidth="1"/>
    <col min="8793" max="8793" width="9.85546875" style="1" customWidth="1"/>
    <col min="8794" max="8794" width="8.85546875" style="1" customWidth="1"/>
    <col min="8795" max="8795" width="10" style="1" customWidth="1"/>
    <col min="8796" max="8812" width="8.85546875" style="1" customWidth="1"/>
    <col min="8813" max="8813" width="9.42578125" style="1" customWidth="1"/>
    <col min="8814" max="8814" width="8.85546875" style="1" customWidth="1"/>
    <col min="8815" max="8815" width="12" style="1" customWidth="1"/>
    <col min="8816" max="8816" width="11.140625" style="1" customWidth="1"/>
    <col min="8817" max="8817" width="28.7109375" style="1" customWidth="1"/>
    <col min="8818" max="8818" width="5.85546875" style="1" customWidth="1"/>
    <col min="8819" max="8968" width="9.140625" style="1"/>
    <col min="8969" max="8969" width="3.42578125" style="1" customWidth="1"/>
    <col min="8970" max="8970" width="27.85546875" style="1" customWidth="1"/>
    <col min="8971" max="8971" width="11.85546875" style="1" customWidth="1"/>
    <col min="8972" max="8972" width="15.140625" style="1" customWidth="1"/>
    <col min="8973" max="8973" width="10.28515625" style="1" customWidth="1"/>
    <col min="8974" max="8975" width="9.7109375" style="1" customWidth="1"/>
    <col min="8976" max="8976" width="10.42578125" style="1" customWidth="1"/>
    <col min="8977" max="8977" width="10.42578125" style="1" bestFit="1" customWidth="1"/>
    <col min="8978" max="8978" width="16.28515625" style="1" customWidth="1"/>
    <col min="8979" max="8979" width="15.140625" style="1" customWidth="1"/>
    <col min="8980" max="8980" width="13.5703125" style="1" customWidth="1"/>
    <col min="8981" max="8981" width="10.5703125" style="1" customWidth="1"/>
    <col min="8982" max="8982" width="10.85546875" style="1" customWidth="1"/>
    <col min="8983" max="8983" width="18" style="1" customWidth="1"/>
    <col min="8984" max="8984" width="20.85546875" style="1" customWidth="1"/>
    <col min="8985" max="8985" width="13.5703125" style="1" customWidth="1"/>
    <col min="8986" max="8986" width="14.140625" style="1" customWidth="1"/>
    <col min="8987" max="8989" width="8.85546875" style="1" customWidth="1"/>
    <col min="8990" max="8990" width="9.28515625" style="1" customWidth="1"/>
    <col min="8991" max="8991" width="14" style="1" customWidth="1"/>
    <col min="8992" max="8993" width="8.85546875" style="1" customWidth="1"/>
    <col min="8994" max="8994" width="10.140625" style="1" customWidth="1"/>
    <col min="8995" max="8996" width="9.5703125" style="1" customWidth="1"/>
    <col min="8997" max="8997" width="9.85546875" style="1" customWidth="1"/>
    <col min="8998" max="8999" width="10.140625" style="1" customWidth="1"/>
    <col min="9000" max="9002" width="9.28515625" style="1" customWidth="1"/>
    <col min="9003" max="9003" width="9.85546875" style="1" customWidth="1"/>
    <col min="9004" max="9005" width="8.5703125" style="1" customWidth="1"/>
    <col min="9006" max="9008" width="8.85546875" style="1" customWidth="1"/>
    <col min="9009" max="9009" width="9.28515625" style="1" customWidth="1"/>
    <col min="9010" max="9011" width="8.85546875" style="1" customWidth="1"/>
    <col min="9012" max="9012" width="10" style="1" customWidth="1"/>
    <col min="9013" max="9014" width="8.85546875" style="1" customWidth="1"/>
    <col min="9015" max="9015" width="11" style="1" customWidth="1"/>
    <col min="9016" max="9017" width="9.5703125" style="1" customWidth="1"/>
    <col min="9018" max="9020" width="8.85546875" style="1" customWidth="1"/>
    <col min="9021" max="9021" width="10.42578125" style="1" customWidth="1"/>
    <col min="9022" max="9023" width="8.85546875" style="1" customWidth="1"/>
    <col min="9024" max="9024" width="9.7109375" style="1" customWidth="1"/>
    <col min="9025" max="9026" width="8.85546875" style="1" customWidth="1"/>
    <col min="9027" max="9027" width="9.28515625" style="1" customWidth="1"/>
    <col min="9028" max="9048" width="8.85546875" style="1" customWidth="1"/>
    <col min="9049" max="9049" width="9.85546875" style="1" customWidth="1"/>
    <col min="9050" max="9050" width="8.85546875" style="1" customWidth="1"/>
    <col min="9051" max="9051" width="10" style="1" customWidth="1"/>
    <col min="9052" max="9068" width="8.85546875" style="1" customWidth="1"/>
    <col min="9069" max="9069" width="9.42578125" style="1" customWidth="1"/>
    <col min="9070" max="9070" width="8.85546875" style="1" customWidth="1"/>
    <col min="9071" max="9071" width="12" style="1" customWidth="1"/>
    <col min="9072" max="9072" width="11.140625" style="1" customWidth="1"/>
    <col min="9073" max="9073" width="28.7109375" style="1" customWidth="1"/>
    <col min="9074" max="9074" width="5.85546875" style="1" customWidth="1"/>
    <col min="9075" max="9224" width="9.140625" style="1"/>
    <col min="9225" max="9225" width="3.42578125" style="1" customWidth="1"/>
    <col min="9226" max="9226" width="27.85546875" style="1" customWidth="1"/>
    <col min="9227" max="9227" width="11.85546875" style="1" customWidth="1"/>
    <col min="9228" max="9228" width="15.140625" style="1" customWidth="1"/>
    <col min="9229" max="9229" width="10.28515625" style="1" customWidth="1"/>
    <col min="9230" max="9231" width="9.7109375" style="1" customWidth="1"/>
    <col min="9232" max="9232" width="10.42578125" style="1" customWidth="1"/>
    <col min="9233" max="9233" width="10.42578125" style="1" bestFit="1" customWidth="1"/>
    <col min="9234" max="9234" width="16.28515625" style="1" customWidth="1"/>
    <col min="9235" max="9235" width="15.140625" style="1" customWidth="1"/>
    <col min="9236" max="9236" width="13.5703125" style="1" customWidth="1"/>
    <col min="9237" max="9237" width="10.5703125" style="1" customWidth="1"/>
    <col min="9238" max="9238" width="10.85546875" style="1" customWidth="1"/>
    <col min="9239" max="9239" width="18" style="1" customWidth="1"/>
    <col min="9240" max="9240" width="20.85546875" style="1" customWidth="1"/>
    <col min="9241" max="9241" width="13.5703125" style="1" customWidth="1"/>
    <col min="9242" max="9242" width="14.140625" style="1" customWidth="1"/>
    <col min="9243" max="9245" width="8.85546875" style="1" customWidth="1"/>
    <col min="9246" max="9246" width="9.28515625" style="1" customWidth="1"/>
    <col min="9247" max="9247" width="14" style="1" customWidth="1"/>
    <col min="9248" max="9249" width="8.85546875" style="1" customWidth="1"/>
    <col min="9250" max="9250" width="10.140625" style="1" customWidth="1"/>
    <col min="9251" max="9252" width="9.5703125" style="1" customWidth="1"/>
    <col min="9253" max="9253" width="9.85546875" style="1" customWidth="1"/>
    <col min="9254" max="9255" width="10.140625" style="1" customWidth="1"/>
    <col min="9256" max="9258" width="9.28515625" style="1" customWidth="1"/>
    <col min="9259" max="9259" width="9.85546875" style="1" customWidth="1"/>
    <col min="9260" max="9261" width="8.5703125" style="1" customWidth="1"/>
    <col min="9262" max="9264" width="8.85546875" style="1" customWidth="1"/>
    <col min="9265" max="9265" width="9.28515625" style="1" customWidth="1"/>
    <col min="9266" max="9267" width="8.85546875" style="1" customWidth="1"/>
    <col min="9268" max="9268" width="10" style="1" customWidth="1"/>
    <col min="9269" max="9270" width="8.85546875" style="1" customWidth="1"/>
    <col min="9271" max="9271" width="11" style="1" customWidth="1"/>
    <col min="9272" max="9273" width="9.5703125" style="1" customWidth="1"/>
    <col min="9274" max="9276" width="8.85546875" style="1" customWidth="1"/>
    <col min="9277" max="9277" width="10.42578125" style="1" customWidth="1"/>
    <col min="9278" max="9279" width="8.85546875" style="1" customWidth="1"/>
    <col min="9280" max="9280" width="9.7109375" style="1" customWidth="1"/>
    <col min="9281" max="9282" width="8.85546875" style="1" customWidth="1"/>
    <col min="9283" max="9283" width="9.28515625" style="1" customWidth="1"/>
    <col min="9284" max="9304" width="8.85546875" style="1" customWidth="1"/>
    <col min="9305" max="9305" width="9.85546875" style="1" customWidth="1"/>
    <col min="9306" max="9306" width="8.85546875" style="1" customWidth="1"/>
    <col min="9307" max="9307" width="10" style="1" customWidth="1"/>
    <col min="9308" max="9324" width="8.85546875" style="1" customWidth="1"/>
    <col min="9325" max="9325" width="9.42578125" style="1" customWidth="1"/>
    <col min="9326" max="9326" width="8.85546875" style="1" customWidth="1"/>
    <col min="9327" max="9327" width="12" style="1" customWidth="1"/>
    <col min="9328" max="9328" width="11.140625" style="1" customWidth="1"/>
    <col min="9329" max="9329" width="28.7109375" style="1" customWidth="1"/>
    <col min="9330" max="9330" width="5.85546875" style="1" customWidth="1"/>
    <col min="9331" max="9480" width="9.140625" style="1"/>
    <col min="9481" max="9481" width="3.42578125" style="1" customWidth="1"/>
    <col min="9482" max="9482" width="27.85546875" style="1" customWidth="1"/>
    <col min="9483" max="9483" width="11.85546875" style="1" customWidth="1"/>
    <col min="9484" max="9484" width="15.140625" style="1" customWidth="1"/>
    <col min="9485" max="9485" width="10.28515625" style="1" customWidth="1"/>
    <col min="9486" max="9487" width="9.7109375" style="1" customWidth="1"/>
    <col min="9488" max="9488" width="10.42578125" style="1" customWidth="1"/>
    <col min="9489" max="9489" width="10.42578125" style="1" bestFit="1" customWidth="1"/>
    <col min="9490" max="9490" width="16.28515625" style="1" customWidth="1"/>
    <col min="9491" max="9491" width="15.140625" style="1" customWidth="1"/>
    <col min="9492" max="9492" width="13.5703125" style="1" customWidth="1"/>
    <col min="9493" max="9493" width="10.5703125" style="1" customWidth="1"/>
    <col min="9494" max="9494" width="10.85546875" style="1" customWidth="1"/>
    <col min="9495" max="9495" width="18" style="1" customWidth="1"/>
    <col min="9496" max="9496" width="20.85546875" style="1" customWidth="1"/>
    <col min="9497" max="9497" width="13.5703125" style="1" customWidth="1"/>
    <col min="9498" max="9498" width="14.140625" style="1" customWidth="1"/>
    <col min="9499" max="9501" width="8.85546875" style="1" customWidth="1"/>
    <col min="9502" max="9502" width="9.28515625" style="1" customWidth="1"/>
    <col min="9503" max="9503" width="14" style="1" customWidth="1"/>
    <col min="9504" max="9505" width="8.85546875" style="1" customWidth="1"/>
    <col min="9506" max="9506" width="10.140625" style="1" customWidth="1"/>
    <col min="9507" max="9508" width="9.5703125" style="1" customWidth="1"/>
    <col min="9509" max="9509" width="9.85546875" style="1" customWidth="1"/>
    <col min="9510" max="9511" width="10.140625" style="1" customWidth="1"/>
    <col min="9512" max="9514" width="9.28515625" style="1" customWidth="1"/>
    <col min="9515" max="9515" width="9.85546875" style="1" customWidth="1"/>
    <col min="9516" max="9517" width="8.5703125" style="1" customWidth="1"/>
    <col min="9518" max="9520" width="8.85546875" style="1" customWidth="1"/>
    <col min="9521" max="9521" width="9.28515625" style="1" customWidth="1"/>
    <col min="9522" max="9523" width="8.85546875" style="1" customWidth="1"/>
    <col min="9524" max="9524" width="10" style="1" customWidth="1"/>
    <col min="9525" max="9526" width="8.85546875" style="1" customWidth="1"/>
    <col min="9527" max="9527" width="11" style="1" customWidth="1"/>
    <col min="9528" max="9529" width="9.5703125" style="1" customWidth="1"/>
    <col min="9530" max="9532" width="8.85546875" style="1" customWidth="1"/>
    <col min="9533" max="9533" width="10.42578125" style="1" customWidth="1"/>
    <col min="9534" max="9535" width="8.85546875" style="1" customWidth="1"/>
    <col min="9536" max="9536" width="9.7109375" style="1" customWidth="1"/>
    <col min="9537" max="9538" width="8.85546875" style="1" customWidth="1"/>
    <col min="9539" max="9539" width="9.28515625" style="1" customWidth="1"/>
    <col min="9540" max="9560" width="8.85546875" style="1" customWidth="1"/>
    <col min="9561" max="9561" width="9.85546875" style="1" customWidth="1"/>
    <col min="9562" max="9562" width="8.85546875" style="1" customWidth="1"/>
    <col min="9563" max="9563" width="10" style="1" customWidth="1"/>
    <col min="9564" max="9580" width="8.85546875" style="1" customWidth="1"/>
    <col min="9581" max="9581" width="9.42578125" style="1" customWidth="1"/>
    <col min="9582" max="9582" width="8.85546875" style="1" customWidth="1"/>
    <col min="9583" max="9583" width="12" style="1" customWidth="1"/>
    <col min="9584" max="9584" width="11.140625" style="1" customWidth="1"/>
    <col min="9585" max="9585" width="28.7109375" style="1" customWidth="1"/>
    <col min="9586" max="9586" width="5.85546875" style="1" customWidth="1"/>
    <col min="9587" max="9736" width="9.140625" style="1"/>
    <col min="9737" max="9737" width="3.42578125" style="1" customWidth="1"/>
    <col min="9738" max="9738" width="27.85546875" style="1" customWidth="1"/>
    <col min="9739" max="9739" width="11.85546875" style="1" customWidth="1"/>
    <col min="9740" max="9740" width="15.140625" style="1" customWidth="1"/>
    <col min="9741" max="9741" width="10.28515625" style="1" customWidth="1"/>
    <col min="9742" max="9743" width="9.7109375" style="1" customWidth="1"/>
    <col min="9744" max="9744" width="10.42578125" style="1" customWidth="1"/>
    <col min="9745" max="9745" width="10.42578125" style="1" bestFit="1" customWidth="1"/>
    <col min="9746" max="9746" width="16.28515625" style="1" customWidth="1"/>
    <col min="9747" max="9747" width="15.140625" style="1" customWidth="1"/>
    <col min="9748" max="9748" width="13.5703125" style="1" customWidth="1"/>
    <col min="9749" max="9749" width="10.5703125" style="1" customWidth="1"/>
    <col min="9750" max="9750" width="10.85546875" style="1" customWidth="1"/>
    <col min="9751" max="9751" width="18" style="1" customWidth="1"/>
    <col min="9752" max="9752" width="20.85546875" style="1" customWidth="1"/>
    <col min="9753" max="9753" width="13.5703125" style="1" customWidth="1"/>
    <col min="9754" max="9754" width="14.140625" style="1" customWidth="1"/>
    <col min="9755" max="9757" width="8.85546875" style="1" customWidth="1"/>
    <col min="9758" max="9758" width="9.28515625" style="1" customWidth="1"/>
    <col min="9759" max="9759" width="14" style="1" customWidth="1"/>
    <col min="9760" max="9761" width="8.85546875" style="1" customWidth="1"/>
    <col min="9762" max="9762" width="10.140625" style="1" customWidth="1"/>
    <col min="9763" max="9764" width="9.5703125" style="1" customWidth="1"/>
    <col min="9765" max="9765" width="9.85546875" style="1" customWidth="1"/>
    <col min="9766" max="9767" width="10.140625" style="1" customWidth="1"/>
    <col min="9768" max="9770" width="9.28515625" style="1" customWidth="1"/>
    <col min="9771" max="9771" width="9.85546875" style="1" customWidth="1"/>
    <col min="9772" max="9773" width="8.5703125" style="1" customWidth="1"/>
    <col min="9774" max="9776" width="8.85546875" style="1" customWidth="1"/>
    <col min="9777" max="9777" width="9.28515625" style="1" customWidth="1"/>
    <col min="9778" max="9779" width="8.85546875" style="1" customWidth="1"/>
    <col min="9780" max="9780" width="10" style="1" customWidth="1"/>
    <col min="9781" max="9782" width="8.85546875" style="1" customWidth="1"/>
    <col min="9783" max="9783" width="11" style="1" customWidth="1"/>
    <col min="9784" max="9785" width="9.5703125" style="1" customWidth="1"/>
    <col min="9786" max="9788" width="8.85546875" style="1" customWidth="1"/>
    <col min="9789" max="9789" width="10.42578125" style="1" customWidth="1"/>
    <col min="9790" max="9791" width="8.85546875" style="1" customWidth="1"/>
    <col min="9792" max="9792" width="9.7109375" style="1" customWidth="1"/>
    <col min="9793" max="9794" width="8.85546875" style="1" customWidth="1"/>
    <col min="9795" max="9795" width="9.28515625" style="1" customWidth="1"/>
    <col min="9796" max="9816" width="8.85546875" style="1" customWidth="1"/>
    <col min="9817" max="9817" width="9.85546875" style="1" customWidth="1"/>
    <col min="9818" max="9818" width="8.85546875" style="1" customWidth="1"/>
    <col min="9819" max="9819" width="10" style="1" customWidth="1"/>
    <col min="9820" max="9836" width="8.85546875" style="1" customWidth="1"/>
    <col min="9837" max="9837" width="9.42578125" style="1" customWidth="1"/>
    <col min="9838" max="9838" width="8.85546875" style="1" customWidth="1"/>
    <col min="9839" max="9839" width="12" style="1" customWidth="1"/>
    <col min="9840" max="9840" width="11.140625" style="1" customWidth="1"/>
    <col min="9841" max="9841" width="28.7109375" style="1" customWidth="1"/>
    <col min="9842" max="9842" width="5.85546875" style="1" customWidth="1"/>
    <col min="9843" max="9992" width="9.140625" style="1"/>
    <col min="9993" max="9993" width="3.42578125" style="1" customWidth="1"/>
    <col min="9994" max="9994" width="27.85546875" style="1" customWidth="1"/>
    <col min="9995" max="9995" width="11.85546875" style="1" customWidth="1"/>
    <col min="9996" max="9996" width="15.140625" style="1" customWidth="1"/>
    <col min="9997" max="9997" width="10.28515625" style="1" customWidth="1"/>
    <col min="9998" max="9999" width="9.7109375" style="1" customWidth="1"/>
    <col min="10000" max="10000" width="10.42578125" style="1" customWidth="1"/>
    <col min="10001" max="10001" width="10.42578125" style="1" bestFit="1" customWidth="1"/>
    <col min="10002" max="10002" width="16.28515625" style="1" customWidth="1"/>
    <col min="10003" max="10003" width="15.140625" style="1" customWidth="1"/>
    <col min="10004" max="10004" width="13.5703125" style="1" customWidth="1"/>
    <col min="10005" max="10005" width="10.5703125" style="1" customWidth="1"/>
    <col min="10006" max="10006" width="10.85546875" style="1" customWidth="1"/>
    <col min="10007" max="10007" width="18" style="1" customWidth="1"/>
    <col min="10008" max="10008" width="20.85546875" style="1" customWidth="1"/>
    <col min="10009" max="10009" width="13.5703125" style="1" customWidth="1"/>
    <col min="10010" max="10010" width="14.140625" style="1" customWidth="1"/>
    <col min="10011" max="10013" width="8.85546875" style="1" customWidth="1"/>
    <col min="10014" max="10014" width="9.28515625" style="1" customWidth="1"/>
    <col min="10015" max="10015" width="14" style="1" customWidth="1"/>
    <col min="10016" max="10017" width="8.85546875" style="1" customWidth="1"/>
    <col min="10018" max="10018" width="10.140625" style="1" customWidth="1"/>
    <col min="10019" max="10020" width="9.5703125" style="1" customWidth="1"/>
    <col min="10021" max="10021" width="9.85546875" style="1" customWidth="1"/>
    <col min="10022" max="10023" width="10.140625" style="1" customWidth="1"/>
    <col min="10024" max="10026" width="9.28515625" style="1" customWidth="1"/>
    <col min="10027" max="10027" width="9.85546875" style="1" customWidth="1"/>
    <col min="10028" max="10029" width="8.5703125" style="1" customWidth="1"/>
    <col min="10030" max="10032" width="8.85546875" style="1" customWidth="1"/>
    <col min="10033" max="10033" width="9.28515625" style="1" customWidth="1"/>
    <col min="10034" max="10035" width="8.85546875" style="1" customWidth="1"/>
    <col min="10036" max="10036" width="10" style="1" customWidth="1"/>
    <col min="10037" max="10038" width="8.85546875" style="1" customWidth="1"/>
    <col min="10039" max="10039" width="11" style="1" customWidth="1"/>
    <col min="10040" max="10041" width="9.5703125" style="1" customWidth="1"/>
    <col min="10042" max="10044" width="8.85546875" style="1" customWidth="1"/>
    <col min="10045" max="10045" width="10.42578125" style="1" customWidth="1"/>
    <col min="10046" max="10047" width="8.85546875" style="1" customWidth="1"/>
    <col min="10048" max="10048" width="9.7109375" style="1" customWidth="1"/>
    <col min="10049" max="10050" width="8.85546875" style="1" customWidth="1"/>
    <col min="10051" max="10051" width="9.28515625" style="1" customWidth="1"/>
    <col min="10052" max="10072" width="8.85546875" style="1" customWidth="1"/>
    <col min="10073" max="10073" width="9.85546875" style="1" customWidth="1"/>
    <col min="10074" max="10074" width="8.85546875" style="1" customWidth="1"/>
    <col min="10075" max="10075" width="10" style="1" customWidth="1"/>
    <col min="10076" max="10092" width="8.85546875" style="1" customWidth="1"/>
    <col min="10093" max="10093" width="9.42578125" style="1" customWidth="1"/>
    <col min="10094" max="10094" width="8.85546875" style="1" customWidth="1"/>
    <col min="10095" max="10095" width="12" style="1" customWidth="1"/>
    <col min="10096" max="10096" width="11.140625" style="1" customWidth="1"/>
    <col min="10097" max="10097" width="28.7109375" style="1" customWidth="1"/>
    <col min="10098" max="10098" width="5.85546875" style="1" customWidth="1"/>
    <col min="10099" max="10248" width="9.140625" style="1"/>
    <col min="10249" max="10249" width="3.42578125" style="1" customWidth="1"/>
    <col min="10250" max="10250" width="27.85546875" style="1" customWidth="1"/>
    <col min="10251" max="10251" width="11.85546875" style="1" customWidth="1"/>
    <col min="10252" max="10252" width="15.140625" style="1" customWidth="1"/>
    <col min="10253" max="10253" width="10.28515625" style="1" customWidth="1"/>
    <col min="10254" max="10255" width="9.7109375" style="1" customWidth="1"/>
    <col min="10256" max="10256" width="10.42578125" style="1" customWidth="1"/>
    <col min="10257" max="10257" width="10.42578125" style="1" bestFit="1" customWidth="1"/>
    <col min="10258" max="10258" width="16.28515625" style="1" customWidth="1"/>
    <col min="10259" max="10259" width="15.140625" style="1" customWidth="1"/>
    <col min="10260" max="10260" width="13.5703125" style="1" customWidth="1"/>
    <col min="10261" max="10261" width="10.5703125" style="1" customWidth="1"/>
    <col min="10262" max="10262" width="10.85546875" style="1" customWidth="1"/>
    <col min="10263" max="10263" width="18" style="1" customWidth="1"/>
    <col min="10264" max="10264" width="20.85546875" style="1" customWidth="1"/>
    <col min="10265" max="10265" width="13.5703125" style="1" customWidth="1"/>
    <col min="10266" max="10266" width="14.140625" style="1" customWidth="1"/>
    <col min="10267" max="10269" width="8.85546875" style="1" customWidth="1"/>
    <col min="10270" max="10270" width="9.28515625" style="1" customWidth="1"/>
    <col min="10271" max="10271" width="14" style="1" customWidth="1"/>
    <col min="10272" max="10273" width="8.85546875" style="1" customWidth="1"/>
    <col min="10274" max="10274" width="10.140625" style="1" customWidth="1"/>
    <col min="10275" max="10276" width="9.5703125" style="1" customWidth="1"/>
    <col min="10277" max="10277" width="9.85546875" style="1" customWidth="1"/>
    <col min="10278" max="10279" width="10.140625" style="1" customWidth="1"/>
    <col min="10280" max="10282" width="9.28515625" style="1" customWidth="1"/>
    <col min="10283" max="10283" width="9.85546875" style="1" customWidth="1"/>
    <col min="10284" max="10285" width="8.5703125" style="1" customWidth="1"/>
    <col min="10286" max="10288" width="8.85546875" style="1" customWidth="1"/>
    <col min="10289" max="10289" width="9.28515625" style="1" customWidth="1"/>
    <col min="10290" max="10291" width="8.85546875" style="1" customWidth="1"/>
    <col min="10292" max="10292" width="10" style="1" customWidth="1"/>
    <col min="10293" max="10294" width="8.85546875" style="1" customWidth="1"/>
    <col min="10295" max="10295" width="11" style="1" customWidth="1"/>
    <col min="10296" max="10297" width="9.5703125" style="1" customWidth="1"/>
    <col min="10298" max="10300" width="8.85546875" style="1" customWidth="1"/>
    <col min="10301" max="10301" width="10.42578125" style="1" customWidth="1"/>
    <col min="10302" max="10303" width="8.85546875" style="1" customWidth="1"/>
    <col min="10304" max="10304" width="9.7109375" style="1" customWidth="1"/>
    <col min="10305" max="10306" width="8.85546875" style="1" customWidth="1"/>
    <col min="10307" max="10307" width="9.28515625" style="1" customWidth="1"/>
    <col min="10308" max="10328" width="8.85546875" style="1" customWidth="1"/>
    <col min="10329" max="10329" width="9.85546875" style="1" customWidth="1"/>
    <col min="10330" max="10330" width="8.85546875" style="1" customWidth="1"/>
    <col min="10331" max="10331" width="10" style="1" customWidth="1"/>
    <col min="10332" max="10348" width="8.85546875" style="1" customWidth="1"/>
    <col min="10349" max="10349" width="9.42578125" style="1" customWidth="1"/>
    <col min="10350" max="10350" width="8.85546875" style="1" customWidth="1"/>
    <col min="10351" max="10351" width="12" style="1" customWidth="1"/>
    <col min="10352" max="10352" width="11.140625" style="1" customWidth="1"/>
    <col min="10353" max="10353" width="28.7109375" style="1" customWidth="1"/>
    <col min="10354" max="10354" width="5.85546875" style="1" customWidth="1"/>
    <col min="10355" max="10504" width="9.140625" style="1"/>
    <col min="10505" max="10505" width="3.42578125" style="1" customWidth="1"/>
    <col min="10506" max="10506" width="27.85546875" style="1" customWidth="1"/>
    <col min="10507" max="10507" width="11.85546875" style="1" customWidth="1"/>
    <col min="10508" max="10508" width="15.140625" style="1" customWidth="1"/>
    <col min="10509" max="10509" width="10.28515625" style="1" customWidth="1"/>
    <col min="10510" max="10511" width="9.7109375" style="1" customWidth="1"/>
    <col min="10512" max="10512" width="10.42578125" style="1" customWidth="1"/>
    <col min="10513" max="10513" width="10.42578125" style="1" bestFit="1" customWidth="1"/>
    <col min="10514" max="10514" width="16.28515625" style="1" customWidth="1"/>
    <col min="10515" max="10515" width="15.140625" style="1" customWidth="1"/>
    <col min="10516" max="10516" width="13.5703125" style="1" customWidth="1"/>
    <col min="10517" max="10517" width="10.5703125" style="1" customWidth="1"/>
    <col min="10518" max="10518" width="10.85546875" style="1" customWidth="1"/>
    <col min="10519" max="10519" width="18" style="1" customWidth="1"/>
    <col min="10520" max="10520" width="20.85546875" style="1" customWidth="1"/>
    <col min="10521" max="10521" width="13.5703125" style="1" customWidth="1"/>
    <col min="10522" max="10522" width="14.140625" style="1" customWidth="1"/>
    <col min="10523" max="10525" width="8.85546875" style="1" customWidth="1"/>
    <col min="10526" max="10526" width="9.28515625" style="1" customWidth="1"/>
    <col min="10527" max="10527" width="14" style="1" customWidth="1"/>
    <col min="10528" max="10529" width="8.85546875" style="1" customWidth="1"/>
    <col min="10530" max="10530" width="10.140625" style="1" customWidth="1"/>
    <col min="10531" max="10532" width="9.5703125" style="1" customWidth="1"/>
    <col min="10533" max="10533" width="9.85546875" style="1" customWidth="1"/>
    <col min="10534" max="10535" width="10.140625" style="1" customWidth="1"/>
    <col min="10536" max="10538" width="9.28515625" style="1" customWidth="1"/>
    <col min="10539" max="10539" width="9.85546875" style="1" customWidth="1"/>
    <col min="10540" max="10541" width="8.5703125" style="1" customWidth="1"/>
    <col min="10542" max="10544" width="8.85546875" style="1" customWidth="1"/>
    <col min="10545" max="10545" width="9.28515625" style="1" customWidth="1"/>
    <col min="10546" max="10547" width="8.85546875" style="1" customWidth="1"/>
    <col min="10548" max="10548" width="10" style="1" customWidth="1"/>
    <col min="10549" max="10550" width="8.85546875" style="1" customWidth="1"/>
    <col min="10551" max="10551" width="11" style="1" customWidth="1"/>
    <col min="10552" max="10553" width="9.5703125" style="1" customWidth="1"/>
    <col min="10554" max="10556" width="8.85546875" style="1" customWidth="1"/>
    <col min="10557" max="10557" width="10.42578125" style="1" customWidth="1"/>
    <col min="10558" max="10559" width="8.85546875" style="1" customWidth="1"/>
    <col min="10560" max="10560" width="9.7109375" style="1" customWidth="1"/>
    <col min="10561" max="10562" width="8.85546875" style="1" customWidth="1"/>
    <col min="10563" max="10563" width="9.28515625" style="1" customWidth="1"/>
    <col min="10564" max="10584" width="8.85546875" style="1" customWidth="1"/>
    <col min="10585" max="10585" width="9.85546875" style="1" customWidth="1"/>
    <col min="10586" max="10586" width="8.85546875" style="1" customWidth="1"/>
    <col min="10587" max="10587" width="10" style="1" customWidth="1"/>
    <col min="10588" max="10604" width="8.85546875" style="1" customWidth="1"/>
    <col min="10605" max="10605" width="9.42578125" style="1" customWidth="1"/>
    <col min="10606" max="10606" width="8.85546875" style="1" customWidth="1"/>
    <col min="10607" max="10607" width="12" style="1" customWidth="1"/>
    <col min="10608" max="10608" width="11.140625" style="1" customWidth="1"/>
    <col min="10609" max="10609" width="28.7109375" style="1" customWidth="1"/>
    <col min="10610" max="10610" width="5.85546875" style="1" customWidth="1"/>
    <col min="10611" max="10760" width="9.140625" style="1"/>
    <col min="10761" max="10761" width="3.42578125" style="1" customWidth="1"/>
    <col min="10762" max="10762" width="27.85546875" style="1" customWidth="1"/>
    <col min="10763" max="10763" width="11.85546875" style="1" customWidth="1"/>
    <col min="10764" max="10764" width="15.140625" style="1" customWidth="1"/>
    <col min="10765" max="10765" width="10.28515625" style="1" customWidth="1"/>
    <col min="10766" max="10767" width="9.7109375" style="1" customWidth="1"/>
    <col min="10768" max="10768" width="10.42578125" style="1" customWidth="1"/>
    <col min="10769" max="10769" width="10.42578125" style="1" bestFit="1" customWidth="1"/>
    <col min="10770" max="10770" width="16.28515625" style="1" customWidth="1"/>
    <col min="10771" max="10771" width="15.140625" style="1" customWidth="1"/>
    <col min="10772" max="10772" width="13.5703125" style="1" customWidth="1"/>
    <col min="10773" max="10773" width="10.5703125" style="1" customWidth="1"/>
    <col min="10774" max="10774" width="10.85546875" style="1" customWidth="1"/>
    <col min="10775" max="10775" width="18" style="1" customWidth="1"/>
    <col min="10776" max="10776" width="20.85546875" style="1" customWidth="1"/>
    <col min="10777" max="10777" width="13.5703125" style="1" customWidth="1"/>
    <col min="10778" max="10778" width="14.140625" style="1" customWidth="1"/>
    <col min="10779" max="10781" width="8.85546875" style="1" customWidth="1"/>
    <col min="10782" max="10782" width="9.28515625" style="1" customWidth="1"/>
    <col min="10783" max="10783" width="14" style="1" customWidth="1"/>
    <col min="10784" max="10785" width="8.85546875" style="1" customWidth="1"/>
    <col min="10786" max="10786" width="10.140625" style="1" customWidth="1"/>
    <col min="10787" max="10788" width="9.5703125" style="1" customWidth="1"/>
    <col min="10789" max="10789" width="9.85546875" style="1" customWidth="1"/>
    <col min="10790" max="10791" width="10.140625" style="1" customWidth="1"/>
    <col min="10792" max="10794" width="9.28515625" style="1" customWidth="1"/>
    <col min="10795" max="10795" width="9.85546875" style="1" customWidth="1"/>
    <col min="10796" max="10797" width="8.5703125" style="1" customWidth="1"/>
    <col min="10798" max="10800" width="8.85546875" style="1" customWidth="1"/>
    <col min="10801" max="10801" width="9.28515625" style="1" customWidth="1"/>
    <col min="10802" max="10803" width="8.85546875" style="1" customWidth="1"/>
    <col min="10804" max="10804" width="10" style="1" customWidth="1"/>
    <col min="10805" max="10806" width="8.85546875" style="1" customWidth="1"/>
    <col min="10807" max="10807" width="11" style="1" customWidth="1"/>
    <col min="10808" max="10809" width="9.5703125" style="1" customWidth="1"/>
    <col min="10810" max="10812" width="8.85546875" style="1" customWidth="1"/>
    <col min="10813" max="10813" width="10.42578125" style="1" customWidth="1"/>
    <col min="10814" max="10815" width="8.85546875" style="1" customWidth="1"/>
    <col min="10816" max="10816" width="9.7109375" style="1" customWidth="1"/>
    <col min="10817" max="10818" width="8.85546875" style="1" customWidth="1"/>
    <col min="10819" max="10819" width="9.28515625" style="1" customWidth="1"/>
    <col min="10820" max="10840" width="8.85546875" style="1" customWidth="1"/>
    <col min="10841" max="10841" width="9.85546875" style="1" customWidth="1"/>
    <col min="10842" max="10842" width="8.85546875" style="1" customWidth="1"/>
    <col min="10843" max="10843" width="10" style="1" customWidth="1"/>
    <col min="10844" max="10860" width="8.85546875" style="1" customWidth="1"/>
    <col min="10861" max="10861" width="9.42578125" style="1" customWidth="1"/>
    <col min="10862" max="10862" width="8.85546875" style="1" customWidth="1"/>
    <col min="10863" max="10863" width="12" style="1" customWidth="1"/>
    <col min="10864" max="10864" width="11.140625" style="1" customWidth="1"/>
    <col min="10865" max="10865" width="28.7109375" style="1" customWidth="1"/>
    <col min="10866" max="10866" width="5.85546875" style="1" customWidth="1"/>
    <col min="10867" max="11016" width="9.140625" style="1"/>
    <col min="11017" max="11017" width="3.42578125" style="1" customWidth="1"/>
    <col min="11018" max="11018" width="27.85546875" style="1" customWidth="1"/>
    <col min="11019" max="11019" width="11.85546875" style="1" customWidth="1"/>
    <col min="11020" max="11020" width="15.140625" style="1" customWidth="1"/>
    <col min="11021" max="11021" width="10.28515625" style="1" customWidth="1"/>
    <col min="11022" max="11023" width="9.7109375" style="1" customWidth="1"/>
    <col min="11024" max="11024" width="10.42578125" style="1" customWidth="1"/>
    <col min="11025" max="11025" width="10.42578125" style="1" bestFit="1" customWidth="1"/>
    <col min="11026" max="11026" width="16.28515625" style="1" customWidth="1"/>
    <col min="11027" max="11027" width="15.140625" style="1" customWidth="1"/>
    <col min="11028" max="11028" width="13.5703125" style="1" customWidth="1"/>
    <col min="11029" max="11029" width="10.5703125" style="1" customWidth="1"/>
    <col min="11030" max="11030" width="10.85546875" style="1" customWidth="1"/>
    <col min="11031" max="11031" width="18" style="1" customWidth="1"/>
    <col min="11032" max="11032" width="20.85546875" style="1" customWidth="1"/>
    <col min="11033" max="11033" width="13.5703125" style="1" customWidth="1"/>
    <col min="11034" max="11034" width="14.140625" style="1" customWidth="1"/>
    <col min="11035" max="11037" width="8.85546875" style="1" customWidth="1"/>
    <col min="11038" max="11038" width="9.28515625" style="1" customWidth="1"/>
    <col min="11039" max="11039" width="14" style="1" customWidth="1"/>
    <col min="11040" max="11041" width="8.85546875" style="1" customWidth="1"/>
    <col min="11042" max="11042" width="10.140625" style="1" customWidth="1"/>
    <col min="11043" max="11044" width="9.5703125" style="1" customWidth="1"/>
    <col min="11045" max="11045" width="9.85546875" style="1" customWidth="1"/>
    <col min="11046" max="11047" width="10.140625" style="1" customWidth="1"/>
    <col min="11048" max="11050" width="9.28515625" style="1" customWidth="1"/>
    <col min="11051" max="11051" width="9.85546875" style="1" customWidth="1"/>
    <col min="11052" max="11053" width="8.5703125" style="1" customWidth="1"/>
    <col min="11054" max="11056" width="8.85546875" style="1" customWidth="1"/>
    <col min="11057" max="11057" width="9.28515625" style="1" customWidth="1"/>
    <col min="11058" max="11059" width="8.85546875" style="1" customWidth="1"/>
    <col min="11060" max="11060" width="10" style="1" customWidth="1"/>
    <col min="11061" max="11062" width="8.85546875" style="1" customWidth="1"/>
    <col min="11063" max="11063" width="11" style="1" customWidth="1"/>
    <col min="11064" max="11065" width="9.5703125" style="1" customWidth="1"/>
    <col min="11066" max="11068" width="8.85546875" style="1" customWidth="1"/>
    <col min="11069" max="11069" width="10.42578125" style="1" customWidth="1"/>
    <col min="11070" max="11071" width="8.85546875" style="1" customWidth="1"/>
    <col min="11072" max="11072" width="9.7109375" style="1" customWidth="1"/>
    <col min="11073" max="11074" width="8.85546875" style="1" customWidth="1"/>
    <col min="11075" max="11075" width="9.28515625" style="1" customWidth="1"/>
    <col min="11076" max="11096" width="8.85546875" style="1" customWidth="1"/>
    <col min="11097" max="11097" width="9.85546875" style="1" customWidth="1"/>
    <col min="11098" max="11098" width="8.85546875" style="1" customWidth="1"/>
    <col min="11099" max="11099" width="10" style="1" customWidth="1"/>
    <col min="11100" max="11116" width="8.85546875" style="1" customWidth="1"/>
    <col min="11117" max="11117" width="9.42578125" style="1" customWidth="1"/>
    <col min="11118" max="11118" width="8.85546875" style="1" customWidth="1"/>
    <col min="11119" max="11119" width="12" style="1" customWidth="1"/>
    <col min="11120" max="11120" width="11.140625" style="1" customWidth="1"/>
    <col min="11121" max="11121" width="28.7109375" style="1" customWidth="1"/>
    <col min="11122" max="11122" width="5.85546875" style="1" customWidth="1"/>
    <col min="11123" max="11272" width="9.140625" style="1"/>
    <col min="11273" max="11273" width="3.42578125" style="1" customWidth="1"/>
    <col min="11274" max="11274" width="27.85546875" style="1" customWidth="1"/>
    <col min="11275" max="11275" width="11.85546875" style="1" customWidth="1"/>
    <col min="11276" max="11276" width="15.140625" style="1" customWidth="1"/>
    <col min="11277" max="11277" width="10.28515625" style="1" customWidth="1"/>
    <col min="11278" max="11279" width="9.7109375" style="1" customWidth="1"/>
    <col min="11280" max="11280" width="10.42578125" style="1" customWidth="1"/>
    <col min="11281" max="11281" width="10.42578125" style="1" bestFit="1" customWidth="1"/>
    <col min="11282" max="11282" width="16.28515625" style="1" customWidth="1"/>
    <col min="11283" max="11283" width="15.140625" style="1" customWidth="1"/>
    <col min="11284" max="11284" width="13.5703125" style="1" customWidth="1"/>
    <col min="11285" max="11285" width="10.5703125" style="1" customWidth="1"/>
    <col min="11286" max="11286" width="10.85546875" style="1" customWidth="1"/>
    <col min="11287" max="11287" width="18" style="1" customWidth="1"/>
    <col min="11288" max="11288" width="20.85546875" style="1" customWidth="1"/>
    <col min="11289" max="11289" width="13.5703125" style="1" customWidth="1"/>
    <col min="11290" max="11290" width="14.140625" style="1" customWidth="1"/>
    <col min="11291" max="11293" width="8.85546875" style="1" customWidth="1"/>
    <col min="11294" max="11294" width="9.28515625" style="1" customWidth="1"/>
    <col min="11295" max="11295" width="14" style="1" customWidth="1"/>
    <col min="11296" max="11297" width="8.85546875" style="1" customWidth="1"/>
    <col min="11298" max="11298" width="10.140625" style="1" customWidth="1"/>
    <col min="11299" max="11300" width="9.5703125" style="1" customWidth="1"/>
    <col min="11301" max="11301" width="9.85546875" style="1" customWidth="1"/>
    <col min="11302" max="11303" width="10.140625" style="1" customWidth="1"/>
    <col min="11304" max="11306" width="9.28515625" style="1" customWidth="1"/>
    <col min="11307" max="11307" width="9.85546875" style="1" customWidth="1"/>
    <col min="11308" max="11309" width="8.5703125" style="1" customWidth="1"/>
    <col min="11310" max="11312" width="8.85546875" style="1" customWidth="1"/>
    <col min="11313" max="11313" width="9.28515625" style="1" customWidth="1"/>
    <col min="11314" max="11315" width="8.85546875" style="1" customWidth="1"/>
    <col min="11316" max="11316" width="10" style="1" customWidth="1"/>
    <col min="11317" max="11318" width="8.85546875" style="1" customWidth="1"/>
    <col min="11319" max="11319" width="11" style="1" customWidth="1"/>
    <col min="11320" max="11321" width="9.5703125" style="1" customWidth="1"/>
    <col min="11322" max="11324" width="8.85546875" style="1" customWidth="1"/>
    <col min="11325" max="11325" width="10.42578125" style="1" customWidth="1"/>
    <col min="11326" max="11327" width="8.85546875" style="1" customWidth="1"/>
    <col min="11328" max="11328" width="9.7109375" style="1" customWidth="1"/>
    <col min="11329" max="11330" width="8.85546875" style="1" customWidth="1"/>
    <col min="11331" max="11331" width="9.28515625" style="1" customWidth="1"/>
    <col min="11332" max="11352" width="8.85546875" style="1" customWidth="1"/>
    <col min="11353" max="11353" width="9.85546875" style="1" customWidth="1"/>
    <col min="11354" max="11354" width="8.85546875" style="1" customWidth="1"/>
    <col min="11355" max="11355" width="10" style="1" customWidth="1"/>
    <col min="11356" max="11372" width="8.85546875" style="1" customWidth="1"/>
    <col min="11373" max="11373" width="9.42578125" style="1" customWidth="1"/>
    <col min="11374" max="11374" width="8.85546875" style="1" customWidth="1"/>
    <col min="11375" max="11375" width="12" style="1" customWidth="1"/>
    <col min="11376" max="11376" width="11.140625" style="1" customWidth="1"/>
    <col min="11377" max="11377" width="28.7109375" style="1" customWidth="1"/>
    <col min="11378" max="11378" width="5.85546875" style="1" customWidth="1"/>
    <col min="11379" max="11528" width="9.140625" style="1"/>
    <col min="11529" max="11529" width="3.42578125" style="1" customWidth="1"/>
    <col min="11530" max="11530" width="27.85546875" style="1" customWidth="1"/>
    <col min="11531" max="11531" width="11.85546875" style="1" customWidth="1"/>
    <col min="11532" max="11532" width="15.140625" style="1" customWidth="1"/>
    <col min="11533" max="11533" width="10.28515625" style="1" customWidth="1"/>
    <col min="11534" max="11535" width="9.7109375" style="1" customWidth="1"/>
    <col min="11536" max="11536" width="10.42578125" style="1" customWidth="1"/>
    <col min="11537" max="11537" width="10.42578125" style="1" bestFit="1" customWidth="1"/>
    <col min="11538" max="11538" width="16.28515625" style="1" customWidth="1"/>
    <col min="11539" max="11539" width="15.140625" style="1" customWidth="1"/>
    <col min="11540" max="11540" width="13.5703125" style="1" customWidth="1"/>
    <col min="11541" max="11541" width="10.5703125" style="1" customWidth="1"/>
    <col min="11542" max="11542" width="10.85546875" style="1" customWidth="1"/>
    <col min="11543" max="11543" width="18" style="1" customWidth="1"/>
    <col min="11544" max="11544" width="20.85546875" style="1" customWidth="1"/>
    <col min="11545" max="11545" width="13.5703125" style="1" customWidth="1"/>
    <col min="11546" max="11546" width="14.140625" style="1" customWidth="1"/>
    <col min="11547" max="11549" width="8.85546875" style="1" customWidth="1"/>
    <col min="11550" max="11550" width="9.28515625" style="1" customWidth="1"/>
    <col min="11551" max="11551" width="14" style="1" customWidth="1"/>
    <col min="11552" max="11553" width="8.85546875" style="1" customWidth="1"/>
    <col min="11554" max="11554" width="10.140625" style="1" customWidth="1"/>
    <col min="11555" max="11556" width="9.5703125" style="1" customWidth="1"/>
    <col min="11557" max="11557" width="9.85546875" style="1" customWidth="1"/>
    <col min="11558" max="11559" width="10.140625" style="1" customWidth="1"/>
    <col min="11560" max="11562" width="9.28515625" style="1" customWidth="1"/>
    <col min="11563" max="11563" width="9.85546875" style="1" customWidth="1"/>
    <col min="11564" max="11565" width="8.5703125" style="1" customWidth="1"/>
    <col min="11566" max="11568" width="8.85546875" style="1" customWidth="1"/>
    <col min="11569" max="11569" width="9.28515625" style="1" customWidth="1"/>
    <col min="11570" max="11571" width="8.85546875" style="1" customWidth="1"/>
    <col min="11572" max="11572" width="10" style="1" customWidth="1"/>
    <col min="11573" max="11574" width="8.85546875" style="1" customWidth="1"/>
    <col min="11575" max="11575" width="11" style="1" customWidth="1"/>
    <col min="11576" max="11577" width="9.5703125" style="1" customWidth="1"/>
    <col min="11578" max="11580" width="8.85546875" style="1" customWidth="1"/>
    <col min="11581" max="11581" width="10.42578125" style="1" customWidth="1"/>
    <col min="11582" max="11583" width="8.85546875" style="1" customWidth="1"/>
    <col min="11584" max="11584" width="9.7109375" style="1" customWidth="1"/>
    <col min="11585" max="11586" width="8.85546875" style="1" customWidth="1"/>
    <col min="11587" max="11587" width="9.28515625" style="1" customWidth="1"/>
    <col min="11588" max="11608" width="8.85546875" style="1" customWidth="1"/>
    <col min="11609" max="11609" width="9.85546875" style="1" customWidth="1"/>
    <col min="11610" max="11610" width="8.85546875" style="1" customWidth="1"/>
    <col min="11611" max="11611" width="10" style="1" customWidth="1"/>
    <col min="11612" max="11628" width="8.85546875" style="1" customWidth="1"/>
    <col min="11629" max="11629" width="9.42578125" style="1" customWidth="1"/>
    <col min="11630" max="11630" width="8.85546875" style="1" customWidth="1"/>
    <col min="11631" max="11631" width="12" style="1" customWidth="1"/>
    <col min="11632" max="11632" width="11.140625" style="1" customWidth="1"/>
    <col min="11633" max="11633" width="28.7109375" style="1" customWidth="1"/>
    <col min="11634" max="11634" width="5.85546875" style="1" customWidth="1"/>
    <col min="11635" max="11784" width="9.140625" style="1"/>
    <col min="11785" max="11785" width="3.42578125" style="1" customWidth="1"/>
    <col min="11786" max="11786" width="27.85546875" style="1" customWidth="1"/>
    <col min="11787" max="11787" width="11.85546875" style="1" customWidth="1"/>
    <col min="11788" max="11788" width="15.140625" style="1" customWidth="1"/>
    <col min="11789" max="11789" width="10.28515625" style="1" customWidth="1"/>
    <col min="11790" max="11791" width="9.7109375" style="1" customWidth="1"/>
    <col min="11792" max="11792" width="10.42578125" style="1" customWidth="1"/>
    <col min="11793" max="11793" width="10.42578125" style="1" bestFit="1" customWidth="1"/>
    <col min="11794" max="11794" width="16.28515625" style="1" customWidth="1"/>
    <col min="11795" max="11795" width="15.140625" style="1" customWidth="1"/>
    <col min="11796" max="11796" width="13.5703125" style="1" customWidth="1"/>
    <col min="11797" max="11797" width="10.5703125" style="1" customWidth="1"/>
    <col min="11798" max="11798" width="10.85546875" style="1" customWidth="1"/>
    <col min="11799" max="11799" width="18" style="1" customWidth="1"/>
    <col min="11800" max="11800" width="20.85546875" style="1" customWidth="1"/>
    <col min="11801" max="11801" width="13.5703125" style="1" customWidth="1"/>
    <col min="11802" max="11802" width="14.140625" style="1" customWidth="1"/>
    <col min="11803" max="11805" width="8.85546875" style="1" customWidth="1"/>
    <col min="11806" max="11806" width="9.28515625" style="1" customWidth="1"/>
    <col min="11807" max="11807" width="14" style="1" customWidth="1"/>
    <col min="11808" max="11809" width="8.85546875" style="1" customWidth="1"/>
    <col min="11810" max="11810" width="10.140625" style="1" customWidth="1"/>
    <col min="11811" max="11812" width="9.5703125" style="1" customWidth="1"/>
    <col min="11813" max="11813" width="9.85546875" style="1" customWidth="1"/>
    <col min="11814" max="11815" width="10.140625" style="1" customWidth="1"/>
    <col min="11816" max="11818" width="9.28515625" style="1" customWidth="1"/>
    <col min="11819" max="11819" width="9.85546875" style="1" customWidth="1"/>
    <col min="11820" max="11821" width="8.5703125" style="1" customWidth="1"/>
    <col min="11822" max="11824" width="8.85546875" style="1" customWidth="1"/>
    <col min="11825" max="11825" width="9.28515625" style="1" customWidth="1"/>
    <col min="11826" max="11827" width="8.85546875" style="1" customWidth="1"/>
    <col min="11828" max="11828" width="10" style="1" customWidth="1"/>
    <col min="11829" max="11830" width="8.85546875" style="1" customWidth="1"/>
    <col min="11831" max="11831" width="11" style="1" customWidth="1"/>
    <col min="11832" max="11833" width="9.5703125" style="1" customWidth="1"/>
    <col min="11834" max="11836" width="8.85546875" style="1" customWidth="1"/>
    <col min="11837" max="11837" width="10.42578125" style="1" customWidth="1"/>
    <col min="11838" max="11839" width="8.85546875" style="1" customWidth="1"/>
    <col min="11840" max="11840" width="9.7109375" style="1" customWidth="1"/>
    <col min="11841" max="11842" width="8.85546875" style="1" customWidth="1"/>
    <col min="11843" max="11843" width="9.28515625" style="1" customWidth="1"/>
    <col min="11844" max="11864" width="8.85546875" style="1" customWidth="1"/>
    <col min="11865" max="11865" width="9.85546875" style="1" customWidth="1"/>
    <col min="11866" max="11866" width="8.85546875" style="1" customWidth="1"/>
    <col min="11867" max="11867" width="10" style="1" customWidth="1"/>
    <col min="11868" max="11884" width="8.85546875" style="1" customWidth="1"/>
    <col min="11885" max="11885" width="9.42578125" style="1" customWidth="1"/>
    <col min="11886" max="11886" width="8.85546875" style="1" customWidth="1"/>
    <col min="11887" max="11887" width="12" style="1" customWidth="1"/>
    <col min="11888" max="11888" width="11.140625" style="1" customWidth="1"/>
    <col min="11889" max="11889" width="28.7109375" style="1" customWidth="1"/>
    <col min="11890" max="11890" width="5.85546875" style="1" customWidth="1"/>
    <col min="11891" max="12040" width="9.140625" style="1"/>
    <col min="12041" max="12041" width="3.42578125" style="1" customWidth="1"/>
    <col min="12042" max="12042" width="27.85546875" style="1" customWidth="1"/>
    <col min="12043" max="12043" width="11.85546875" style="1" customWidth="1"/>
    <col min="12044" max="12044" width="15.140625" style="1" customWidth="1"/>
    <col min="12045" max="12045" width="10.28515625" style="1" customWidth="1"/>
    <col min="12046" max="12047" width="9.7109375" style="1" customWidth="1"/>
    <col min="12048" max="12048" width="10.42578125" style="1" customWidth="1"/>
    <col min="12049" max="12049" width="10.42578125" style="1" bestFit="1" customWidth="1"/>
    <col min="12050" max="12050" width="16.28515625" style="1" customWidth="1"/>
    <col min="12051" max="12051" width="15.140625" style="1" customWidth="1"/>
    <col min="12052" max="12052" width="13.5703125" style="1" customWidth="1"/>
    <col min="12053" max="12053" width="10.5703125" style="1" customWidth="1"/>
    <col min="12054" max="12054" width="10.85546875" style="1" customWidth="1"/>
    <col min="12055" max="12055" width="18" style="1" customWidth="1"/>
    <col min="12056" max="12056" width="20.85546875" style="1" customWidth="1"/>
    <col min="12057" max="12057" width="13.5703125" style="1" customWidth="1"/>
    <col min="12058" max="12058" width="14.140625" style="1" customWidth="1"/>
    <col min="12059" max="12061" width="8.85546875" style="1" customWidth="1"/>
    <col min="12062" max="12062" width="9.28515625" style="1" customWidth="1"/>
    <col min="12063" max="12063" width="14" style="1" customWidth="1"/>
    <col min="12064" max="12065" width="8.85546875" style="1" customWidth="1"/>
    <col min="12066" max="12066" width="10.140625" style="1" customWidth="1"/>
    <col min="12067" max="12068" width="9.5703125" style="1" customWidth="1"/>
    <col min="12069" max="12069" width="9.85546875" style="1" customWidth="1"/>
    <col min="12070" max="12071" width="10.140625" style="1" customWidth="1"/>
    <col min="12072" max="12074" width="9.28515625" style="1" customWidth="1"/>
    <col min="12075" max="12075" width="9.85546875" style="1" customWidth="1"/>
    <col min="12076" max="12077" width="8.5703125" style="1" customWidth="1"/>
    <col min="12078" max="12080" width="8.85546875" style="1" customWidth="1"/>
    <col min="12081" max="12081" width="9.28515625" style="1" customWidth="1"/>
    <col min="12082" max="12083" width="8.85546875" style="1" customWidth="1"/>
    <col min="12084" max="12084" width="10" style="1" customWidth="1"/>
    <col min="12085" max="12086" width="8.85546875" style="1" customWidth="1"/>
    <col min="12087" max="12087" width="11" style="1" customWidth="1"/>
    <col min="12088" max="12089" width="9.5703125" style="1" customWidth="1"/>
    <col min="12090" max="12092" width="8.85546875" style="1" customWidth="1"/>
    <col min="12093" max="12093" width="10.42578125" style="1" customWidth="1"/>
    <col min="12094" max="12095" width="8.85546875" style="1" customWidth="1"/>
    <col min="12096" max="12096" width="9.7109375" style="1" customWidth="1"/>
    <col min="12097" max="12098" width="8.85546875" style="1" customWidth="1"/>
    <col min="12099" max="12099" width="9.28515625" style="1" customWidth="1"/>
    <col min="12100" max="12120" width="8.85546875" style="1" customWidth="1"/>
    <col min="12121" max="12121" width="9.85546875" style="1" customWidth="1"/>
    <col min="12122" max="12122" width="8.85546875" style="1" customWidth="1"/>
    <col min="12123" max="12123" width="10" style="1" customWidth="1"/>
    <col min="12124" max="12140" width="8.85546875" style="1" customWidth="1"/>
    <col min="12141" max="12141" width="9.42578125" style="1" customWidth="1"/>
    <col min="12142" max="12142" width="8.85546875" style="1" customWidth="1"/>
    <col min="12143" max="12143" width="12" style="1" customWidth="1"/>
    <col min="12144" max="12144" width="11.140625" style="1" customWidth="1"/>
    <col min="12145" max="12145" width="28.7109375" style="1" customWidth="1"/>
    <col min="12146" max="12146" width="5.85546875" style="1" customWidth="1"/>
    <col min="12147" max="12296" width="9.140625" style="1"/>
    <col min="12297" max="12297" width="3.42578125" style="1" customWidth="1"/>
    <col min="12298" max="12298" width="27.85546875" style="1" customWidth="1"/>
    <col min="12299" max="12299" width="11.85546875" style="1" customWidth="1"/>
    <col min="12300" max="12300" width="15.140625" style="1" customWidth="1"/>
    <col min="12301" max="12301" width="10.28515625" style="1" customWidth="1"/>
    <col min="12302" max="12303" width="9.7109375" style="1" customWidth="1"/>
    <col min="12304" max="12304" width="10.42578125" style="1" customWidth="1"/>
    <col min="12305" max="12305" width="10.42578125" style="1" bestFit="1" customWidth="1"/>
    <col min="12306" max="12306" width="16.28515625" style="1" customWidth="1"/>
    <col min="12307" max="12307" width="15.140625" style="1" customWidth="1"/>
    <col min="12308" max="12308" width="13.5703125" style="1" customWidth="1"/>
    <col min="12309" max="12309" width="10.5703125" style="1" customWidth="1"/>
    <col min="12310" max="12310" width="10.85546875" style="1" customWidth="1"/>
    <col min="12311" max="12311" width="18" style="1" customWidth="1"/>
    <col min="12312" max="12312" width="20.85546875" style="1" customWidth="1"/>
    <col min="12313" max="12313" width="13.5703125" style="1" customWidth="1"/>
    <col min="12314" max="12314" width="14.140625" style="1" customWidth="1"/>
    <col min="12315" max="12317" width="8.85546875" style="1" customWidth="1"/>
    <col min="12318" max="12318" width="9.28515625" style="1" customWidth="1"/>
    <col min="12319" max="12319" width="14" style="1" customWidth="1"/>
    <col min="12320" max="12321" width="8.85546875" style="1" customWidth="1"/>
    <col min="12322" max="12322" width="10.140625" style="1" customWidth="1"/>
    <col min="12323" max="12324" width="9.5703125" style="1" customWidth="1"/>
    <col min="12325" max="12325" width="9.85546875" style="1" customWidth="1"/>
    <col min="12326" max="12327" width="10.140625" style="1" customWidth="1"/>
    <col min="12328" max="12330" width="9.28515625" style="1" customWidth="1"/>
    <col min="12331" max="12331" width="9.85546875" style="1" customWidth="1"/>
    <col min="12332" max="12333" width="8.5703125" style="1" customWidth="1"/>
    <col min="12334" max="12336" width="8.85546875" style="1" customWidth="1"/>
    <col min="12337" max="12337" width="9.28515625" style="1" customWidth="1"/>
    <col min="12338" max="12339" width="8.85546875" style="1" customWidth="1"/>
    <col min="12340" max="12340" width="10" style="1" customWidth="1"/>
    <col min="12341" max="12342" width="8.85546875" style="1" customWidth="1"/>
    <col min="12343" max="12343" width="11" style="1" customWidth="1"/>
    <col min="12344" max="12345" width="9.5703125" style="1" customWidth="1"/>
    <col min="12346" max="12348" width="8.85546875" style="1" customWidth="1"/>
    <col min="12349" max="12349" width="10.42578125" style="1" customWidth="1"/>
    <col min="12350" max="12351" width="8.85546875" style="1" customWidth="1"/>
    <col min="12352" max="12352" width="9.7109375" style="1" customWidth="1"/>
    <col min="12353" max="12354" width="8.85546875" style="1" customWidth="1"/>
    <col min="12355" max="12355" width="9.28515625" style="1" customWidth="1"/>
    <col min="12356" max="12376" width="8.85546875" style="1" customWidth="1"/>
    <col min="12377" max="12377" width="9.85546875" style="1" customWidth="1"/>
    <col min="12378" max="12378" width="8.85546875" style="1" customWidth="1"/>
    <col min="12379" max="12379" width="10" style="1" customWidth="1"/>
    <col min="12380" max="12396" width="8.85546875" style="1" customWidth="1"/>
    <col min="12397" max="12397" width="9.42578125" style="1" customWidth="1"/>
    <col min="12398" max="12398" width="8.85546875" style="1" customWidth="1"/>
    <col min="12399" max="12399" width="12" style="1" customWidth="1"/>
    <col min="12400" max="12400" width="11.140625" style="1" customWidth="1"/>
    <col min="12401" max="12401" width="28.7109375" style="1" customWidth="1"/>
    <col min="12402" max="12402" width="5.85546875" style="1" customWidth="1"/>
    <col min="12403" max="12552" width="9.140625" style="1"/>
    <col min="12553" max="12553" width="3.42578125" style="1" customWidth="1"/>
    <col min="12554" max="12554" width="27.85546875" style="1" customWidth="1"/>
    <col min="12555" max="12555" width="11.85546875" style="1" customWidth="1"/>
    <col min="12556" max="12556" width="15.140625" style="1" customWidth="1"/>
    <col min="12557" max="12557" width="10.28515625" style="1" customWidth="1"/>
    <col min="12558" max="12559" width="9.7109375" style="1" customWidth="1"/>
    <col min="12560" max="12560" width="10.42578125" style="1" customWidth="1"/>
    <col min="12561" max="12561" width="10.42578125" style="1" bestFit="1" customWidth="1"/>
    <col min="12562" max="12562" width="16.28515625" style="1" customWidth="1"/>
    <col min="12563" max="12563" width="15.140625" style="1" customWidth="1"/>
    <col min="12564" max="12564" width="13.5703125" style="1" customWidth="1"/>
    <col min="12565" max="12565" width="10.5703125" style="1" customWidth="1"/>
    <col min="12566" max="12566" width="10.85546875" style="1" customWidth="1"/>
    <col min="12567" max="12567" width="18" style="1" customWidth="1"/>
    <col min="12568" max="12568" width="20.85546875" style="1" customWidth="1"/>
    <col min="12569" max="12569" width="13.5703125" style="1" customWidth="1"/>
    <col min="12570" max="12570" width="14.140625" style="1" customWidth="1"/>
    <col min="12571" max="12573" width="8.85546875" style="1" customWidth="1"/>
    <col min="12574" max="12574" width="9.28515625" style="1" customWidth="1"/>
    <col min="12575" max="12575" width="14" style="1" customWidth="1"/>
    <col min="12576" max="12577" width="8.85546875" style="1" customWidth="1"/>
    <col min="12578" max="12578" width="10.140625" style="1" customWidth="1"/>
    <col min="12579" max="12580" width="9.5703125" style="1" customWidth="1"/>
    <col min="12581" max="12581" width="9.85546875" style="1" customWidth="1"/>
    <col min="12582" max="12583" width="10.140625" style="1" customWidth="1"/>
    <col min="12584" max="12586" width="9.28515625" style="1" customWidth="1"/>
    <col min="12587" max="12587" width="9.85546875" style="1" customWidth="1"/>
    <col min="12588" max="12589" width="8.5703125" style="1" customWidth="1"/>
    <col min="12590" max="12592" width="8.85546875" style="1" customWidth="1"/>
    <col min="12593" max="12593" width="9.28515625" style="1" customWidth="1"/>
    <col min="12594" max="12595" width="8.85546875" style="1" customWidth="1"/>
    <col min="12596" max="12596" width="10" style="1" customWidth="1"/>
    <col min="12597" max="12598" width="8.85546875" style="1" customWidth="1"/>
    <col min="12599" max="12599" width="11" style="1" customWidth="1"/>
    <col min="12600" max="12601" width="9.5703125" style="1" customWidth="1"/>
    <col min="12602" max="12604" width="8.85546875" style="1" customWidth="1"/>
    <col min="12605" max="12605" width="10.42578125" style="1" customWidth="1"/>
    <col min="12606" max="12607" width="8.85546875" style="1" customWidth="1"/>
    <col min="12608" max="12608" width="9.7109375" style="1" customWidth="1"/>
    <col min="12609" max="12610" width="8.85546875" style="1" customWidth="1"/>
    <col min="12611" max="12611" width="9.28515625" style="1" customWidth="1"/>
    <col min="12612" max="12632" width="8.85546875" style="1" customWidth="1"/>
    <col min="12633" max="12633" width="9.85546875" style="1" customWidth="1"/>
    <col min="12634" max="12634" width="8.85546875" style="1" customWidth="1"/>
    <col min="12635" max="12635" width="10" style="1" customWidth="1"/>
    <col min="12636" max="12652" width="8.85546875" style="1" customWidth="1"/>
    <col min="12653" max="12653" width="9.42578125" style="1" customWidth="1"/>
    <col min="12654" max="12654" width="8.85546875" style="1" customWidth="1"/>
    <col min="12655" max="12655" width="12" style="1" customWidth="1"/>
    <col min="12656" max="12656" width="11.140625" style="1" customWidth="1"/>
    <col min="12657" max="12657" width="28.7109375" style="1" customWidth="1"/>
    <col min="12658" max="12658" width="5.85546875" style="1" customWidth="1"/>
    <col min="12659" max="12808" width="9.140625" style="1"/>
    <col min="12809" max="12809" width="3.42578125" style="1" customWidth="1"/>
    <col min="12810" max="12810" width="27.85546875" style="1" customWidth="1"/>
    <col min="12811" max="12811" width="11.85546875" style="1" customWidth="1"/>
    <col min="12812" max="12812" width="15.140625" style="1" customWidth="1"/>
    <col min="12813" max="12813" width="10.28515625" style="1" customWidth="1"/>
    <col min="12814" max="12815" width="9.7109375" style="1" customWidth="1"/>
    <col min="12816" max="12816" width="10.42578125" style="1" customWidth="1"/>
    <col min="12817" max="12817" width="10.42578125" style="1" bestFit="1" customWidth="1"/>
    <col min="12818" max="12818" width="16.28515625" style="1" customWidth="1"/>
    <col min="12819" max="12819" width="15.140625" style="1" customWidth="1"/>
    <col min="12820" max="12820" width="13.5703125" style="1" customWidth="1"/>
    <col min="12821" max="12821" width="10.5703125" style="1" customWidth="1"/>
    <col min="12822" max="12822" width="10.85546875" style="1" customWidth="1"/>
    <col min="12823" max="12823" width="18" style="1" customWidth="1"/>
    <col min="12824" max="12824" width="20.85546875" style="1" customWidth="1"/>
    <col min="12825" max="12825" width="13.5703125" style="1" customWidth="1"/>
    <col min="12826" max="12826" width="14.140625" style="1" customWidth="1"/>
    <col min="12827" max="12829" width="8.85546875" style="1" customWidth="1"/>
    <col min="12830" max="12830" width="9.28515625" style="1" customWidth="1"/>
    <col min="12831" max="12831" width="14" style="1" customWidth="1"/>
    <col min="12832" max="12833" width="8.85546875" style="1" customWidth="1"/>
    <col min="12834" max="12834" width="10.140625" style="1" customWidth="1"/>
    <col min="12835" max="12836" width="9.5703125" style="1" customWidth="1"/>
    <col min="12837" max="12837" width="9.85546875" style="1" customWidth="1"/>
    <col min="12838" max="12839" width="10.140625" style="1" customWidth="1"/>
    <col min="12840" max="12842" width="9.28515625" style="1" customWidth="1"/>
    <col min="12843" max="12843" width="9.85546875" style="1" customWidth="1"/>
    <col min="12844" max="12845" width="8.5703125" style="1" customWidth="1"/>
    <col min="12846" max="12848" width="8.85546875" style="1" customWidth="1"/>
    <col min="12849" max="12849" width="9.28515625" style="1" customWidth="1"/>
    <col min="12850" max="12851" width="8.85546875" style="1" customWidth="1"/>
    <col min="12852" max="12852" width="10" style="1" customWidth="1"/>
    <col min="12853" max="12854" width="8.85546875" style="1" customWidth="1"/>
    <col min="12855" max="12855" width="11" style="1" customWidth="1"/>
    <col min="12856" max="12857" width="9.5703125" style="1" customWidth="1"/>
    <col min="12858" max="12860" width="8.85546875" style="1" customWidth="1"/>
    <col min="12861" max="12861" width="10.42578125" style="1" customWidth="1"/>
    <col min="12862" max="12863" width="8.85546875" style="1" customWidth="1"/>
    <col min="12864" max="12864" width="9.7109375" style="1" customWidth="1"/>
    <col min="12865" max="12866" width="8.85546875" style="1" customWidth="1"/>
    <col min="12867" max="12867" width="9.28515625" style="1" customWidth="1"/>
    <col min="12868" max="12888" width="8.85546875" style="1" customWidth="1"/>
    <col min="12889" max="12889" width="9.85546875" style="1" customWidth="1"/>
    <col min="12890" max="12890" width="8.85546875" style="1" customWidth="1"/>
    <col min="12891" max="12891" width="10" style="1" customWidth="1"/>
    <col min="12892" max="12908" width="8.85546875" style="1" customWidth="1"/>
    <col min="12909" max="12909" width="9.42578125" style="1" customWidth="1"/>
    <col min="12910" max="12910" width="8.85546875" style="1" customWidth="1"/>
    <col min="12911" max="12911" width="12" style="1" customWidth="1"/>
    <col min="12912" max="12912" width="11.140625" style="1" customWidth="1"/>
    <col min="12913" max="12913" width="28.7109375" style="1" customWidth="1"/>
    <col min="12914" max="12914" width="5.85546875" style="1" customWidth="1"/>
    <col min="12915" max="13064" width="9.140625" style="1"/>
    <col min="13065" max="13065" width="3.42578125" style="1" customWidth="1"/>
    <col min="13066" max="13066" width="27.85546875" style="1" customWidth="1"/>
    <col min="13067" max="13067" width="11.85546875" style="1" customWidth="1"/>
    <col min="13068" max="13068" width="15.140625" style="1" customWidth="1"/>
    <col min="13069" max="13069" width="10.28515625" style="1" customWidth="1"/>
    <col min="13070" max="13071" width="9.7109375" style="1" customWidth="1"/>
    <col min="13072" max="13072" width="10.42578125" style="1" customWidth="1"/>
    <col min="13073" max="13073" width="10.42578125" style="1" bestFit="1" customWidth="1"/>
    <col min="13074" max="13074" width="16.28515625" style="1" customWidth="1"/>
    <col min="13075" max="13075" width="15.140625" style="1" customWidth="1"/>
    <col min="13076" max="13076" width="13.5703125" style="1" customWidth="1"/>
    <col min="13077" max="13077" width="10.5703125" style="1" customWidth="1"/>
    <col min="13078" max="13078" width="10.85546875" style="1" customWidth="1"/>
    <col min="13079" max="13079" width="18" style="1" customWidth="1"/>
    <col min="13080" max="13080" width="20.85546875" style="1" customWidth="1"/>
    <col min="13081" max="13081" width="13.5703125" style="1" customWidth="1"/>
    <col min="13082" max="13082" width="14.140625" style="1" customWidth="1"/>
    <col min="13083" max="13085" width="8.85546875" style="1" customWidth="1"/>
    <col min="13086" max="13086" width="9.28515625" style="1" customWidth="1"/>
    <col min="13087" max="13087" width="14" style="1" customWidth="1"/>
    <col min="13088" max="13089" width="8.85546875" style="1" customWidth="1"/>
    <col min="13090" max="13090" width="10.140625" style="1" customWidth="1"/>
    <col min="13091" max="13092" width="9.5703125" style="1" customWidth="1"/>
    <col min="13093" max="13093" width="9.85546875" style="1" customWidth="1"/>
    <col min="13094" max="13095" width="10.140625" style="1" customWidth="1"/>
    <col min="13096" max="13098" width="9.28515625" style="1" customWidth="1"/>
    <col min="13099" max="13099" width="9.85546875" style="1" customWidth="1"/>
    <col min="13100" max="13101" width="8.5703125" style="1" customWidth="1"/>
    <col min="13102" max="13104" width="8.85546875" style="1" customWidth="1"/>
    <col min="13105" max="13105" width="9.28515625" style="1" customWidth="1"/>
    <col min="13106" max="13107" width="8.85546875" style="1" customWidth="1"/>
    <col min="13108" max="13108" width="10" style="1" customWidth="1"/>
    <col min="13109" max="13110" width="8.85546875" style="1" customWidth="1"/>
    <col min="13111" max="13111" width="11" style="1" customWidth="1"/>
    <col min="13112" max="13113" width="9.5703125" style="1" customWidth="1"/>
    <col min="13114" max="13116" width="8.85546875" style="1" customWidth="1"/>
    <col min="13117" max="13117" width="10.42578125" style="1" customWidth="1"/>
    <col min="13118" max="13119" width="8.85546875" style="1" customWidth="1"/>
    <col min="13120" max="13120" width="9.7109375" style="1" customWidth="1"/>
    <col min="13121" max="13122" width="8.85546875" style="1" customWidth="1"/>
    <col min="13123" max="13123" width="9.28515625" style="1" customWidth="1"/>
    <col min="13124" max="13144" width="8.85546875" style="1" customWidth="1"/>
    <col min="13145" max="13145" width="9.85546875" style="1" customWidth="1"/>
    <col min="13146" max="13146" width="8.85546875" style="1" customWidth="1"/>
    <col min="13147" max="13147" width="10" style="1" customWidth="1"/>
    <col min="13148" max="13164" width="8.85546875" style="1" customWidth="1"/>
    <col min="13165" max="13165" width="9.42578125" style="1" customWidth="1"/>
    <col min="13166" max="13166" width="8.85546875" style="1" customWidth="1"/>
    <col min="13167" max="13167" width="12" style="1" customWidth="1"/>
    <col min="13168" max="13168" width="11.140625" style="1" customWidth="1"/>
    <col min="13169" max="13169" width="28.7109375" style="1" customWidth="1"/>
    <col min="13170" max="13170" width="5.85546875" style="1" customWidth="1"/>
    <col min="13171" max="13320" width="9.140625" style="1"/>
    <col min="13321" max="13321" width="3.42578125" style="1" customWidth="1"/>
    <col min="13322" max="13322" width="27.85546875" style="1" customWidth="1"/>
    <col min="13323" max="13323" width="11.85546875" style="1" customWidth="1"/>
    <col min="13324" max="13324" width="15.140625" style="1" customWidth="1"/>
    <col min="13325" max="13325" width="10.28515625" style="1" customWidth="1"/>
    <col min="13326" max="13327" width="9.7109375" style="1" customWidth="1"/>
    <col min="13328" max="13328" width="10.42578125" style="1" customWidth="1"/>
    <col min="13329" max="13329" width="10.42578125" style="1" bestFit="1" customWidth="1"/>
    <col min="13330" max="13330" width="16.28515625" style="1" customWidth="1"/>
    <col min="13331" max="13331" width="15.140625" style="1" customWidth="1"/>
    <col min="13332" max="13332" width="13.5703125" style="1" customWidth="1"/>
    <col min="13333" max="13333" width="10.5703125" style="1" customWidth="1"/>
    <col min="13334" max="13334" width="10.85546875" style="1" customWidth="1"/>
    <col min="13335" max="13335" width="18" style="1" customWidth="1"/>
    <col min="13336" max="13336" width="20.85546875" style="1" customWidth="1"/>
    <col min="13337" max="13337" width="13.5703125" style="1" customWidth="1"/>
    <col min="13338" max="13338" width="14.140625" style="1" customWidth="1"/>
    <col min="13339" max="13341" width="8.85546875" style="1" customWidth="1"/>
    <col min="13342" max="13342" width="9.28515625" style="1" customWidth="1"/>
    <col min="13343" max="13343" width="14" style="1" customWidth="1"/>
    <col min="13344" max="13345" width="8.85546875" style="1" customWidth="1"/>
    <col min="13346" max="13346" width="10.140625" style="1" customWidth="1"/>
    <col min="13347" max="13348" width="9.5703125" style="1" customWidth="1"/>
    <col min="13349" max="13349" width="9.85546875" style="1" customWidth="1"/>
    <col min="13350" max="13351" width="10.140625" style="1" customWidth="1"/>
    <col min="13352" max="13354" width="9.28515625" style="1" customWidth="1"/>
    <col min="13355" max="13355" width="9.85546875" style="1" customWidth="1"/>
    <col min="13356" max="13357" width="8.5703125" style="1" customWidth="1"/>
    <col min="13358" max="13360" width="8.85546875" style="1" customWidth="1"/>
    <col min="13361" max="13361" width="9.28515625" style="1" customWidth="1"/>
    <col min="13362" max="13363" width="8.85546875" style="1" customWidth="1"/>
    <col min="13364" max="13364" width="10" style="1" customWidth="1"/>
    <col min="13365" max="13366" width="8.85546875" style="1" customWidth="1"/>
    <col min="13367" max="13367" width="11" style="1" customWidth="1"/>
    <col min="13368" max="13369" width="9.5703125" style="1" customWidth="1"/>
    <col min="13370" max="13372" width="8.85546875" style="1" customWidth="1"/>
    <col min="13373" max="13373" width="10.42578125" style="1" customWidth="1"/>
    <col min="13374" max="13375" width="8.85546875" style="1" customWidth="1"/>
    <col min="13376" max="13376" width="9.7109375" style="1" customWidth="1"/>
    <col min="13377" max="13378" width="8.85546875" style="1" customWidth="1"/>
    <col min="13379" max="13379" width="9.28515625" style="1" customWidth="1"/>
    <col min="13380" max="13400" width="8.85546875" style="1" customWidth="1"/>
    <col min="13401" max="13401" width="9.85546875" style="1" customWidth="1"/>
    <col min="13402" max="13402" width="8.85546875" style="1" customWidth="1"/>
    <col min="13403" max="13403" width="10" style="1" customWidth="1"/>
    <col min="13404" max="13420" width="8.85546875" style="1" customWidth="1"/>
    <col min="13421" max="13421" width="9.42578125" style="1" customWidth="1"/>
    <col min="13422" max="13422" width="8.85546875" style="1" customWidth="1"/>
    <col min="13423" max="13423" width="12" style="1" customWidth="1"/>
    <col min="13424" max="13424" width="11.140625" style="1" customWidth="1"/>
    <col min="13425" max="13425" width="28.7109375" style="1" customWidth="1"/>
    <col min="13426" max="13426" width="5.85546875" style="1" customWidth="1"/>
    <col min="13427" max="13576" width="9.140625" style="1"/>
    <col min="13577" max="13577" width="3.42578125" style="1" customWidth="1"/>
    <col min="13578" max="13578" width="27.85546875" style="1" customWidth="1"/>
    <col min="13579" max="13579" width="11.85546875" style="1" customWidth="1"/>
    <col min="13580" max="13580" width="15.140625" style="1" customWidth="1"/>
    <col min="13581" max="13581" width="10.28515625" style="1" customWidth="1"/>
    <col min="13582" max="13583" width="9.7109375" style="1" customWidth="1"/>
    <col min="13584" max="13584" width="10.42578125" style="1" customWidth="1"/>
    <col min="13585" max="13585" width="10.42578125" style="1" bestFit="1" customWidth="1"/>
    <col min="13586" max="13586" width="16.28515625" style="1" customWidth="1"/>
    <col min="13587" max="13587" width="15.140625" style="1" customWidth="1"/>
    <col min="13588" max="13588" width="13.5703125" style="1" customWidth="1"/>
    <col min="13589" max="13589" width="10.5703125" style="1" customWidth="1"/>
    <col min="13590" max="13590" width="10.85546875" style="1" customWidth="1"/>
    <col min="13591" max="13591" width="18" style="1" customWidth="1"/>
    <col min="13592" max="13592" width="20.85546875" style="1" customWidth="1"/>
    <col min="13593" max="13593" width="13.5703125" style="1" customWidth="1"/>
    <col min="13594" max="13594" width="14.140625" style="1" customWidth="1"/>
    <col min="13595" max="13597" width="8.85546875" style="1" customWidth="1"/>
    <col min="13598" max="13598" width="9.28515625" style="1" customWidth="1"/>
    <col min="13599" max="13599" width="14" style="1" customWidth="1"/>
    <col min="13600" max="13601" width="8.85546875" style="1" customWidth="1"/>
    <col min="13602" max="13602" width="10.140625" style="1" customWidth="1"/>
    <col min="13603" max="13604" width="9.5703125" style="1" customWidth="1"/>
    <col min="13605" max="13605" width="9.85546875" style="1" customWidth="1"/>
    <col min="13606" max="13607" width="10.140625" style="1" customWidth="1"/>
    <col min="13608" max="13610" width="9.28515625" style="1" customWidth="1"/>
    <col min="13611" max="13611" width="9.85546875" style="1" customWidth="1"/>
    <col min="13612" max="13613" width="8.5703125" style="1" customWidth="1"/>
    <col min="13614" max="13616" width="8.85546875" style="1" customWidth="1"/>
    <col min="13617" max="13617" width="9.28515625" style="1" customWidth="1"/>
    <col min="13618" max="13619" width="8.85546875" style="1" customWidth="1"/>
    <col min="13620" max="13620" width="10" style="1" customWidth="1"/>
    <col min="13621" max="13622" width="8.85546875" style="1" customWidth="1"/>
    <col min="13623" max="13623" width="11" style="1" customWidth="1"/>
    <col min="13624" max="13625" width="9.5703125" style="1" customWidth="1"/>
    <col min="13626" max="13628" width="8.85546875" style="1" customWidth="1"/>
    <col min="13629" max="13629" width="10.42578125" style="1" customWidth="1"/>
    <col min="13630" max="13631" width="8.85546875" style="1" customWidth="1"/>
    <col min="13632" max="13632" width="9.7109375" style="1" customWidth="1"/>
    <col min="13633" max="13634" width="8.85546875" style="1" customWidth="1"/>
    <col min="13635" max="13635" width="9.28515625" style="1" customWidth="1"/>
    <col min="13636" max="13656" width="8.85546875" style="1" customWidth="1"/>
    <col min="13657" max="13657" width="9.85546875" style="1" customWidth="1"/>
    <col min="13658" max="13658" width="8.85546875" style="1" customWidth="1"/>
    <col min="13659" max="13659" width="10" style="1" customWidth="1"/>
    <col min="13660" max="13676" width="8.85546875" style="1" customWidth="1"/>
    <col min="13677" max="13677" width="9.42578125" style="1" customWidth="1"/>
    <col min="13678" max="13678" width="8.85546875" style="1" customWidth="1"/>
    <col min="13679" max="13679" width="12" style="1" customWidth="1"/>
    <col min="13680" max="13680" width="11.140625" style="1" customWidth="1"/>
    <col min="13681" max="13681" width="28.7109375" style="1" customWidth="1"/>
    <col min="13682" max="13682" width="5.85546875" style="1" customWidth="1"/>
    <col min="13683" max="13832" width="9.140625" style="1"/>
    <col min="13833" max="13833" width="3.42578125" style="1" customWidth="1"/>
    <col min="13834" max="13834" width="27.85546875" style="1" customWidth="1"/>
    <col min="13835" max="13835" width="11.85546875" style="1" customWidth="1"/>
    <col min="13836" max="13836" width="15.140625" style="1" customWidth="1"/>
    <col min="13837" max="13837" width="10.28515625" style="1" customWidth="1"/>
    <col min="13838" max="13839" width="9.7109375" style="1" customWidth="1"/>
    <col min="13840" max="13840" width="10.42578125" style="1" customWidth="1"/>
    <col min="13841" max="13841" width="10.42578125" style="1" bestFit="1" customWidth="1"/>
    <col min="13842" max="13842" width="16.28515625" style="1" customWidth="1"/>
    <col min="13843" max="13843" width="15.140625" style="1" customWidth="1"/>
    <col min="13844" max="13844" width="13.5703125" style="1" customWidth="1"/>
    <col min="13845" max="13845" width="10.5703125" style="1" customWidth="1"/>
    <col min="13846" max="13846" width="10.85546875" style="1" customWidth="1"/>
    <col min="13847" max="13847" width="18" style="1" customWidth="1"/>
    <col min="13848" max="13848" width="20.85546875" style="1" customWidth="1"/>
    <col min="13849" max="13849" width="13.5703125" style="1" customWidth="1"/>
    <col min="13850" max="13850" width="14.140625" style="1" customWidth="1"/>
    <col min="13851" max="13853" width="8.85546875" style="1" customWidth="1"/>
    <col min="13854" max="13854" width="9.28515625" style="1" customWidth="1"/>
    <col min="13855" max="13855" width="14" style="1" customWidth="1"/>
    <col min="13856" max="13857" width="8.85546875" style="1" customWidth="1"/>
    <col min="13858" max="13858" width="10.140625" style="1" customWidth="1"/>
    <col min="13859" max="13860" width="9.5703125" style="1" customWidth="1"/>
    <col min="13861" max="13861" width="9.85546875" style="1" customWidth="1"/>
    <col min="13862" max="13863" width="10.140625" style="1" customWidth="1"/>
    <col min="13864" max="13866" width="9.28515625" style="1" customWidth="1"/>
    <col min="13867" max="13867" width="9.85546875" style="1" customWidth="1"/>
    <col min="13868" max="13869" width="8.5703125" style="1" customWidth="1"/>
    <col min="13870" max="13872" width="8.85546875" style="1" customWidth="1"/>
    <col min="13873" max="13873" width="9.28515625" style="1" customWidth="1"/>
    <col min="13874" max="13875" width="8.85546875" style="1" customWidth="1"/>
    <col min="13876" max="13876" width="10" style="1" customWidth="1"/>
    <col min="13877" max="13878" width="8.85546875" style="1" customWidth="1"/>
    <col min="13879" max="13879" width="11" style="1" customWidth="1"/>
    <col min="13880" max="13881" width="9.5703125" style="1" customWidth="1"/>
    <col min="13882" max="13884" width="8.85546875" style="1" customWidth="1"/>
    <col min="13885" max="13885" width="10.42578125" style="1" customWidth="1"/>
    <col min="13886" max="13887" width="8.85546875" style="1" customWidth="1"/>
    <col min="13888" max="13888" width="9.7109375" style="1" customWidth="1"/>
    <col min="13889" max="13890" width="8.85546875" style="1" customWidth="1"/>
    <col min="13891" max="13891" width="9.28515625" style="1" customWidth="1"/>
    <col min="13892" max="13912" width="8.85546875" style="1" customWidth="1"/>
    <col min="13913" max="13913" width="9.85546875" style="1" customWidth="1"/>
    <col min="13914" max="13914" width="8.85546875" style="1" customWidth="1"/>
    <col min="13915" max="13915" width="10" style="1" customWidth="1"/>
    <col min="13916" max="13932" width="8.85546875" style="1" customWidth="1"/>
    <col min="13933" max="13933" width="9.42578125" style="1" customWidth="1"/>
    <col min="13934" max="13934" width="8.85546875" style="1" customWidth="1"/>
    <col min="13935" max="13935" width="12" style="1" customWidth="1"/>
    <col min="13936" max="13936" width="11.140625" style="1" customWidth="1"/>
    <col min="13937" max="13937" width="28.7109375" style="1" customWidth="1"/>
    <col min="13938" max="13938" width="5.85546875" style="1" customWidth="1"/>
    <col min="13939" max="14088" width="9.140625" style="1"/>
    <col min="14089" max="14089" width="3.42578125" style="1" customWidth="1"/>
    <col min="14090" max="14090" width="27.85546875" style="1" customWidth="1"/>
    <col min="14091" max="14091" width="11.85546875" style="1" customWidth="1"/>
    <col min="14092" max="14092" width="15.140625" style="1" customWidth="1"/>
    <col min="14093" max="14093" width="10.28515625" style="1" customWidth="1"/>
    <col min="14094" max="14095" width="9.7109375" style="1" customWidth="1"/>
    <col min="14096" max="14096" width="10.42578125" style="1" customWidth="1"/>
    <col min="14097" max="14097" width="10.42578125" style="1" bestFit="1" customWidth="1"/>
    <col min="14098" max="14098" width="16.28515625" style="1" customWidth="1"/>
    <col min="14099" max="14099" width="15.140625" style="1" customWidth="1"/>
    <col min="14100" max="14100" width="13.5703125" style="1" customWidth="1"/>
    <col min="14101" max="14101" width="10.5703125" style="1" customWidth="1"/>
    <col min="14102" max="14102" width="10.85546875" style="1" customWidth="1"/>
    <col min="14103" max="14103" width="18" style="1" customWidth="1"/>
    <col min="14104" max="14104" width="20.85546875" style="1" customWidth="1"/>
    <col min="14105" max="14105" width="13.5703125" style="1" customWidth="1"/>
    <col min="14106" max="14106" width="14.140625" style="1" customWidth="1"/>
    <col min="14107" max="14109" width="8.85546875" style="1" customWidth="1"/>
    <col min="14110" max="14110" width="9.28515625" style="1" customWidth="1"/>
    <col min="14111" max="14111" width="14" style="1" customWidth="1"/>
    <col min="14112" max="14113" width="8.85546875" style="1" customWidth="1"/>
    <col min="14114" max="14114" width="10.140625" style="1" customWidth="1"/>
    <col min="14115" max="14116" width="9.5703125" style="1" customWidth="1"/>
    <col min="14117" max="14117" width="9.85546875" style="1" customWidth="1"/>
    <col min="14118" max="14119" width="10.140625" style="1" customWidth="1"/>
    <col min="14120" max="14122" width="9.28515625" style="1" customWidth="1"/>
    <col min="14123" max="14123" width="9.85546875" style="1" customWidth="1"/>
    <col min="14124" max="14125" width="8.5703125" style="1" customWidth="1"/>
    <col min="14126" max="14128" width="8.85546875" style="1" customWidth="1"/>
    <col min="14129" max="14129" width="9.28515625" style="1" customWidth="1"/>
    <col min="14130" max="14131" width="8.85546875" style="1" customWidth="1"/>
    <col min="14132" max="14132" width="10" style="1" customWidth="1"/>
    <col min="14133" max="14134" width="8.85546875" style="1" customWidth="1"/>
    <col min="14135" max="14135" width="11" style="1" customWidth="1"/>
    <col min="14136" max="14137" width="9.5703125" style="1" customWidth="1"/>
    <col min="14138" max="14140" width="8.85546875" style="1" customWidth="1"/>
    <col min="14141" max="14141" width="10.42578125" style="1" customWidth="1"/>
    <col min="14142" max="14143" width="8.85546875" style="1" customWidth="1"/>
    <col min="14144" max="14144" width="9.7109375" style="1" customWidth="1"/>
    <col min="14145" max="14146" width="8.85546875" style="1" customWidth="1"/>
    <col min="14147" max="14147" width="9.28515625" style="1" customWidth="1"/>
    <col min="14148" max="14168" width="8.85546875" style="1" customWidth="1"/>
    <col min="14169" max="14169" width="9.85546875" style="1" customWidth="1"/>
    <col min="14170" max="14170" width="8.85546875" style="1" customWidth="1"/>
    <col min="14171" max="14171" width="10" style="1" customWidth="1"/>
    <col min="14172" max="14188" width="8.85546875" style="1" customWidth="1"/>
    <col min="14189" max="14189" width="9.42578125" style="1" customWidth="1"/>
    <col min="14190" max="14190" width="8.85546875" style="1" customWidth="1"/>
    <col min="14191" max="14191" width="12" style="1" customWidth="1"/>
    <col min="14192" max="14192" width="11.140625" style="1" customWidth="1"/>
    <col min="14193" max="14193" width="28.7109375" style="1" customWidth="1"/>
    <col min="14194" max="14194" width="5.85546875" style="1" customWidth="1"/>
    <col min="14195" max="14344" width="9.140625" style="1"/>
    <col min="14345" max="14345" width="3.42578125" style="1" customWidth="1"/>
    <col min="14346" max="14346" width="27.85546875" style="1" customWidth="1"/>
    <col min="14347" max="14347" width="11.85546875" style="1" customWidth="1"/>
    <col min="14348" max="14348" width="15.140625" style="1" customWidth="1"/>
    <col min="14349" max="14349" width="10.28515625" style="1" customWidth="1"/>
    <col min="14350" max="14351" width="9.7109375" style="1" customWidth="1"/>
    <col min="14352" max="14352" width="10.42578125" style="1" customWidth="1"/>
    <col min="14353" max="14353" width="10.42578125" style="1" bestFit="1" customWidth="1"/>
    <col min="14354" max="14354" width="16.28515625" style="1" customWidth="1"/>
    <col min="14355" max="14355" width="15.140625" style="1" customWidth="1"/>
    <col min="14356" max="14356" width="13.5703125" style="1" customWidth="1"/>
    <col min="14357" max="14357" width="10.5703125" style="1" customWidth="1"/>
    <col min="14358" max="14358" width="10.85546875" style="1" customWidth="1"/>
    <col min="14359" max="14359" width="18" style="1" customWidth="1"/>
    <col min="14360" max="14360" width="20.85546875" style="1" customWidth="1"/>
    <col min="14361" max="14361" width="13.5703125" style="1" customWidth="1"/>
    <col min="14362" max="14362" width="14.140625" style="1" customWidth="1"/>
    <col min="14363" max="14365" width="8.85546875" style="1" customWidth="1"/>
    <col min="14366" max="14366" width="9.28515625" style="1" customWidth="1"/>
    <col min="14367" max="14367" width="14" style="1" customWidth="1"/>
    <col min="14368" max="14369" width="8.85546875" style="1" customWidth="1"/>
    <col min="14370" max="14370" width="10.140625" style="1" customWidth="1"/>
    <col min="14371" max="14372" width="9.5703125" style="1" customWidth="1"/>
    <col min="14373" max="14373" width="9.85546875" style="1" customWidth="1"/>
    <col min="14374" max="14375" width="10.140625" style="1" customWidth="1"/>
    <col min="14376" max="14378" width="9.28515625" style="1" customWidth="1"/>
    <col min="14379" max="14379" width="9.85546875" style="1" customWidth="1"/>
    <col min="14380" max="14381" width="8.5703125" style="1" customWidth="1"/>
    <col min="14382" max="14384" width="8.85546875" style="1" customWidth="1"/>
    <col min="14385" max="14385" width="9.28515625" style="1" customWidth="1"/>
    <col min="14386" max="14387" width="8.85546875" style="1" customWidth="1"/>
    <col min="14388" max="14388" width="10" style="1" customWidth="1"/>
    <col min="14389" max="14390" width="8.85546875" style="1" customWidth="1"/>
    <col min="14391" max="14391" width="11" style="1" customWidth="1"/>
    <col min="14392" max="14393" width="9.5703125" style="1" customWidth="1"/>
    <col min="14394" max="14396" width="8.85546875" style="1" customWidth="1"/>
    <col min="14397" max="14397" width="10.42578125" style="1" customWidth="1"/>
    <col min="14398" max="14399" width="8.85546875" style="1" customWidth="1"/>
    <col min="14400" max="14400" width="9.7109375" style="1" customWidth="1"/>
    <col min="14401" max="14402" width="8.85546875" style="1" customWidth="1"/>
    <col min="14403" max="14403" width="9.28515625" style="1" customWidth="1"/>
    <col min="14404" max="14424" width="8.85546875" style="1" customWidth="1"/>
    <col min="14425" max="14425" width="9.85546875" style="1" customWidth="1"/>
    <col min="14426" max="14426" width="8.85546875" style="1" customWidth="1"/>
    <col min="14427" max="14427" width="10" style="1" customWidth="1"/>
    <col min="14428" max="14444" width="8.85546875" style="1" customWidth="1"/>
    <col min="14445" max="14445" width="9.42578125" style="1" customWidth="1"/>
    <col min="14446" max="14446" width="8.85546875" style="1" customWidth="1"/>
    <col min="14447" max="14447" width="12" style="1" customWidth="1"/>
    <col min="14448" max="14448" width="11.140625" style="1" customWidth="1"/>
    <col min="14449" max="14449" width="28.7109375" style="1" customWidth="1"/>
    <col min="14450" max="14450" width="5.85546875" style="1" customWidth="1"/>
    <col min="14451" max="14600" width="9.140625" style="1"/>
    <col min="14601" max="14601" width="3.42578125" style="1" customWidth="1"/>
    <col min="14602" max="14602" width="27.85546875" style="1" customWidth="1"/>
    <col min="14603" max="14603" width="11.85546875" style="1" customWidth="1"/>
    <col min="14604" max="14604" width="15.140625" style="1" customWidth="1"/>
    <col min="14605" max="14605" width="10.28515625" style="1" customWidth="1"/>
    <col min="14606" max="14607" width="9.7109375" style="1" customWidth="1"/>
    <col min="14608" max="14608" width="10.42578125" style="1" customWidth="1"/>
    <col min="14609" max="14609" width="10.42578125" style="1" bestFit="1" customWidth="1"/>
    <col min="14610" max="14610" width="16.28515625" style="1" customWidth="1"/>
    <col min="14611" max="14611" width="15.140625" style="1" customWidth="1"/>
    <col min="14612" max="14612" width="13.5703125" style="1" customWidth="1"/>
    <col min="14613" max="14613" width="10.5703125" style="1" customWidth="1"/>
    <col min="14614" max="14614" width="10.85546875" style="1" customWidth="1"/>
    <col min="14615" max="14615" width="18" style="1" customWidth="1"/>
    <col min="14616" max="14616" width="20.85546875" style="1" customWidth="1"/>
    <col min="14617" max="14617" width="13.5703125" style="1" customWidth="1"/>
    <col min="14618" max="14618" width="14.140625" style="1" customWidth="1"/>
    <col min="14619" max="14621" width="8.85546875" style="1" customWidth="1"/>
    <col min="14622" max="14622" width="9.28515625" style="1" customWidth="1"/>
    <col min="14623" max="14623" width="14" style="1" customWidth="1"/>
    <col min="14624" max="14625" width="8.85546875" style="1" customWidth="1"/>
    <col min="14626" max="14626" width="10.140625" style="1" customWidth="1"/>
    <col min="14627" max="14628" width="9.5703125" style="1" customWidth="1"/>
    <col min="14629" max="14629" width="9.85546875" style="1" customWidth="1"/>
    <col min="14630" max="14631" width="10.140625" style="1" customWidth="1"/>
    <col min="14632" max="14634" width="9.28515625" style="1" customWidth="1"/>
    <col min="14635" max="14635" width="9.85546875" style="1" customWidth="1"/>
    <col min="14636" max="14637" width="8.5703125" style="1" customWidth="1"/>
    <col min="14638" max="14640" width="8.85546875" style="1" customWidth="1"/>
    <col min="14641" max="14641" width="9.28515625" style="1" customWidth="1"/>
    <col min="14642" max="14643" width="8.85546875" style="1" customWidth="1"/>
    <col min="14644" max="14644" width="10" style="1" customWidth="1"/>
    <col min="14645" max="14646" width="8.85546875" style="1" customWidth="1"/>
    <col min="14647" max="14647" width="11" style="1" customWidth="1"/>
    <col min="14648" max="14649" width="9.5703125" style="1" customWidth="1"/>
    <col min="14650" max="14652" width="8.85546875" style="1" customWidth="1"/>
    <col min="14653" max="14653" width="10.42578125" style="1" customWidth="1"/>
    <col min="14654" max="14655" width="8.85546875" style="1" customWidth="1"/>
    <col min="14656" max="14656" width="9.7109375" style="1" customWidth="1"/>
    <col min="14657" max="14658" width="8.85546875" style="1" customWidth="1"/>
    <col min="14659" max="14659" width="9.28515625" style="1" customWidth="1"/>
    <col min="14660" max="14680" width="8.85546875" style="1" customWidth="1"/>
    <col min="14681" max="14681" width="9.85546875" style="1" customWidth="1"/>
    <col min="14682" max="14682" width="8.85546875" style="1" customWidth="1"/>
    <col min="14683" max="14683" width="10" style="1" customWidth="1"/>
    <col min="14684" max="14700" width="8.85546875" style="1" customWidth="1"/>
    <col min="14701" max="14701" width="9.42578125" style="1" customWidth="1"/>
    <col min="14702" max="14702" width="8.85546875" style="1" customWidth="1"/>
    <col min="14703" max="14703" width="12" style="1" customWidth="1"/>
    <col min="14704" max="14704" width="11.140625" style="1" customWidth="1"/>
    <col min="14705" max="14705" width="28.7109375" style="1" customWidth="1"/>
    <col min="14706" max="14706" width="5.85546875" style="1" customWidth="1"/>
    <col min="14707" max="14856" width="9.140625" style="1"/>
    <col min="14857" max="14857" width="3.42578125" style="1" customWidth="1"/>
    <col min="14858" max="14858" width="27.85546875" style="1" customWidth="1"/>
    <col min="14859" max="14859" width="11.85546875" style="1" customWidth="1"/>
    <col min="14860" max="14860" width="15.140625" style="1" customWidth="1"/>
    <col min="14861" max="14861" width="10.28515625" style="1" customWidth="1"/>
    <col min="14862" max="14863" width="9.7109375" style="1" customWidth="1"/>
    <col min="14864" max="14864" width="10.42578125" style="1" customWidth="1"/>
    <col min="14865" max="14865" width="10.42578125" style="1" bestFit="1" customWidth="1"/>
    <col min="14866" max="14866" width="16.28515625" style="1" customWidth="1"/>
    <col min="14867" max="14867" width="15.140625" style="1" customWidth="1"/>
    <col min="14868" max="14868" width="13.5703125" style="1" customWidth="1"/>
    <col min="14869" max="14869" width="10.5703125" style="1" customWidth="1"/>
    <col min="14870" max="14870" width="10.85546875" style="1" customWidth="1"/>
    <col min="14871" max="14871" width="18" style="1" customWidth="1"/>
    <col min="14872" max="14872" width="20.85546875" style="1" customWidth="1"/>
    <col min="14873" max="14873" width="13.5703125" style="1" customWidth="1"/>
    <col min="14874" max="14874" width="14.140625" style="1" customWidth="1"/>
    <col min="14875" max="14877" width="8.85546875" style="1" customWidth="1"/>
    <col min="14878" max="14878" width="9.28515625" style="1" customWidth="1"/>
    <col min="14879" max="14879" width="14" style="1" customWidth="1"/>
    <col min="14880" max="14881" width="8.85546875" style="1" customWidth="1"/>
    <col min="14882" max="14882" width="10.140625" style="1" customWidth="1"/>
    <col min="14883" max="14884" width="9.5703125" style="1" customWidth="1"/>
    <col min="14885" max="14885" width="9.85546875" style="1" customWidth="1"/>
    <col min="14886" max="14887" width="10.140625" style="1" customWidth="1"/>
    <col min="14888" max="14890" width="9.28515625" style="1" customWidth="1"/>
    <col min="14891" max="14891" width="9.85546875" style="1" customWidth="1"/>
    <col min="14892" max="14893" width="8.5703125" style="1" customWidth="1"/>
    <col min="14894" max="14896" width="8.85546875" style="1" customWidth="1"/>
    <col min="14897" max="14897" width="9.28515625" style="1" customWidth="1"/>
    <col min="14898" max="14899" width="8.85546875" style="1" customWidth="1"/>
    <col min="14900" max="14900" width="10" style="1" customWidth="1"/>
    <col min="14901" max="14902" width="8.85546875" style="1" customWidth="1"/>
    <col min="14903" max="14903" width="11" style="1" customWidth="1"/>
    <col min="14904" max="14905" width="9.5703125" style="1" customWidth="1"/>
    <col min="14906" max="14908" width="8.85546875" style="1" customWidth="1"/>
    <col min="14909" max="14909" width="10.42578125" style="1" customWidth="1"/>
    <col min="14910" max="14911" width="8.85546875" style="1" customWidth="1"/>
    <col min="14912" max="14912" width="9.7109375" style="1" customWidth="1"/>
    <col min="14913" max="14914" width="8.85546875" style="1" customWidth="1"/>
    <col min="14915" max="14915" width="9.28515625" style="1" customWidth="1"/>
    <col min="14916" max="14936" width="8.85546875" style="1" customWidth="1"/>
    <col min="14937" max="14937" width="9.85546875" style="1" customWidth="1"/>
    <col min="14938" max="14938" width="8.85546875" style="1" customWidth="1"/>
    <col min="14939" max="14939" width="10" style="1" customWidth="1"/>
    <col min="14940" max="14956" width="8.85546875" style="1" customWidth="1"/>
    <col min="14957" max="14957" width="9.42578125" style="1" customWidth="1"/>
    <col min="14958" max="14958" width="8.85546875" style="1" customWidth="1"/>
    <col min="14959" max="14959" width="12" style="1" customWidth="1"/>
    <col min="14960" max="14960" width="11.140625" style="1" customWidth="1"/>
    <col min="14961" max="14961" width="28.7109375" style="1" customWidth="1"/>
    <col min="14962" max="14962" width="5.85546875" style="1" customWidth="1"/>
    <col min="14963" max="15112" width="9.140625" style="1"/>
    <col min="15113" max="15113" width="3.42578125" style="1" customWidth="1"/>
    <col min="15114" max="15114" width="27.85546875" style="1" customWidth="1"/>
    <col min="15115" max="15115" width="11.85546875" style="1" customWidth="1"/>
    <col min="15116" max="15116" width="15.140625" style="1" customWidth="1"/>
    <col min="15117" max="15117" width="10.28515625" style="1" customWidth="1"/>
    <col min="15118" max="15119" width="9.7109375" style="1" customWidth="1"/>
    <col min="15120" max="15120" width="10.42578125" style="1" customWidth="1"/>
    <col min="15121" max="15121" width="10.42578125" style="1" bestFit="1" customWidth="1"/>
    <col min="15122" max="15122" width="16.28515625" style="1" customWidth="1"/>
    <col min="15123" max="15123" width="15.140625" style="1" customWidth="1"/>
    <col min="15124" max="15124" width="13.5703125" style="1" customWidth="1"/>
    <col min="15125" max="15125" width="10.5703125" style="1" customWidth="1"/>
    <col min="15126" max="15126" width="10.85546875" style="1" customWidth="1"/>
    <col min="15127" max="15127" width="18" style="1" customWidth="1"/>
    <col min="15128" max="15128" width="20.85546875" style="1" customWidth="1"/>
    <col min="15129" max="15129" width="13.5703125" style="1" customWidth="1"/>
    <col min="15130" max="15130" width="14.140625" style="1" customWidth="1"/>
    <col min="15131" max="15133" width="8.85546875" style="1" customWidth="1"/>
    <col min="15134" max="15134" width="9.28515625" style="1" customWidth="1"/>
    <col min="15135" max="15135" width="14" style="1" customWidth="1"/>
    <col min="15136" max="15137" width="8.85546875" style="1" customWidth="1"/>
    <col min="15138" max="15138" width="10.140625" style="1" customWidth="1"/>
    <col min="15139" max="15140" width="9.5703125" style="1" customWidth="1"/>
    <col min="15141" max="15141" width="9.85546875" style="1" customWidth="1"/>
    <col min="15142" max="15143" width="10.140625" style="1" customWidth="1"/>
    <col min="15144" max="15146" width="9.28515625" style="1" customWidth="1"/>
    <col min="15147" max="15147" width="9.85546875" style="1" customWidth="1"/>
    <col min="15148" max="15149" width="8.5703125" style="1" customWidth="1"/>
    <col min="15150" max="15152" width="8.85546875" style="1" customWidth="1"/>
    <col min="15153" max="15153" width="9.28515625" style="1" customWidth="1"/>
    <col min="15154" max="15155" width="8.85546875" style="1" customWidth="1"/>
    <col min="15156" max="15156" width="10" style="1" customWidth="1"/>
    <col min="15157" max="15158" width="8.85546875" style="1" customWidth="1"/>
    <col min="15159" max="15159" width="11" style="1" customWidth="1"/>
    <col min="15160" max="15161" width="9.5703125" style="1" customWidth="1"/>
    <col min="15162" max="15164" width="8.85546875" style="1" customWidth="1"/>
    <col min="15165" max="15165" width="10.42578125" style="1" customWidth="1"/>
    <col min="15166" max="15167" width="8.85546875" style="1" customWidth="1"/>
    <col min="15168" max="15168" width="9.7109375" style="1" customWidth="1"/>
    <col min="15169" max="15170" width="8.85546875" style="1" customWidth="1"/>
    <col min="15171" max="15171" width="9.28515625" style="1" customWidth="1"/>
    <col min="15172" max="15192" width="8.85546875" style="1" customWidth="1"/>
    <col min="15193" max="15193" width="9.85546875" style="1" customWidth="1"/>
    <col min="15194" max="15194" width="8.85546875" style="1" customWidth="1"/>
    <col min="15195" max="15195" width="10" style="1" customWidth="1"/>
    <col min="15196" max="15212" width="8.85546875" style="1" customWidth="1"/>
    <col min="15213" max="15213" width="9.42578125" style="1" customWidth="1"/>
    <col min="15214" max="15214" width="8.85546875" style="1" customWidth="1"/>
    <col min="15215" max="15215" width="12" style="1" customWidth="1"/>
    <col min="15216" max="15216" width="11.140625" style="1" customWidth="1"/>
    <col min="15217" max="15217" width="28.7109375" style="1" customWidth="1"/>
    <col min="15218" max="15218" width="5.85546875" style="1" customWidth="1"/>
    <col min="15219" max="15368" width="9.140625" style="1"/>
    <col min="15369" max="15369" width="3.42578125" style="1" customWidth="1"/>
    <col min="15370" max="15370" width="27.85546875" style="1" customWidth="1"/>
    <col min="15371" max="15371" width="11.85546875" style="1" customWidth="1"/>
    <col min="15372" max="15372" width="15.140625" style="1" customWidth="1"/>
    <col min="15373" max="15373" width="10.28515625" style="1" customWidth="1"/>
    <col min="15374" max="15375" width="9.7109375" style="1" customWidth="1"/>
    <col min="15376" max="15376" width="10.42578125" style="1" customWidth="1"/>
    <col min="15377" max="15377" width="10.42578125" style="1" bestFit="1" customWidth="1"/>
    <col min="15378" max="15378" width="16.28515625" style="1" customWidth="1"/>
    <col min="15379" max="15379" width="15.140625" style="1" customWidth="1"/>
    <col min="15380" max="15380" width="13.5703125" style="1" customWidth="1"/>
    <col min="15381" max="15381" width="10.5703125" style="1" customWidth="1"/>
    <col min="15382" max="15382" width="10.85546875" style="1" customWidth="1"/>
    <col min="15383" max="15383" width="18" style="1" customWidth="1"/>
    <col min="15384" max="15384" width="20.85546875" style="1" customWidth="1"/>
    <col min="15385" max="15385" width="13.5703125" style="1" customWidth="1"/>
    <col min="15386" max="15386" width="14.140625" style="1" customWidth="1"/>
    <col min="15387" max="15389" width="8.85546875" style="1" customWidth="1"/>
    <col min="15390" max="15390" width="9.28515625" style="1" customWidth="1"/>
    <col min="15391" max="15391" width="14" style="1" customWidth="1"/>
    <col min="15392" max="15393" width="8.85546875" style="1" customWidth="1"/>
    <col min="15394" max="15394" width="10.140625" style="1" customWidth="1"/>
    <col min="15395" max="15396" width="9.5703125" style="1" customWidth="1"/>
    <col min="15397" max="15397" width="9.85546875" style="1" customWidth="1"/>
    <col min="15398" max="15399" width="10.140625" style="1" customWidth="1"/>
    <col min="15400" max="15402" width="9.28515625" style="1" customWidth="1"/>
    <col min="15403" max="15403" width="9.85546875" style="1" customWidth="1"/>
    <col min="15404" max="15405" width="8.5703125" style="1" customWidth="1"/>
    <col min="15406" max="15408" width="8.85546875" style="1" customWidth="1"/>
    <col min="15409" max="15409" width="9.28515625" style="1" customWidth="1"/>
    <col min="15410" max="15411" width="8.85546875" style="1" customWidth="1"/>
    <col min="15412" max="15412" width="10" style="1" customWidth="1"/>
    <col min="15413" max="15414" width="8.85546875" style="1" customWidth="1"/>
    <col min="15415" max="15415" width="11" style="1" customWidth="1"/>
    <col min="15416" max="15417" width="9.5703125" style="1" customWidth="1"/>
    <col min="15418" max="15420" width="8.85546875" style="1" customWidth="1"/>
    <col min="15421" max="15421" width="10.42578125" style="1" customWidth="1"/>
    <col min="15422" max="15423" width="8.85546875" style="1" customWidth="1"/>
    <col min="15424" max="15424" width="9.7109375" style="1" customWidth="1"/>
    <col min="15425" max="15426" width="8.85546875" style="1" customWidth="1"/>
    <col min="15427" max="15427" width="9.28515625" style="1" customWidth="1"/>
    <col min="15428" max="15448" width="8.85546875" style="1" customWidth="1"/>
    <col min="15449" max="15449" width="9.85546875" style="1" customWidth="1"/>
    <col min="15450" max="15450" width="8.85546875" style="1" customWidth="1"/>
    <col min="15451" max="15451" width="10" style="1" customWidth="1"/>
    <col min="15452" max="15468" width="8.85546875" style="1" customWidth="1"/>
    <col min="15469" max="15469" width="9.42578125" style="1" customWidth="1"/>
    <col min="15470" max="15470" width="8.85546875" style="1" customWidth="1"/>
    <col min="15471" max="15471" width="12" style="1" customWidth="1"/>
    <col min="15472" max="15472" width="11.140625" style="1" customWidth="1"/>
    <col min="15473" max="15473" width="28.7109375" style="1" customWidth="1"/>
    <col min="15474" max="15474" width="5.85546875" style="1" customWidth="1"/>
    <col min="15475" max="15624" width="9.140625" style="1"/>
    <col min="15625" max="15625" width="3.42578125" style="1" customWidth="1"/>
    <col min="15626" max="15626" width="27.85546875" style="1" customWidth="1"/>
    <col min="15627" max="15627" width="11.85546875" style="1" customWidth="1"/>
    <col min="15628" max="15628" width="15.140625" style="1" customWidth="1"/>
    <col min="15629" max="15629" width="10.28515625" style="1" customWidth="1"/>
    <col min="15630" max="15631" width="9.7109375" style="1" customWidth="1"/>
    <col min="15632" max="15632" width="10.42578125" style="1" customWidth="1"/>
    <col min="15633" max="15633" width="10.42578125" style="1" bestFit="1" customWidth="1"/>
    <col min="15634" max="15634" width="16.28515625" style="1" customWidth="1"/>
    <col min="15635" max="15635" width="15.140625" style="1" customWidth="1"/>
    <col min="15636" max="15636" width="13.5703125" style="1" customWidth="1"/>
    <col min="15637" max="15637" width="10.5703125" style="1" customWidth="1"/>
    <col min="15638" max="15638" width="10.85546875" style="1" customWidth="1"/>
    <col min="15639" max="15639" width="18" style="1" customWidth="1"/>
    <col min="15640" max="15640" width="20.85546875" style="1" customWidth="1"/>
    <col min="15641" max="15641" width="13.5703125" style="1" customWidth="1"/>
    <col min="15642" max="15642" width="14.140625" style="1" customWidth="1"/>
    <col min="15643" max="15645" width="8.85546875" style="1" customWidth="1"/>
    <col min="15646" max="15646" width="9.28515625" style="1" customWidth="1"/>
    <col min="15647" max="15647" width="14" style="1" customWidth="1"/>
    <col min="15648" max="15649" width="8.85546875" style="1" customWidth="1"/>
    <col min="15650" max="15650" width="10.140625" style="1" customWidth="1"/>
    <col min="15651" max="15652" width="9.5703125" style="1" customWidth="1"/>
    <col min="15653" max="15653" width="9.85546875" style="1" customWidth="1"/>
    <col min="15654" max="15655" width="10.140625" style="1" customWidth="1"/>
    <col min="15656" max="15658" width="9.28515625" style="1" customWidth="1"/>
    <col min="15659" max="15659" width="9.85546875" style="1" customWidth="1"/>
    <col min="15660" max="15661" width="8.5703125" style="1" customWidth="1"/>
    <col min="15662" max="15664" width="8.85546875" style="1" customWidth="1"/>
    <col min="15665" max="15665" width="9.28515625" style="1" customWidth="1"/>
    <col min="15666" max="15667" width="8.85546875" style="1" customWidth="1"/>
    <col min="15668" max="15668" width="10" style="1" customWidth="1"/>
    <col min="15669" max="15670" width="8.85546875" style="1" customWidth="1"/>
    <col min="15671" max="15671" width="11" style="1" customWidth="1"/>
    <col min="15672" max="15673" width="9.5703125" style="1" customWidth="1"/>
    <col min="15674" max="15676" width="8.85546875" style="1" customWidth="1"/>
    <col min="15677" max="15677" width="10.42578125" style="1" customWidth="1"/>
    <col min="15678" max="15679" width="8.85546875" style="1" customWidth="1"/>
    <col min="15680" max="15680" width="9.7109375" style="1" customWidth="1"/>
    <col min="15681" max="15682" width="8.85546875" style="1" customWidth="1"/>
    <col min="15683" max="15683" width="9.28515625" style="1" customWidth="1"/>
    <col min="15684" max="15704" width="8.85546875" style="1" customWidth="1"/>
    <col min="15705" max="15705" width="9.85546875" style="1" customWidth="1"/>
    <col min="15706" max="15706" width="8.85546875" style="1" customWidth="1"/>
    <col min="15707" max="15707" width="10" style="1" customWidth="1"/>
    <col min="15708" max="15724" width="8.85546875" style="1" customWidth="1"/>
    <col min="15725" max="15725" width="9.42578125" style="1" customWidth="1"/>
    <col min="15726" max="15726" width="8.85546875" style="1" customWidth="1"/>
    <col min="15727" max="15727" width="12" style="1" customWidth="1"/>
    <col min="15728" max="15728" width="11.140625" style="1" customWidth="1"/>
    <col min="15729" max="15729" width="28.7109375" style="1" customWidth="1"/>
    <col min="15730" max="15730" width="5.85546875" style="1" customWidth="1"/>
    <col min="15731" max="15880" width="9.140625" style="1"/>
    <col min="15881" max="15881" width="3.42578125" style="1" customWidth="1"/>
    <col min="15882" max="15882" width="27.85546875" style="1" customWidth="1"/>
    <col min="15883" max="15883" width="11.85546875" style="1" customWidth="1"/>
    <col min="15884" max="15884" width="15.140625" style="1" customWidth="1"/>
    <col min="15885" max="15885" width="10.28515625" style="1" customWidth="1"/>
    <col min="15886" max="15887" width="9.7109375" style="1" customWidth="1"/>
    <col min="15888" max="15888" width="10.42578125" style="1" customWidth="1"/>
    <col min="15889" max="15889" width="10.42578125" style="1" bestFit="1" customWidth="1"/>
    <col min="15890" max="15890" width="16.28515625" style="1" customWidth="1"/>
    <col min="15891" max="15891" width="15.140625" style="1" customWidth="1"/>
    <col min="15892" max="15892" width="13.5703125" style="1" customWidth="1"/>
    <col min="15893" max="15893" width="10.5703125" style="1" customWidth="1"/>
    <col min="15894" max="15894" width="10.85546875" style="1" customWidth="1"/>
    <col min="15895" max="15895" width="18" style="1" customWidth="1"/>
    <col min="15896" max="15896" width="20.85546875" style="1" customWidth="1"/>
    <col min="15897" max="15897" width="13.5703125" style="1" customWidth="1"/>
    <col min="15898" max="15898" width="14.140625" style="1" customWidth="1"/>
    <col min="15899" max="15901" width="8.85546875" style="1" customWidth="1"/>
    <col min="15902" max="15902" width="9.28515625" style="1" customWidth="1"/>
    <col min="15903" max="15903" width="14" style="1" customWidth="1"/>
    <col min="15904" max="15905" width="8.85546875" style="1" customWidth="1"/>
    <col min="15906" max="15906" width="10.140625" style="1" customWidth="1"/>
    <col min="15907" max="15908" width="9.5703125" style="1" customWidth="1"/>
    <col min="15909" max="15909" width="9.85546875" style="1" customWidth="1"/>
    <col min="15910" max="15911" width="10.140625" style="1" customWidth="1"/>
    <col min="15912" max="15914" width="9.28515625" style="1" customWidth="1"/>
    <col min="15915" max="15915" width="9.85546875" style="1" customWidth="1"/>
    <col min="15916" max="15917" width="8.5703125" style="1" customWidth="1"/>
    <col min="15918" max="15920" width="8.85546875" style="1" customWidth="1"/>
    <col min="15921" max="15921" width="9.28515625" style="1" customWidth="1"/>
    <col min="15922" max="15923" width="8.85546875" style="1" customWidth="1"/>
    <col min="15924" max="15924" width="10" style="1" customWidth="1"/>
    <col min="15925" max="15926" width="8.85546875" style="1" customWidth="1"/>
    <col min="15927" max="15927" width="11" style="1" customWidth="1"/>
    <col min="15928" max="15929" width="9.5703125" style="1" customWidth="1"/>
    <col min="15930" max="15932" width="8.85546875" style="1" customWidth="1"/>
    <col min="15933" max="15933" width="10.42578125" style="1" customWidth="1"/>
    <col min="15934" max="15935" width="8.85546875" style="1" customWidth="1"/>
    <col min="15936" max="15936" width="9.7109375" style="1" customWidth="1"/>
    <col min="15937" max="15938" width="8.85546875" style="1" customWidth="1"/>
    <col min="15939" max="15939" width="9.28515625" style="1" customWidth="1"/>
    <col min="15940" max="15960" width="8.85546875" style="1" customWidth="1"/>
    <col min="15961" max="15961" width="9.85546875" style="1" customWidth="1"/>
    <col min="15962" max="15962" width="8.85546875" style="1" customWidth="1"/>
    <col min="15963" max="15963" width="10" style="1" customWidth="1"/>
    <col min="15964" max="15980" width="8.85546875" style="1" customWidth="1"/>
    <col min="15981" max="15981" width="9.42578125" style="1" customWidth="1"/>
    <col min="15982" max="15982" width="8.85546875" style="1" customWidth="1"/>
    <col min="15983" max="15983" width="12" style="1" customWidth="1"/>
    <col min="15984" max="15984" width="11.140625" style="1" customWidth="1"/>
    <col min="15985" max="15985" width="28.7109375" style="1" customWidth="1"/>
    <col min="15986" max="15986" width="5.85546875" style="1" customWidth="1"/>
    <col min="15987" max="16136" width="9.140625" style="1"/>
    <col min="16137" max="16137" width="3.42578125" style="1" customWidth="1"/>
    <col min="16138" max="16138" width="27.85546875" style="1" customWidth="1"/>
    <col min="16139" max="16139" width="11.85546875" style="1" customWidth="1"/>
    <col min="16140" max="16140" width="15.140625" style="1" customWidth="1"/>
    <col min="16141" max="16141" width="10.28515625" style="1" customWidth="1"/>
    <col min="16142" max="16143" width="9.7109375" style="1" customWidth="1"/>
    <col min="16144" max="16144" width="10.42578125" style="1" customWidth="1"/>
    <col min="16145" max="16145" width="10.42578125" style="1" bestFit="1" customWidth="1"/>
    <col min="16146" max="16146" width="16.28515625" style="1" customWidth="1"/>
    <col min="16147" max="16147" width="15.140625" style="1" customWidth="1"/>
    <col min="16148" max="16148" width="13.5703125" style="1" customWidth="1"/>
    <col min="16149" max="16149" width="10.5703125" style="1" customWidth="1"/>
    <col min="16150" max="16150" width="10.85546875" style="1" customWidth="1"/>
    <col min="16151" max="16151" width="18" style="1" customWidth="1"/>
    <col min="16152" max="16152" width="20.85546875" style="1" customWidth="1"/>
    <col min="16153" max="16153" width="13.5703125" style="1" customWidth="1"/>
    <col min="16154" max="16154" width="14.140625" style="1" customWidth="1"/>
    <col min="16155" max="16157" width="8.85546875" style="1" customWidth="1"/>
    <col min="16158" max="16158" width="9.28515625" style="1" customWidth="1"/>
    <col min="16159" max="16159" width="14" style="1" customWidth="1"/>
    <col min="16160" max="16161" width="8.85546875" style="1" customWidth="1"/>
    <col min="16162" max="16162" width="10.140625" style="1" customWidth="1"/>
    <col min="16163" max="16164" width="9.5703125" style="1" customWidth="1"/>
    <col min="16165" max="16165" width="9.85546875" style="1" customWidth="1"/>
    <col min="16166" max="16167" width="10.140625" style="1" customWidth="1"/>
    <col min="16168" max="16170" width="9.28515625" style="1" customWidth="1"/>
    <col min="16171" max="16171" width="9.85546875" style="1" customWidth="1"/>
    <col min="16172" max="16173" width="8.5703125" style="1" customWidth="1"/>
    <col min="16174" max="16176" width="8.85546875" style="1" customWidth="1"/>
    <col min="16177" max="16177" width="9.28515625" style="1" customWidth="1"/>
    <col min="16178" max="16179" width="8.85546875" style="1" customWidth="1"/>
    <col min="16180" max="16180" width="10" style="1" customWidth="1"/>
    <col min="16181" max="16182" width="8.85546875" style="1" customWidth="1"/>
    <col min="16183" max="16183" width="11" style="1" customWidth="1"/>
    <col min="16184" max="16185" width="9.5703125" style="1" customWidth="1"/>
    <col min="16186" max="16188" width="8.85546875" style="1" customWidth="1"/>
    <col min="16189" max="16189" width="10.42578125" style="1" customWidth="1"/>
    <col min="16190" max="16191" width="8.85546875" style="1" customWidth="1"/>
    <col min="16192" max="16192" width="9.7109375" style="1" customWidth="1"/>
    <col min="16193" max="16194" width="8.85546875" style="1" customWidth="1"/>
    <col min="16195" max="16195" width="9.28515625" style="1" customWidth="1"/>
    <col min="16196" max="16216" width="8.85546875" style="1" customWidth="1"/>
    <col min="16217" max="16217" width="9.85546875" style="1" customWidth="1"/>
    <col min="16218" max="16218" width="8.85546875" style="1" customWidth="1"/>
    <col min="16219" max="16219" width="10" style="1" customWidth="1"/>
    <col min="16220" max="16236" width="8.85546875" style="1" customWidth="1"/>
    <col min="16237" max="16237" width="9.42578125" style="1" customWidth="1"/>
    <col min="16238" max="16238" width="8.85546875" style="1" customWidth="1"/>
    <col min="16239" max="16239" width="12" style="1" customWidth="1"/>
    <col min="16240" max="16240" width="11.140625" style="1" customWidth="1"/>
    <col min="16241" max="16241" width="28.7109375" style="1" customWidth="1"/>
    <col min="16242" max="16242" width="5.85546875" style="1" customWidth="1"/>
    <col min="16243" max="16384" width="9.140625" style="1"/>
  </cols>
  <sheetData>
    <row r="1" spans="1:114">
      <c r="W1" s="869"/>
      <c r="X1" s="869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846"/>
      <c r="AL1" s="847"/>
      <c r="AM1" s="847"/>
      <c r="AN1" s="847"/>
      <c r="AO1" s="847"/>
      <c r="AP1" s="847"/>
      <c r="AQ1" s="847"/>
      <c r="AR1" s="847"/>
      <c r="AS1" s="847"/>
      <c r="AT1" s="847"/>
      <c r="AU1" s="847"/>
      <c r="AV1" s="847"/>
      <c r="AW1" s="847"/>
      <c r="AX1" s="847"/>
      <c r="AY1" s="847"/>
      <c r="AZ1" s="847"/>
      <c r="BA1" s="847"/>
      <c r="BB1" s="847"/>
      <c r="BC1" s="847"/>
      <c r="BD1" s="847"/>
      <c r="BE1" s="847"/>
      <c r="BF1" s="847"/>
      <c r="BG1" s="847"/>
      <c r="BH1" s="847"/>
      <c r="BI1" s="847"/>
      <c r="BJ1" s="847"/>
      <c r="BK1" s="847"/>
      <c r="BL1" s="847"/>
      <c r="BM1" s="847"/>
      <c r="BN1" s="847"/>
      <c r="BO1" s="847"/>
      <c r="BP1" s="847"/>
      <c r="BQ1" s="847"/>
      <c r="BR1" s="847"/>
      <c r="BS1" s="847"/>
      <c r="BT1" s="847"/>
      <c r="BU1" s="847"/>
      <c r="BV1" s="847"/>
      <c r="BW1" s="847"/>
      <c r="BX1" s="847"/>
      <c r="BY1" s="847"/>
      <c r="BZ1" s="847"/>
      <c r="CA1" s="847"/>
      <c r="CB1" s="847"/>
      <c r="CC1" s="847"/>
      <c r="CD1" s="847"/>
      <c r="CE1" s="847"/>
      <c r="CF1" s="847"/>
      <c r="CG1" s="847"/>
      <c r="CH1" s="847"/>
      <c r="CI1" s="847"/>
      <c r="CJ1" s="847"/>
      <c r="CK1" s="847"/>
      <c r="CL1" s="847"/>
      <c r="CM1" s="847"/>
      <c r="CN1" s="847"/>
      <c r="CO1" s="847"/>
      <c r="CP1" s="847"/>
      <c r="CQ1" s="847"/>
      <c r="CR1" s="847"/>
      <c r="CS1" s="847"/>
      <c r="CT1" s="847"/>
      <c r="CU1" s="847"/>
      <c r="CV1" s="847"/>
      <c r="CW1" s="847"/>
      <c r="CX1" s="847"/>
      <c r="CY1" s="847"/>
      <c r="CZ1" s="847"/>
      <c r="DA1" s="847"/>
      <c r="DB1" s="847"/>
      <c r="DC1" s="847"/>
      <c r="DD1" s="847"/>
      <c r="DE1" s="847"/>
      <c r="DF1" s="847"/>
      <c r="DG1" s="847"/>
      <c r="DH1" s="847"/>
      <c r="DI1" s="847"/>
      <c r="DJ1" s="847"/>
    </row>
    <row r="2" spans="1:114" ht="18.75"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AK2" s="847"/>
      <c r="AL2" s="847"/>
      <c r="AM2" s="847"/>
      <c r="AN2" s="847"/>
      <c r="AO2" s="847"/>
      <c r="AP2" s="847"/>
      <c r="AQ2" s="847"/>
      <c r="AR2" s="847"/>
      <c r="AS2" s="847"/>
      <c r="AT2" s="847"/>
      <c r="AU2" s="847"/>
      <c r="AV2" s="847"/>
      <c r="AW2" s="847"/>
      <c r="AX2" s="847"/>
      <c r="AY2" s="847"/>
      <c r="AZ2" s="847"/>
      <c r="BA2" s="847"/>
      <c r="BB2" s="847"/>
      <c r="BC2" s="847"/>
      <c r="BD2" s="847"/>
      <c r="BE2" s="847"/>
      <c r="BF2" s="847"/>
      <c r="BG2" s="847"/>
      <c r="BH2" s="847"/>
      <c r="BI2" s="847"/>
      <c r="BJ2" s="847"/>
      <c r="BK2" s="847"/>
      <c r="BL2" s="847"/>
      <c r="BM2" s="847"/>
      <c r="BN2" s="847"/>
      <c r="BO2" s="847"/>
      <c r="BP2" s="847"/>
      <c r="BQ2" s="847"/>
      <c r="BR2" s="847"/>
      <c r="BS2" s="847"/>
      <c r="BT2" s="847"/>
      <c r="BU2" s="847"/>
      <c r="BV2" s="847"/>
      <c r="BW2" s="847"/>
      <c r="BX2" s="847"/>
      <c r="BY2" s="847"/>
      <c r="BZ2" s="847"/>
      <c r="CA2" s="847"/>
      <c r="CB2" s="847"/>
      <c r="CC2" s="847"/>
      <c r="CD2" s="847"/>
      <c r="CE2" s="847"/>
      <c r="CF2" s="847"/>
      <c r="CG2" s="847"/>
      <c r="CH2" s="847"/>
      <c r="CI2" s="847"/>
      <c r="CJ2" s="847"/>
      <c r="CK2" s="847"/>
      <c r="CL2" s="847"/>
      <c r="CM2" s="847"/>
      <c r="CN2" s="847"/>
      <c r="CO2" s="847"/>
      <c r="CP2" s="847"/>
      <c r="CQ2" s="847"/>
      <c r="CR2" s="847"/>
      <c r="CS2" s="847"/>
      <c r="CT2" s="847"/>
      <c r="CU2" s="847"/>
      <c r="CV2" s="847"/>
      <c r="CW2" s="847"/>
      <c r="CX2" s="847"/>
      <c r="CY2" s="847"/>
      <c r="CZ2" s="847"/>
      <c r="DA2" s="847"/>
      <c r="DB2" s="847"/>
      <c r="DC2" s="847"/>
      <c r="DD2" s="847"/>
      <c r="DE2" s="847"/>
      <c r="DF2" s="847"/>
      <c r="DG2" s="847"/>
      <c r="DH2" s="847"/>
      <c r="DI2" s="847"/>
      <c r="DJ2" s="847"/>
    </row>
    <row r="3" spans="1:114" ht="19.5" thickBot="1">
      <c r="A3" s="850"/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C3" s="680"/>
      <c r="AD3" s="680"/>
      <c r="AE3" s="680"/>
      <c r="AF3" s="13"/>
      <c r="AG3" s="13"/>
      <c r="AH3" s="13"/>
      <c r="AI3" s="13"/>
      <c r="AJ3" s="13"/>
      <c r="AK3" s="847"/>
      <c r="AL3" s="847"/>
      <c r="AM3" s="847"/>
      <c r="AN3" s="847"/>
      <c r="AO3" s="847"/>
      <c r="AP3" s="847"/>
      <c r="AQ3" s="847"/>
      <c r="AR3" s="847"/>
      <c r="AS3" s="847"/>
      <c r="AT3" s="847"/>
      <c r="AU3" s="847"/>
      <c r="AV3" s="847"/>
      <c r="AW3" s="847"/>
      <c r="AX3" s="847"/>
      <c r="AY3" s="847"/>
      <c r="AZ3" s="847"/>
      <c r="BA3" s="847"/>
      <c r="BB3" s="847"/>
      <c r="BC3" s="847"/>
      <c r="BD3" s="847"/>
      <c r="BE3" s="847"/>
      <c r="BF3" s="847"/>
      <c r="BG3" s="847"/>
      <c r="BH3" s="847"/>
      <c r="BI3" s="847"/>
      <c r="BJ3" s="847"/>
      <c r="BK3" s="847"/>
      <c r="BL3" s="847"/>
      <c r="BM3" s="847"/>
      <c r="BN3" s="847"/>
      <c r="BO3" s="847"/>
      <c r="BP3" s="847"/>
      <c r="BQ3" s="847"/>
      <c r="BR3" s="847"/>
      <c r="BS3" s="847"/>
      <c r="BT3" s="847"/>
      <c r="BU3" s="847"/>
      <c r="BV3" s="847"/>
      <c r="BW3" s="847"/>
      <c r="BX3" s="847"/>
      <c r="BY3" s="847"/>
      <c r="BZ3" s="847"/>
      <c r="CA3" s="847"/>
      <c r="CB3" s="847"/>
      <c r="CC3" s="847"/>
      <c r="CD3" s="847"/>
      <c r="CE3" s="847"/>
      <c r="CF3" s="847"/>
      <c r="CG3" s="847"/>
      <c r="CH3" s="847"/>
      <c r="CI3" s="847"/>
      <c r="CJ3" s="847"/>
      <c r="CK3" s="847"/>
      <c r="CL3" s="847"/>
      <c r="CM3" s="847"/>
      <c r="CN3" s="847"/>
      <c r="CO3" s="847"/>
      <c r="CP3" s="847"/>
      <c r="CQ3" s="847"/>
      <c r="CR3" s="847"/>
      <c r="CS3" s="847"/>
      <c r="CT3" s="847"/>
      <c r="CU3" s="847"/>
      <c r="CV3" s="847"/>
      <c r="CW3" s="847"/>
      <c r="CX3" s="847"/>
      <c r="CY3" s="847"/>
      <c r="CZ3" s="847"/>
      <c r="DA3" s="847"/>
      <c r="DB3" s="847"/>
      <c r="DC3" s="847"/>
      <c r="DD3" s="847"/>
      <c r="DE3" s="847"/>
      <c r="DF3" s="847"/>
      <c r="DG3" s="847"/>
      <c r="DH3" s="847"/>
      <c r="DI3" s="847"/>
      <c r="DJ3" s="847"/>
    </row>
    <row r="4" spans="1:114" ht="28.5" customHeight="1">
      <c r="A4" s="851" t="s">
        <v>23</v>
      </c>
      <c r="B4" s="861" t="s">
        <v>0</v>
      </c>
      <c r="C4" s="861" t="s">
        <v>29</v>
      </c>
      <c r="D4" s="861" t="s">
        <v>30</v>
      </c>
      <c r="E4" s="854" t="s">
        <v>24</v>
      </c>
      <c r="F4" s="854"/>
      <c r="G4" s="854"/>
      <c r="H4" s="854"/>
      <c r="I4" s="854"/>
      <c r="J4" s="854"/>
      <c r="K4" s="854"/>
      <c r="L4" s="854" t="s">
        <v>25</v>
      </c>
      <c r="M4" s="854"/>
      <c r="N4" s="854"/>
      <c r="O4" s="854"/>
      <c r="P4" s="854"/>
      <c r="Q4" s="854"/>
      <c r="R4" s="854"/>
      <c r="S4" s="854"/>
      <c r="T4" s="854"/>
      <c r="U4" s="854"/>
      <c r="V4" s="854"/>
      <c r="W4" s="854" t="s">
        <v>26</v>
      </c>
      <c r="X4" s="855"/>
      <c r="Y4" s="854" t="s">
        <v>27</v>
      </c>
      <c r="Z4" s="855"/>
      <c r="AA4" s="870"/>
      <c r="AB4" s="871"/>
      <c r="AC4" s="873" t="s">
        <v>28</v>
      </c>
      <c r="AD4" s="874"/>
      <c r="AE4" s="875"/>
      <c r="AF4" s="871"/>
      <c r="AG4" s="871"/>
      <c r="AH4" s="876"/>
      <c r="AI4" s="256"/>
      <c r="AJ4" s="866" t="s">
        <v>74</v>
      </c>
      <c r="AK4" s="847"/>
      <c r="AL4" s="847"/>
      <c r="AM4" s="847"/>
      <c r="AN4" s="847"/>
      <c r="AO4" s="847"/>
      <c r="AP4" s="847"/>
      <c r="AQ4" s="847"/>
      <c r="AR4" s="847"/>
      <c r="AS4" s="847"/>
      <c r="AT4" s="847"/>
      <c r="AU4" s="847"/>
      <c r="AV4" s="847"/>
      <c r="AW4" s="847"/>
      <c r="AX4" s="847"/>
      <c r="AY4" s="847"/>
      <c r="AZ4" s="847"/>
      <c r="BA4" s="847"/>
      <c r="BB4" s="847"/>
      <c r="BC4" s="847"/>
      <c r="BD4" s="847"/>
      <c r="BE4" s="847"/>
      <c r="BF4" s="847"/>
      <c r="BG4" s="847"/>
      <c r="BH4" s="847"/>
      <c r="BI4" s="847"/>
      <c r="BJ4" s="847"/>
      <c r="BK4" s="847"/>
      <c r="BL4" s="847"/>
      <c r="BM4" s="847"/>
      <c r="BN4" s="847"/>
      <c r="BO4" s="847"/>
      <c r="BP4" s="847"/>
      <c r="BQ4" s="847"/>
      <c r="BR4" s="847"/>
      <c r="BS4" s="847"/>
      <c r="BT4" s="847"/>
      <c r="BU4" s="847"/>
      <c r="BV4" s="847"/>
      <c r="BW4" s="847"/>
      <c r="BX4" s="847"/>
      <c r="BY4" s="847"/>
      <c r="BZ4" s="847"/>
      <c r="CA4" s="847"/>
      <c r="CB4" s="847"/>
      <c r="CC4" s="847"/>
      <c r="CD4" s="847"/>
      <c r="CE4" s="847"/>
      <c r="CF4" s="847"/>
      <c r="CG4" s="847"/>
      <c r="CH4" s="847"/>
      <c r="CI4" s="847"/>
      <c r="CJ4" s="847"/>
      <c r="CK4" s="847"/>
      <c r="CL4" s="847"/>
      <c r="CM4" s="847"/>
      <c r="CN4" s="847"/>
      <c r="CO4" s="847"/>
      <c r="CP4" s="847"/>
      <c r="CQ4" s="847"/>
      <c r="CR4" s="847"/>
      <c r="CS4" s="847"/>
      <c r="CT4" s="847"/>
      <c r="CU4" s="847"/>
      <c r="CV4" s="847"/>
      <c r="CW4" s="847"/>
      <c r="CX4" s="847"/>
      <c r="CY4" s="847"/>
      <c r="CZ4" s="847"/>
      <c r="DA4" s="847"/>
      <c r="DB4" s="847"/>
      <c r="DC4" s="847"/>
      <c r="DD4" s="847"/>
      <c r="DE4" s="847"/>
      <c r="DF4" s="847"/>
      <c r="DG4" s="847"/>
      <c r="DH4" s="847"/>
      <c r="DI4" s="847"/>
      <c r="DJ4" s="847"/>
    </row>
    <row r="5" spans="1:114" ht="15.75" customHeight="1">
      <c r="A5" s="852"/>
      <c r="B5" s="862"/>
      <c r="C5" s="841"/>
      <c r="D5" s="841"/>
      <c r="E5" s="864"/>
      <c r="F5" s="864"/>
      <c r="G5" s="864"/>
      <c r="H5" s="864"/>
      <c r="I5" s="864"/>
      <c r="J5" s="864"/>
      <c r="K5" s="864"/>
      <c r="L5" s="841" t="s">
        <v>1</v>
      </c>
      <c r="M5" s="841"/>
      <c r="N5" s="841"/>
      <c r="O5" s="841" t="s">
        <v>2</v>
      </c>
      <c r="P5" s="841" t="s">
        <v>33</v>
      </c>
      <c r="Q5" s="841" t="s">
        <v>34</v>
      </c>
      <c r="R5" s="841" t="s">
        <v>35</v>
      </c>
      <c r="S5" s="841" t="s">
        <v>36</v>
      </c>
      <c r="T5" s="841" t="s">
        <v>37</v>
      </c>
      <c r="U5" s="841" t="s">
        <v>38</v>
      </c>
      <c r="V5" s="841" t="s">
        <v>39</v>
      </c>
      <c r="W5" s="856"/>
      <c r="X5" s="856"/>
      <c r="Y5" s="856"/>
      <c r="Z5" s="856"/>
      <c r="AA5" s="872"/>
      <c r="AB5" s="843"/>
      <c r="AC5" s="877"/>
      <c r="AD5" s="877"/>
      <c r="AE5" s="878"/>
      <c r="AF5" s="843"/>
      <c r="AG5" s="843"/>
      <c r="AH5" s="879"/>
      <c r="AI5" s="257"/>
      <c r="AJ5" s="867"/>
      <c r="AK5" s="847"/>
      <c r="AL5" s="847"/>
      <c r="AM5" s="847"/>
      <c r="AN5" s="847"/>
      <c r="AO5" s="847"/>
      <c r="AP5" s="847"/>
      <c r="AQ5" s="847"/>
      <c r="AR5" s="847"/>
      <c r="AS5" s="847"/>
      <c r="AT5" s="847"/>
      <c r="AU5" s="847"/>
      <c r="AV5" s="847"/>
      <c r="AW5" s="847"/>
      <c r="AX5" s="847"/>
      <c r="AY5" s="847"/>
      <c r="AZ5" s="847"/>
      <c r="BA5" s="847"/>
      <c r="BB5" s="847"/>
      <c r="BC5" s="847"/>
      <c r="BD5" s="847"/>
      <c r="BE5" s="847"/>
      <c r="BF5" s="847"/>
      <c r="BG5" s="847"/>
      <c r="BH5" s="847"/>
      <c r="BI5" s="847"/>
      <c r="BJ5" s="847"/>
      <c r="BK5" s="847"/>
      <c r="BL5" s="847"/>
      <c r="BM5" s="847"/>
      <c r="BN5" s="847"/>
      <c r="BO5" s="847"/>
      <c r="BP5" s="847"/>
      <c r="BQ5" s="847"/>
      <c r="BR5" s="847"/>
      <c r="BS5" s="847"/>
      <c r="BT5" s="847"/>
      <c r="BU5" s="847"/>
      <c r="BV5" s="847"/>
      <c r="BW5" s="847"/>
      <c r="BX5" s="847"/>
      <c r="BY5" s="847"/>
      <c r="BZ5" s="847"/>
      <c r="CA5" s="847"/>
      <c r="CB5" s="847"/>
      <c r="CC5" s="847"/>
      <c r="CD5" s="847"/>
      <c r="CE5" s="847"/>
      <c r="CF5" s="847"/>
      <c r="CG5" s="847"/>
      <c r="CH5" s="847"/>
      <c r="CI5" s="847"/>
      <c r="CJ5" s="847"/>
      <c r="CK5" s="847"/>
      <c r="CL5" s="847"/>
      <c r="CM5" s="847"/>
      <c r="CN5" s="847"/>
      <c r="CO5" s="847"/>
      <c r="CP5" s="847"/>
      <c r="CQ5" s="847"/>
      <c r="CR5" s="847"/>
      <c r="CS5" s="847"/>
      <c r="CT5" s="847"/>
      <c r="CU5" s="847"/>
      <c r="CV5" s="847"/>
      <c r="CW5" s="847"/>
      <c r="CX5" s="847"/>
      <c r="CY5" s="847"/>
      <c r="CZ5" s="847"/>
      <c r="DA5" s="847"/>
      <c r="DB5" s="847"/>
      <c r="DC5" s="847"/>
      <c r="DD5" s="847"/>
      <c r="DE5" s="847"/>
      <c r="DF5" s="847"/>
      <c r="DG5" s="847"/>
      <c r="DH5" s="847"/>
      <c r="DI5" s="847"/>
      <c r="DJ5" s="847"/>
    </row>
    <row r="6" spans="1:114" ht="45.75" customHeight="1">
      <c r="A6" s="852"/>
      <c r="B6" s="862"/>
      <c r="C6" s="841"/>
      <c r="D6" s="841"/>
      <c r="E6" s="841" t="s">
        <v>31</v>
      </c>
      <c r="F6" s="530"/>
      <c r="G6" s="841" t="s">
        <v>3</v>
      </c>
      <c r="H6" s="520"/>
      <c r="I6" s="841" t="s">
        <v>32</v>
      </c>
      <c r="J6" s="520"/>
      <c r="K6" s="841" t="s">
        <v>21</v>
      </c>
      <c r="L6" s="844" t="s">
        <v>3</v>
      </c>
      <c r="M6" s="844" t="s">
        <v>4</v>
      </c>
      <c r="N6" s="844" t="s">
        <v>22</v>
      </c>
      <c r="O6" s="841"/>
      <c r="P6" s="841"/>
      <c r="Q6" s="841"/>
      <c r="R6" s="841"/>
      <c r="S6" s="841"/>
      <c r="T6" s="841"/>
      <c r="U6" s="841"/>
      <c r="V6" s="841"/>
      <c r="W6" s="841" t="s">
        <v>40</v>
      </c>
      <c r="X6" s="841" t="s">
        <v>82</v>
      </c>
      <c r="Y6" s="841" t="s">
        <v>42</v>
      </c>
      <c r="Z6" s="841" t="s">
        <v>5</v>
      </c>
      <c r="AA6" s="841" t="s">
        <v>43</v>
      </c>
      <c r="AB6" s="841" t="s">
        <v>44</v>
      </c>
      <c r="AC6" s="841" t="s">
        <v>45</v>
      </c>
      <c r="AD6" s="841" t="s">
        <v>46</v>
      </c>
      <c r="AE6" s="843"/>
      <c r="AF6" s="843"/>
      <c r="AG6" s="841" t="s">
        <v>47</v>
      </c>
      <c r="AH6" s="880" t="s">
        <v>48</v>
      </c>
      <c r="AI6" s="258"/>
      <c r="AJ6" s="867"/>
      <c r="AK6" s="847"/>
      <c r="AL6" s="847"/>
      <c r="AM6" s="847"/>
      <c r="AN6" s="847"/>
      <c r="AO6" s="847"/>
      <c r="AP6" s="847"/>
      <c r="AQ6" s="847"/>
      <c r="AR6" s="847"/>
      <c r="AS6" s="847"/>
      <c r="AT6" s="847"/>
      <c r="AU6" s="847"/>
      <c r="AV6" s="847"/>
      <c r="AW6" s="847"/>
      <c r="AX6" s="847"/>
      <c r="AY6" s="847"/>
      <c r="AZ6" s="847"/>
      <c r="BA6" s="847"/>
      <c r="BB6" s="847"/>
      <c r="BC6" s="847"/>
      <c r="BD6" s="847"/>
      <c r="BE6" s="847"/>
      <c r="BF6" s="847"/>
      <c r="BG6" s="847"/>
      <c r="BH6" s="847"/>
      <c r="BI6" s="847"/>
      <c r="BJ6" s="847"/>
      <c r="BK6" s="847"/>
      <c r="BL6" s="847"/>
      <c r="BM6" s="847"/>
      <c r="BN6" s="847"/>
      <c r="BO6" s="847"/>
      <c r="BP6" s="847"/>
      <c r="BQ6" s="847"/>
      <c r="BR6" s="847"/>
      <c r="BS6" s="847"/>
      <c r="BT6" s="847"/>
      <c r="BU6" s="847"/>
      <c r="BV6" s="847"/>
      <c r="BW6" s="847"/>
      <c r="BX6" s="847"/>
      <c r="BY6" s="847"/>
      <c r="BZ6" s="847"/>
      <c r="CA6" s="847"/>
      <c r="CB6" s="847"/>
      <c r="CC6" s="847"/>
      <c r="CD6" s="847"/>
      <c r="CE6" s="847"/>
      <c r="CF6" s="847"/>
      <c r="CG6" s="847"/>
      <c r="CH6" s="847"/>
      <c r="CI6" s="847"/>
      <c r="CJ6" s="847"/>
      <c r="CK6" s="847"/>
      <c r="CL6" s="847"/>
      <c r="CM6" s="847"/>
      <c r="CN6" s="847"/>
      <c r="CO6" s="847"/>
      <c r="CP6" s="847"/>
      <c r="CQ6" s="847"/>
      <c r="CR6" s="847"/>
      <c r="CS6" s="847"/>
      <c r="CT6" s="847"/>
      <c r="CU6" s="847"/>
      <c r="CV6" s="847"/>
      <c r="CW6" s="847"/>
      <c r="CX6" s="847"/>
      <c r="CY6" s="847"/>
      <c r="CZ6" s="847"/>
      <c r="DA6" s="847"/>
      <c r="DB6" s="847"/>
      <c r="DC6" s="847"/>
      <c r="DD6" s="847"/>
      <c r="DE6" s="847"/>
      <c r="DF6" s="847"/>
      <c r="DG6" s="847"/>
      <c r="DH6" s="847"/>
      <c r="DI6" s="847"/>
      <c r="DJ6" s="847"/>
    </row>
    <row r="7" spans="1:114" ht="111" customHeight="1" thickBot="1">
      <c r="A7" s="853"/>
      <c r="B7" s="863"/>
      <c r="C7" s="842"/>
      <c r="D7" s="842"/>
      <c r="E7" s="842"/>
      <c r="F7" s="531"/>
      <c r="G7" s="842"/>
      <c r="H7" s="521"/>
      <c r="I7" s="865"/>
      <c r="J7" s="540"/>
      <c r="K7" s="842"/>
      <c r="L7" s="845"/>
      <c r="M7" s="845"/>
      <c r="N7" s="845"/>
      <c r="O7" s="842"/>
      <c r="P7" s="842"/>
      <c r="Q7" s="842"/>
      <c r="R7" s="842"/>
      <c r="S7" s="842"/>
      <c r="T7" s="842"/>
      <c r="U7" s="842"/>
      <c r="V7" s="842"/>
      <c r="W7" s="842"/>
      <c r="X7" s="865"/>
      <c r="Y7" s="842"/>
      <c r="Z7" s="842"/>
      <c r="AA7" s="865"/>
      <c r="AB7" s="842"/>
      <c r="AC7" s="842"/>
      <c r="AD7" s="678" t="s">
        <v>49</v>
      </c>
      <c r="AE7" s="678" t="s">
        <v>50</v>
      </c>
      <c r="AF7" s="678" t="s">
        <v>51</v>
      </c>
      <c r="AG7" s="842"/>
      <c r="AH7" s="881"/>
      <c r="AI7" s="259"/>
      <c r="AJ7" s="868"/>
      <c r="AK7" s="847"/>
      <c r="AL7" s="847"/>
      <c r="AM7" s="847"/>
      <c r="AN7" s="847"/>
      <c r="AO7" s="847"/>
      <c r="AP7" s="847"/>
      <c r="AQ7" s="847"/>
      <c r="AR7" s="847"/>
      <c r="AS7" s="847"/>
      <c r="AT7" s="847"/>
      <c r="AU7" s="847"/>
      <c r="AV7" s="847"/>
      <c r="AW7" s="847"/>
      <c r="AX7" s="847"/>
      <c r="AY7" s="847"/>
      <c r="AZ7" s="847"/>
      <c r="BA7" s="847"/>
      <c r="BB7" s="847"/>
      <c r="BC7" s="847"/>
      <c r="BD7" s="847"/>
      <c r="BE7" s="847"/>
      <c r="BF7" s="847"/>
      <c r="BG7" s="847"/>
      <c r="BH7" s="847"/>
      <c r="BI7" s="847"/>
      <c r="BJ7" s="847"/>
      <c r="BK7" s="847"/>
      <c r="BL7" s="847"/>
      <c r="BM7" s="847"/>
      <c r="BN7" s="847"/>
      <c r="BO7" s="847"/>
      <c r="BP7" s="847"/>
      <c r="BQ7" s="847"/>
      <c r="BR7" s="847"/>
      <c r="BS7" s="847"/>
      <c r="BT7" s="847"/>
      <c r="BU7" s="847"/>
      <c r="BV7" s="847"/>
      <c r="BW7" s="847"/>
      <c r="BX7" s="847"/>
      <c r="BY7" s="847"/>
      <c r="BZ7" s="847"/>
      <c r="CA7" s="847"/>
      <c r="CB7" s="847"/>
      <c r="CC7" s="847"/>
      <c r="CD7" s="847"/>
      <c r="CE7" s="847"/>
      <c r="CF7" s="847"/>
      <c r="CG7" s="847"/>
      <c r="CH7" s="847"/>
      <c r="CI7" s="847"/>
      <c r="CJ7" s="847"/>
      <c r="CK7" s="847"/>
      <c r="CL7" s="847"/>
      <c r="CM7" s="847"/>
      <c r="CN7" s="847"/>
      <c r="CO7" s="847"/>
      <c r="CP7" s="847"/>
      <c r="CQ7" s="847"/>
      <c r="CR7" s="847"/>
      <c r="CS7" s="847"/>
      <c r="CT7" s="847"/>
      <c r="CU7" s="847"/>
      <c r="CV7" s="847"/>
      <c r="CW7" s="847"/>
      <c r="CX7" s="847"/>
      <c r="CY7" s="847"/>
      <c r="CZ7" s="847"/>
      <c r="DA7" s="847"/>
      <c r="DB7" s="847"/>
      <c r="DC7" s="847"/>
      <c r="DD7" s="847"/>
      <c r="DE7" s="847"/>
      <c r="DF7" s="847"/>
      <c r="DG7" s="847"/>
      <c r="DH7" s="847"/>
      <c r="DI7" s="847"/>
      <c r="DJ7" s="847"/>
    </row>
    <row r="8" spans="1:114" s="5" customFormat="1" ht="15" thickBot="1">
      <c r="A8" s="84"/>
      <c r="B8" s="85"/>
      <c r="C8" s="86" t="s">
        <v>52</v>
      </c>
      <c r="D8" s="86" t="s">
        <v>53</v>
      </c>
      <c r="E8" s="86" t="s">
        <v>52</v>
      </c>
      <c r="F8" s="532"/>
      <c r="G8" s="86" t="s">
        <v>52</v>
      </c>
      <c r="H8" s="522"/>
      <c r="I8" s="86" t="s">
        <v>52</v>
      </c>
      <c r="J8" s="522"/>
      <c r="K8" s="86"/>
      <c r="L8" s="86" t="s">
        <v>52</v>
      </c>
      <c r="M8" s="86" t="s">
        <v>52</v>
      </c>
      <c r="N8" s="86"/>
      <c r="O8" s="86" t="s">
        <v>52</v>
      </c>
      <c r="P8" s="86" t="s">
        <v>52</v>
      </c>
      <c r="Q8" s="86" t="s">
        <v>54</v>
      </c>
      <c r="R8" s="86" t="s">
        <v>55</v>
      </c>
      <c r="S8" s="86" t="s">
        <v>55</v>
      </c>
      <c r="T8" s="86" t="s">
        <v>54</v>
      </c>
      <c r="U8" s="86" t="s">
        <v>54</v>
      </c>
      <c r="V8" s="86" t="s">
        <v>54</v>
      </c>
      <c r="W8" s="86" t="s">
        <v>54</v>
      </c>
      <c r="X8" s="86" t="s">
        <v>54</v>
      </c>
      <c r="Y8" s="86" t="s">
        <v>54</v>
      </c>
      <c r="Z8" s="86" t="s">
        <v>54</v>
      </c>
      <c r="AA8" s="86" t="s">
        <v>54</v>
      </c>
      <c r="AB8" s="86" t="s">
        <v>54</v>
      </c>
      <c r="AC8" s="86"/>
      <c r="AD8" s="86"/>
      <c r="AE8" s="86"/>
      <c r="AF8" s="86"/>
      <c r="AG8" s="86"/>
      <c r="AH8" s="87"/>
      <c r="AI8" s="260"/>
      <c r="AJ8" s="88"/>
      <c r="AK8" s="847"/>
      <c r="AL8" s="847"/>
      <c r="AM8" s="847"/>
      <c r="AN8" s="847"/>
      <c r="AO8" s="847"/>
      <c r="AP8" s="847"/>
      <c r="AQ8" s="847"/>
      <c r="AR8" s="847"/>
      <c r="AS8" s="847"/>
      <c r="AT8" s="847"/>
      <c r="AU8" s="847"/>
      <c r="AV8" s="847"/>
      <c r="AW8" s="847"/>
      <c r="AX8" s="847"/>
      <c r="AY8" s="847"/>
      <c r="AZ8" s="847"/>
      <c r="BA8" s="847"/>
      <c r="BB8" s="847"/>
      <c r="BC8" s="847"/>
      <c r="BD8" s="847"/>
      <c r="BE8" s="847"/>
      <c r="BF8" s="847"/>
      <c r="BG8" s="847"/>
      <c r="BH8" s="847"/>
      <c r="BI8" s="847"/>
      <c r="BJ8" s="847"/>
      <c r="BK8" s="847"/>
      <c r="BL8" s="847"/>
      <c r="BM8" s="847"/>
      <c r="BN8" s="847"/>
      <c r="BO8" s="847"/>
      <c r="BP8" s="847"/>
      <c r="BQ8" s="847"/>
      <c r="BR8" s="847"/>
      <c r="BS8" s="847"/>
      <c r="BT8" s="847"/>
      <c r="BU8" s="847"/>
      <c r="BV8" s="847"/>
      <c r="BW8" s="847"/>
      <c r="BX8" s="847"/>
      <c r="BY8" s="847"/>
      <c r="BZ8" s="847"/>
      <c r="CA8" s="847"/>
      <c r="CB8" s="847"/>
      <c r="CC8" s="847"/>
      <c r="CD8" s="847"/>
      <c r="CE8" s="847"/>
      <c r="CF8" s="847"/>
      <c r="CG8" s="847"/>
      <c r="CH8" s="847"/>
      <c r="CI8" s="847"/>
      <c r="CJ8" s="847"/>
      <c r="CK8" s="847"/>
      <c r="CL8" s="847"/>
      <c r="CM8" s="847"/>
      <c r="CN8" s="847"/>
      <c r="CO8" s="847"/>
      <c r="CP8" s="847"/>
      <c r="CQ8" s="847"/>
      <c r="CR8" s="847"/>
      <c r="CS8" s="847"/>
      <c r="CT8" s="847"/>
      <c r="CU8" s="847"/>
      <c r="CV8" s="847"/>
      <c r="CW8" s="847"/>
      <c r="CX8" s="847"/>
      <c r="CY8" s="847"/>
      <c r="CZ8" s="847"/>
      <c r="DA8" s="847"/>
      <c r="DB8" s="847"/>
      <c r="DC8" s="847"/>
      <c r="DD8" s="847"/>
      <c r="DE8" s="847"/>
      <c r="DF8" s="847"/>
      <c r="DG8" s="847"/>
      <c r="DH8" s="847"/>
      <c r="DI8" s="847"/>
      <c r="DJ8" s="847"/>
    </row>
    <row r="9" spans="1:114" s="99" customFormat="1" ht="19.5" thickBot="1">
      <c r="A9" s="89">
        <v>1</v>
      </c>
      <c r="B9" s="90" t="s">
        <v>7</v>
      </c>
      <c r="C9" s="91">
        <v>384</v>
      </c>
      <c r="D9" s="92">
        <v>1086589</v>
      </c>
      <c r="E9" s="91">
        <v>0</v>
      </c>
      <c r="F9" s="533">
        <f>E9/AI9*100</f>
        <v>0</v>
      </c>
      <c r="G9" s="93">
        <v>166</v>
      </c>
      <c r="H9" s="523">
        <f>G9/AI9*100</f>
        <v>0.40476945209821757</v>
      </c>
      <c r="I9" s="93"/>
      <c r="J9" s="523">
        <f>I9/AI9*100</f>
        <v>0</v>
      </c>
      <c r="K9" s="242"/>
      <c r="L9" s="93">
        <v>26</v>
      </c>
      <c r="M9" s="91">
        <v>0</v>
      </c>
      <c r="N9" s="91"/>
      <c r="O9" s="91" t="s">
        <v>296</v>
      </c>
      <c r="P9" s="91"/>
      <c r="Q9" s="93">
        <v>71</v>
      </c>
      <c r="R9" s="91" t="s">
        <v>81</v>
      </c>
      <c r="S9" s="91" t="s">
        <v>81</v>
      </c>
      <c r="T9" s="91">
        <v>36.24</v>
      </c>
      <c r="U9" s="96">
        <f>26*100/C9</f>
        <v>6.770833333333333</v>
      </c>
      <c r="V9" s="91">
        <v>5.73</v>
      </c>
      <c r="W9" s="91"/>
      <c r="X9" s="94"/>
      <c r="Y9" s="95">
        <v>5.6</v>
      </c>
      <c r="Z9" s="96">
        <v>6</v>
      </c>
      <c r="AA9" s="96">
        <v>11.3</v>
      </c>
      <c r="AB9" s="96">
        <v>7</v>
      </c>
      <c r="AC9" s="97"/>
      <c r="AD9" s="91"/>
      <c r="AE9" s="91"/>
      <c r="AF9" s="98"/>
      <c r="AG9" s="91"/>
      <c r="AH9" s="94"/>
      <c r="AI9" s="265">
        <v>41011</v>
      </c>
      <c r="AJ9" s="542">
        <f>SUM(C10:AH10)</f>
        <v>33</v>
      </c>
      <c r="AK9" s="847"/>
      <c r="AL9" s="847"/>
      <c r="AM9" s="847"/>
      <c r="AN9" s="847"/>
      <c r="AO9" s="847"/>
      <c r="AP9" s="847"/>
      <c r="AQ9" s="847"/>
      <c r="AR9" s="847"/>
      <c r="AS9" s="847"/>
      <c r="AT9" s="847"/>
      <c r="AU9" s="847"/>
      <c r="AV9" s="847"/>
      <c r="AW9" s="847"/>
      <c r="AX9" s="847"/>
      <c r="AY9" s="847"/>
      <c r="AZ9" s="847"/>
      <c r="BA9" s="847"/>
      <c r="BB9" s="847"/>
      <c r="BC9" s="847"/>
      <c r="BD9" s="847"/>
      <c r="BE9" s="847"/>
      <c r="BF9" s="847"/>
      <c r="BG9" s="847"/>
      <c r="BH9" s="847"/>
      <c r="BI9" s="847"/>
      <c r="BJ9" s="847"/>
      <c r="BK9" s="847"/>
      <c r="BL9" s="847"/>
      <c r="BM9" s="847"/>
      <c r="BN9" s="847"/>
      <c r="BO9" s="847"/>
      <c r="BP9" s="847"/>
      <c r="BQ9" s="847"/>
      <c r="BR9" s="847"/>
      <c r="BS9" s="847"/>
      <c r="BT9" s="847"/>
      <c r="BU9" s="847"/>
      <c r="BV9" s="847"/>
      <c r="BW9" s="847"/>
      <c r="BX9" s="847"/>
      <c r="BY9" s="847"/>
      <c r="BZ9" s="847"/>
      <c r="CA9" s="847"/>
      <c r="CB9" s="847"/>
      <c r="CC9" s="847"/>
      <c r="CD9" s="847"/>
      <c r="CE9" s="847"/>
      <c r="CF9" s="847"/>
      <c r="CG9" s="847"/>
      <c r="CH9" s="847"/>
      <c r="CI9" s="847"/>
      <c r="CJ9" s="847"/>
      <c r="CK9" s="847"/>
      <c r="CL9" s="847"/>
      <c r="CM9" s="847"/>
      <c r="CN9" s="847"/>
      <c r="CO9" s="847"/>
      <c r="CP9" s="847"/>
      <c r="CQ9" s="847"/>
      <c r="CR9" s="847"/>
      <c r="CS9" s="847"/>
      <c r="CT9" s="847"/>
      <c r="CU9" s="847"/>
      <c r="CV9" s="847"/>
      <c r="CW9" s="847"/>
      <c r="CX9" s="847"/>
      <c r="CY9" s="847"/>
      <c r="CZ9" s="847"/>
      <c r="DA9" s="847"/>
      <c r="DB9" s="847"/>
      <c r="DC9" s="847"/>
      <c r="DD9" s="847"/>
      <c r="DE9" s="847"/>
      <c r="DF9" s="847"/>
      <c r="DG9" s="847"/>
      <c r="DH9" s="847"/>
      <c r="DI9" s="847"/>
      <c r="DJ9" s="847"/>
    </row>
    <row r="10" spans="1:114" s="27" customFormat="1" ht="15" customHeight="1" thickBot="1">
      <c r="A10" s="203"/>
      <c r="B10" s="204"/>
      <c r="C10" s="205"/>
      <c r="D10" s="206"/>
      <c r="E10" s="205"/>
      <c r="F10" s="207">
        <v>0</v>
      </c>
      <c r="G10" s="207"/>
      <c r="H10" s="207">
        <v>0</v>
      </c>
      <c r="I10" s="207"/>
      <c r="J10" s="207">
        <v>2</v>
      </c>
      <c r="K10" s="205"/>
      <c r="L10" s="207"/>
      <c r="M10" s="205">
        <v>10</v>
      </c>
      <c r="N10" s="205"/>
      <c r="O10" s="205">
        <v>7</v>
      </c>
      <c r="P10" s="205"/>
      <c r="Q10" s="207">
        <v>8</v>
      </c>
      <c r="R10" s="205">
        <v>0</v>
      </c>
      <c r="S10" s="205">
        <v>0</v>
      </c>
      <c r="T10" s="205">
        <v>6</v>
      </c>
      <c r="U10" s="249">
        <v>0</v>
      </c>
      <c r="V10" s="205">
        <v>0</v>
      </c>
      <c r="W10" s="205"/>
      <c r="X10" s="208"/>
      <c r="Y10" s="209"/>
      <c r="Z10" s="205"/>
      <c r="AA10" s="205"/>
      <c r="AB10" s="205"/>
      <c r="AC10" s="210"/>
      <c r="AD10" s="205"/>
      <c r="AE10" s="205"/>
      <c r="AF10" s="211"/>
      <c r="AG10" s="205"/>
      <c r="AH10" s="208"/>
      <c r="AI10" s="266"/>
      <c r="AJ10" s="108"/>
      <c r="AK10" s="847"/>
      <c r="AL10" s="847"/>
      <c r="AM10" s="847"/>
      <c r="AN10" s="847"/>
      <c r="AO10" s="847"/>
      <c r="AP10" s="847"/>
      <c r="AQ10" s="847"/>
      <c r="AR10" s="847"/>
      <c r="AS10" s="847"/>
      <c r="AT10" s="847"/>
      <c r="AU10" s="847"/>
      <c r="AV10" s="847"/>
      <c r="AW10" s="847"/>
      <c r="AX10" s="847"/>
      <c r="AY10" s="847"/>
      <c r="AZ10" s="847"/>
      <c r="BA10" s="847"/>
      <c r="BB10" s="847"/>
      <c r="BC10" s="847"/>
      <c r="BD10" s="847"/>
      <c r="BE10" s="847"/>
      <c r="BF10" s="847"/>
      <c r="BG10" s="847"/>
      <c r="BH10" s="847"/>
      <c r="BI10" s="847"/>
      <c r="BJ10" s="847"/>
      <c r="BK10" s="847"/>
      <c r="BL10" s="847"/>
      <c r="BM10" s="847"/>
      <c r="BN10" s="847"/>
      <c r="BO10" s="847"/>
      <c r="BP10" s="847"/>
      <c r="BQ10" s="847"/>
      <c r="BR10" s="847"/>
      <c r="BS10" s="847"/>
      <c r="BT10" s="847"/>
      <c r="BU10" s="847"/>
      <c r="BV10" s="847"/>
      <c r="BW10" s="847"/>
      <c r="BX10" s="847"/>
      <c r="BY10" s="847"/>
      <c r="BZ10" s="847"/>
      <c r="CA10" s="847"/>
      <c r="CB10" s="847"/>
      <c r="CC10" s="847"/>
      <c r="CD10" s="847"/>
      <c r="CE10" s="847"/>
      <c r="CF10" s="847"/>
      <c r="CG10" s="847"/>
      <c r="CH10" s="847"/>
      <c r="CI10" s="847"/>
      <c r="CJ10" s="847"/>
      <c r="CK10" s="847"/>
      <c r="CL10" s="847"/>
      <c r="CM10" s="847"/>
      <c r="CN10" s="847"/>
      <c r="CO10" s="847"/>
      <c r="CP10" s="847"/>
      <c r="CQ10" s="847"/>
      <c r="CR10" s="847"/>
      <c r="CS10" s="847"/>
      <c r="CT10" s="847"/>
      <c r="CU10" s="847"/>
      <c r="CV10" s="847"/>
      <c r="CW10" s="847"/>
      <c r="CX10" s="847"/>
      <c r="CY10" s="847"/>
      <c r="CZ10" s="847"/>
      <c r="DA10" s="847"/>
      <c r="DB10" s="847"/>
      <c r="DC10" s="847"/>
      <c r="DD10" s="847"/>
      <c r="DE10" s="847"/>
      <c r="DF10" s="847"/>
      <c r="DG10" s="847"/>
      <c r="DH10" s="847"/>
      <c r="DI10" s="847"/>
      <c r="DJ10" s="847"/>
    </row>
    <row r="11" spans="1:114" ht="18.75">
      <c r="A11" s="19">
        <v>2</v>
      </c>
      <c r="B11" s="20" t="s">
        <v>6</v>
      </c>
      <c r="C11" s="34">
        <v>291</v>
      </c>
      <c r="D11" s="44">
        <v>674255</v>
      </c>
      <c r="E11" s="34">
        <v>0</v>
      </c>
      <c r="F11" s="533">
        <f t="shared" ref="F11" si="0">E11/AI11*100</f>
        <v>0</v>
      </c>
      <c r="G11" s="56">
        <v>43</v>
      </c>
      <c r="H11" s="523">
        <f t="shared" ref="H11" si="1">G11/AI11*100</f>
        <v>0.12001786312381378</v>
      </c>
      <c r="I11" s="56"/>
      <c r="J11" s="523">
        <f t="shared" ref="J11" si="2">I11/AI11*100</f>
        <v>0</v>
      </c>
      <c r="K11" s="243"/>
      <c r="L11" s="56">
        <v>19</v>
      </c>
      <c r="M11" s="34">
        <v>0</v>
      </c>
      <c r="N11" s="109"/>
      <c r="O11" s="34">
        <v>0</v>
      </c>
      <c r="P11" s="34"/>
      <c r="Q11" s="56">
        <v>127</v>
      </c>
      <c r="R11" s="34" t="s">
        <v>81</v>
      </c>
      <c r="S11" s="34" t="s">
        <v>81</v>
      </c>
      <c r="T11" s="34">
        <v>50.23</v>
      </c>
      <c r="U11" s="250">
        <f>107*100/C11</f>
        <v>36.769759450171819</v>
      </c>
      <c r="V11" s="34">
        <v>0</v>
      </c>
      <c r="W11" s="34"/>
      <c r="X11" s="45"/>
      <c r="Y11" s="68">
        <v>19</v>
      </c>
      <c r="Z11" s="69">
        <v>16</v>
      </c>
      <c r="AA11" s="69">
        <v>20</v>
      </c>
      <c r="AB11" s="69">
        <v>40</v>
      </c>
      <c r="AC11" s="59"/>
      <c r="AD11" s="34"/>
      <c r="AE11" s="34"/>
      <c r="AF11" s="21"/>
      <c r="AG11" s="34"/>
      <c r="AH11" s="45"/>
      <c r="AI11" s="267">
        <v>35828</v>
      </c>
      <c r="AJ11" s="542">
        <f>SUM(C12:AH12)</f>
        <v>60.3</v>
      </c>
      <c r="AK11" s="847"/>
      <c r="AL11" s="847"/>
      <c r="AM11" s="847"/>
      <c r="AN11" s="847"/>
      <c r="AO11" s="847"/>
      <c r="AP11" s="847"/>
      <c r="AQ11" s="847"/>
      <c r="AR11" s="847"/>
      <c r="AS11" s="847"/>
      <c r="AT11" s="847"/>
      <c r="AU11" s="847"/>
      <c r="AV11" s="847"/>
      <c r="AW11" s="847"/>
      <c r="AX11" s="847"/>
      <c r="AY11" s="847"/>
      <c r="AZ11" s="847"/>
      <c r="BA11" s="847"/>
      <c r="BB11" s="847"/>
      <c r="BC11" s="847"/>
      <c r="BD11" s="847"/>
      <c r="BE11" s="847"/>
      <c r="BF11" s="847"/>
      <c r="BG11" s="847"/>
      <c r="BH11" s="847"/>
      <c r="BI11" s="847"/>
      <c r="BJ11" s="847"/>
      <c r="BK11" s="847"/>
      <c r="BL11" s="847"/>
      <c r="BM11" s="847"/>
      <c r="BN11" s="847"/>
      <c r="BO11" s="847"/>
      <c r="BP11" s="847"/>
      <c r="BQ11" s="847"/>
      <c r="BR11" s="847"/>
      <c r="BS11" s="847"/>
      <c r="BT11" s="847"/>
      <c r="BU11" s="847"/>
      <c r="BV11" s="847"/>
      <c r="BW11" s="847"/>
      <c r="BX11" s="847"/>
      <c r="BY11" s="847"/>
      <c r="BZ11" s="847"/>
      <c r="CA11" s="847"/>
      <c r="CB11" s="847"/>
      <c r="CC11" s="847"/>
      <c r="CD11" s="847"/>
      <c r="CE11" s="847"/>
      <c r="CF11" s="847"/>
      <c r="CG11" s="847"/>
      <c r="CH11" s="847"/>
      <c r="CI11" s="847"/>
      <c r="CJ11" s="847"/>
      <c r="CK11" s="847"/>
      <c r="CL11" s="847"/>
      <c r="CM11" s="847"/>
      <c r="CN11" s="847"/>
      <c r="CO11" s="847"/>
      <c r="CP11" s="847"/>
      <c r="CQ11" s="847"/>
      <c r="CR11" s="847"/>
      <c r="CS11" s="847"/>
      <c r="CT11" s="847"/>
      <c r="CU11" s="847"/>
      <c r="CV11" s="847"/>
      <c r="CW11" s="847"/>
      <c r="CX11" s="847"/>
      <c r="CY11" s="847"/>
      <c r="CZ11" s="847"/>
      <c r="DA11" s="847"/>
      <c r="DB11" s="847"/>
      <c r="DC11" s="847"/>
      <c r="DD11" s="847"/>
      <c r="DE11" s="847"/>
      <c r="DF11" s="847"/>
      <c r="DG11" s="847"/>
      <c r="DH11" s="847"/>
      <c r="DI11" s="847"/>
      <c r="DJ11" s="847"/>
    </row>
    <row r="12" spans="1:114" s="27" customFormat="1" ht="16.5" customHeight="1" thickBot="1">
      <c r="A12" s="203"/>
      <c r="B12" s="204"/>
      <c r="C12" s="205"/>
      <c r="D12" s="206"/>
      <c r="E12" s="205"/>
      <c r="F12" s="207">
        <v>8</v>
      </c>
      <c r="G12" s="207"/>
      <c r="H12" s="207">
        <f>7</f>
        <v>7</v>
      </c>
      <c r="I12" s="207"/>
      <c r="J12" s="207">
        <v>6</v>
      </c>
      <c r="K12" s="205">
        <v>-0.7</v>
      </c>
      <c r="L12" s="207"/>
      <c r="M12" s="205">
        <v>10</v>
      </c>
      <c r="N12" s="205"/>
      <c r="O12" s="205">
        <v>10</v>
      </c>
      <c r="P12" s="205"/>
      <c r="Q12" s="207">
        <v>10</v>
      </c>
      <c r="R12" s="205">
        <v>0</v>
      </c>
      <c r="S12" s="205">
        <v>0</v>
      </c>
      <c r="T12" s="205">
        <v>6</v>
      </c>
      <c r="U12" s="249">
        <v>4</v>
      </c>
      <c r="V12" s="205">
        <v>0</v>
      </c>
      <c r="W12" s="205"/>
      <c r="X12" s="208"/>
      <c r="Y12" s="209"/>
      <c r="Z12" s="205"/>
      <c r="AA12" s="205"/>
      <c r="AB12" s="205"/>
      <c r="AC12" s="210"/>
      <c r="AD12" s="205"/>
      <c r="AE12" s="205"/>
      <c r="AF12" s="211"/>
      <c r="AG12" s="205"/>
      <c r="AH12" s="208"/>
      <c r="AI12" s="268"/>
      <c r="AJ12" s="104"/>
      <c r="AK12" s="847"/>
      <c r="AL12" s="847"/>
      <c r="AM12" s="847"/>
      <c r="AN12" s="847"/>
      <c r="AO12" s="847"/>
      <c r="AP12" s="847"/>
      <c r="AQ12" s="847"/>
      <c r="AR12" s="847"/>
      <c r="AS12" s="847"/>
      <c r="AT12" s="847"/>
      <c r="AU12" s="847"/>
      <c r="AV12" s="847"/>
      <c r="AW12" s="847"/>
      <c r="AX12" s="847"/>
      <c r="AY12" s="847"/>
      <c r="AZ12" s="847"/>
      <c r="BA12" s="847"/>
      <c r="BB12" s="847"/>
      <c r="BC12" s="847"/>
      <c r="BD12" s="847"/>
      <c r="BE12" s="847"/>
      <c r="BF12" s="847"/>
      <c r="BG12" s="847"/>
      <c r="BH12" s="847"/>
      <c r="BI12" s="847"/>
      <c r="BJ12" s="847"/>
      <c r="BK12" s="847"/>
      <c r="BL12" s="847"/>
      <c r="BM12" s="847"/>
      <c r="BN12" s="847"/>
      <c r="BO12" s="847"/>
      <c r="BP12" s="847"/>
      <c r="BQ12" s="847"/>
      <c r="BR12" s="847"/>
      <c r="BS12" s="847"/>
      <c r="BT12" s="847"/>
      <c r="BU12" s="847"/>
      <c r="BV12" s="847"/>
      <c r="BW12" s="847"/>
      <c r="BX12" s="847"/>
      <c r="BY12" s="847"/>
      <c r="BZ12" s="847"/>
      <c r="CA12" s="847"/>
      <c r="CB12" s="847"/>
      <c r="CC12" s="847"/>
      <c r="CD12" s="847"/>
      <c r="CE12" s="847"/>
      <c r="CF12" s="847"/>
      <c r="CG12" s="847"/>
      <c r="CH12" s="847"/>
      <c r="CI12" s="847"/>
      <c r="CJ12" s="847"/>
      <c r="CK12" s="847"/>
      <c r="CL12" s="847"/>
      <c r="CM12" s="847"/>
      <c r="CN12" s="847"/>
      <c r="CO12" s="847"/>
      <c r="CP12" s="847"/>
      <c r="CQ12" s="847"/>
      <c r="CR12" s="847"/>
      <c r="CS12" s="847"/>
      <c r="CT12" s="847"/>
      <c r="CU12" s="847"/>
      <c r="CV12" s="847"/>
      <c r="CW12" s="847"/>
      <c r="CX12" s="847"/>
      <c r="CY12" s="847"/>
      <c r="CZ12" s="847"/>
      <c r="DA12" s="847"/>
      <c r="DB12" s="847"/>
      <c r="DC12" s="847"/>
      <c r="DD12" s="847"/>
      <c r="DE12" s="847"/>
      <c r="DF12" s="847"/>
      <c r="DG12" s="847"/>
      <c r="DH12" s="847"/>
      <c r="DI12" s="847"/>
      <c r="DJ12" s="847"/>
    </row>
    <row r="13" spans="1:114" ht="19.5" thickBot="1">
      <c r="A13" s="19">
        <v>3</v>
      </c>
      <c r="B13" s="20" t="s">
        <v>56</v>
      </c>
      <c r="C13" s="48">
        <v>526</v>
      </c>
      <c r="D13" s="40">
        <v>1269182</v>
      </c>
      <c r="E13" s="56">
        <v>0</v>
      </c>
      <c r="F13" s="533">
        <f t="shared" ref="F13" si="3">E13/AI13*100</f>
        <v>0</v>
      </c>
      <c r="G13" s="56">
        <v>234</v>
      </c>
      <c r="H13" s="523">
        <f t="shared" ref="H13" si="4">G13/AI13*100</f>
        <v>0.36255461559914476</v>
      </c>
      <c r="I13" s="56"/>
      <c r="J13" s="523">
        <f t="shared" ref="J13" si="5">I13/AI13*100</f>
        <v>0</v>
      </c>
      <c r="K13" s="244"/>
      <c r="L13" s="56">
        <v>30</v>
      </c>
      <c r="M13" s="44">
        <v>0</v>
      </c>
      <c r="N13" s="116"/>
      <c r="O13" s="40">
        <v>0</v>
      </c>
      <c r="P13" s="40"/>
      <c r="Q13" s="56">
        <v>141</v>
      </c>
      <c r="R13" s="40" t="s">
        <v>81</v>
      </c>
      <c r="S13" s="40" t="s">
        <v>81</v>
      </c>
      <c r="T13" s="40">
        <v>14.82</v>
      </c>
      <c r="U13" s="250">
        <f>10*100/C13</f>
        <v>1.9011406844106464</v>
      </c>
      <c r="V13" s="40">
        <v>0</v>
      </c>
      <c r="W13" s="40"/>
      <c r="X13" s="49"/>
      <c r="Y13" s="68">
        <v>32.619999999999997</v>
      </c>
      <c r="Z13" s="69">
        <v>49.36</v>
      </c>
      <c r="AA13" s="69">
        <v>50.65</v>
      </c>
      <c r="AB13" s="69">
        <v>64.510000000000005</v>
      </c>
      <c r="AC13" s="59"/>
      <c r="AD13" s="40"/>
      <c r="AE13" s="40"/>
      <c r="AF13" s="21"/>
      <c r="AG13" s="40"/>
      <c r="AH13" s="49"/>
      <c r="AI13" s="269">
        <v>64542</v>
      </c>
      <c r="AJ13" s="542">
        <f>SUM(C14:AH14)</f>
        <v>39</v>
      </c>
      <c r="AK13" s="847"/>
      <c r="AL13" s="847"/>
      <c r="AM13" s="847"/>
      <c r="AN13" s="847"/>
      <c r="AO13" s="847"/>
      <c r="AP13" s="847"/>
      <c r="AQ13" s="847"/>
      <c r="AR13" s="847"/>
      <c r="AS13" s="847"/>
      <c r="AT13" s="847"/>
      <c r="AU13" s="847"/>
      <c r="AV13" s="847"/>
      <c r="AW13" s="847"/>
      <c r="AX13" s="847"/>
      <c r="AY13" s="847"/>
      <c r="AZ13" s="847"/>
      <c r="BA13" s="847"/>
      <c r="BB13" s="847"/>
      <c r="BC13" s="847"/>
      <c r="BD13" s="847"/>
      <c r="BE13" s="847"/>
      <c r="BF13" s="847"/>
      <c r="BG13" s="847"/>
      <c r="BH13" s="847"/>
      <c r="BI13" s="847"/>
      <c r="BJ13" s="847"/>
      <c r="BK13" s="847"/>
      <c r="BL13" s="847"/>
      <c r="BM13" s="847"/>
      <c r="BN13" s="847"/>
      <c r="BO13" s="847"/>
      <c r="BP13" s="847"/>
      <c r="BQ13" s="847"/>
      <c r="BR13" s="847"/>
      <c r="BS13" s="847"/>
      <c r="BT13" s="847"/>
      <c r="BU13" s="847"/>
      <c r="BV13" s="847"/>
      <c r="BW13" s="847"/>
      <c r="BX13" s="847"/>
      <c r="BY13" s="847"/>
      <c r="BZ13" s="847"/>
      <c r="CA13" s="847"/>
      <c r="CB13" s="847"/>
      <c r="CC13" s="847"/>
      <c r="CD13" s="847"/>
      <c r="CE13" s="847"/>
      <c r="CF13" s="847"/>
      <c r="CG13" s="847"/>
      <c r="CH13" s="847"/>
      <c r="CI13" s="847"/>
      <c r="CJ13" s="847"/>
      <c r="CK13" s="847"/>
      <c r="CL13" s="847"/>
      <c r="CM13" s="847"/>
      <c r="CN13" s="847"/>
      <c r="CO13" s="847"/>
      <c r="CP13" s="847"/>
      <c r="CQ13" s="847"/>
      <c r="CR13" s="847"/>
      <c r="CS13" s="847"/>
      <c r="CT13" s="847"/>
      <c r="CU13" s="847"/>
      <c r="CV13" s="847"/>
      <c r="CW13" s="847"/>
      <c r="CX13" s="847"/>
      <c r="CY13" s="847"/>
      <c r="CZ13" s="847"/>
      <c r="DA13" s="847"/>
      <c r="DB13" s="847"/>
      <c r="DC13" s="847"/>
      <c r="DD13" s="847"/>
      <c r="DE13" s="847"/>
      <c r="DF13" s="847"/>
      <c r="DG13" s="847"/>
      <c r="DH13" s="847"/>
      <c r="DI13" s="847"/>
      <c r="DJ13" s="847"/>
    </row>
    <row r="14" spans="1:114" s="27" customFormat="1" ht="15.75" customHeight="1" thickBot="1">
      <c r="A14" s="203"/>
      <c r="B14" s="204"/>
      <c r="C14" s="214"/>
      <c r="D14" s="215"/>
      <c r="E14" s="207"/>
      <c r="F14" s="207">
        <v>4</v>
      </c>
      <c r="G14" s="207"/>
      <c r="H14" s="207">
        <v>0</v>
      </c>
      <c r="I14" s="207"/>
      <c r="J14" s="207">
        <v>3</v>
      </c>
      <c r="K14" s="215"/>
      <c r="L14" s="207">
        <v>0</v>
      </c>
      <c r="M14" s="206">
        <v>10</v>
      </c>
      <c r="N14" s="206"/>
      <c r="O14" s="215">
        <v>10</v>
      </c>
      <c r="P14" s="215"/>
      <c r="Q14" s="207">
        <v>10</v>
      </c>
      <c r="R14" s="215">
        <v>0</v>
      </c>
      <c r="S14" s="215">
        <v>0</v>
      </c>
      <c r="T14" s="215">
        <v>2</v>
      </c>
      <c r="U14" s="249">
        <v>0</v>
      </c>
      <c r="V14" s="215">
        <v>0</v>
      </c>
      <c r="W14" s="215"/>
      <c r="X14" s="216"/>
      <c r="Y14" s="209"/>
      <c r="Z14" s="215"/>
      <c r="AA14" s="215"/>
      <c r="AB14" s="215"/>
      <c r="AC14" s="217"/>
      <c r="AD14" s="215"/>
      <c r="AE14" s="215"/>
      <c r="AF14" s="211"/>
      <c r="AG14" s="215"/>
      <c r="AH14" s="216"/>
      <c r="AI14" s="266"/>
      <c r="AJ14" s="108"/>
      <c r="AK14" s="847"/>
      <c r="AL14" s="847"/>
      <c r="AM14" s="847"/>
      <c r="AN14" s="847"/>
      <c r="AO14" s="847"/>
      <c r="AP14" s="847"/>
      <c r="AQ14" s="847"/>
      <c r="AR14" s="847"/>
      <c r="AS14" s="847"/>
      <c r="AT14" s="847"/>
      <c r="AU14" s="847"/>
      <c r="AV14" s="847"/>
      <c r="AW14" s="847"/>
      <c r="AX14" s="847"/>
      <c r="AY14" s="847"/>
      <c r="AZ14" s="847"/>
      <c r="BA14" s="847"/>
      <c r="BB14" s="847"/>
      <c r="BC14" s="847"/>
      <c r="BD14" s="847"/>
      <c r="BE14" s="847"/>
      <c r="BF14" s="847"/>
      <c r="BG14" s="847"/>
      <c r="BH14" s="847"/>
      <c r="BI14" s="847"/>
      <c r="BJ14" s="847"/>
      <c r="BK14" s="847"/>
      <c r="BL14" s="847"/>
      <c r="BM14" s="847"/>
      <c r="BN14" s="847"/>
      <c r="BO14" s="847"/>
      <c r="BP14" s="847"/>
      <c r="BQ14" s="847"/>
      <c r="BR14" s="847"/>
      <c r="BS14" s="847"/>
      <c r="BT14" s="847"/>
      <c r="BU14" s="847"/>
      <c r="BV14" s="847"/>
      <c r="BW14" s="847"/>
      <c r="BX14" s="847"/>
      <c r="BY14" s="847"/>
      <c r="BZ14" s="847"/>
      <c r="CA14" s="847"/>
      <c r="CB14" s="847"/>
      <c r="CC14" s="847"/>
      <c r="CD14" s="847"/>
      <c r="CE14" s="847"/>
      <c r="CF14" s="847"/>
      <c r="CG14" s="847"/>
      <c r="CH14" s="847"/>
      <c r="CI14" s="847"/>
      <c r="CJ14" s="847"/>
      <c r="CK14" s="847"/>
      <c r="CL14" s="847"/>
      <c r="CM14" s="847"/>
      <c r="CN14" s="847"/>
      <c r="CO14" s="847"/>
      <c r="CP14" s="847"/>
      <c r="CQ14" s="847"/>
      <c r="CR14" s="847"/>
      <c r="CS14" s="847"/>
      <c r="CT14" s="847"/>
      <c r="CU14" s="847"/>
      <c r="CV14" s="847"/>
      <c r="CW14" s="847"/>
      <c r="CX14" s="847"/>
      <c r="CY14" s="847"/>
      <c r="CZ14" s="847"/>
      <c r="DA14" s="847"/>
      <c r="DB14" s="847"/>
      <c r="DC14" s="847"/>
      <c r="DD14" s="847"/>
      <c r="DE14" s="847"/>
      <c r="DF14" s="847"/>
      <c r="DG14" s="847"/>
      <c r="DH14" s="847"/>
      <c r="DI14" s="847"/>
      <c r="DJ14" s="847"/>
    </row>
    <row r="15" spans="1:114" ht="19.5" thickBot="1">
      <c r="A15" s="19">
        <v>4</v>
      </c>
      <c r="B15" s="20" t="s">
        <v>8</v>
      </c>
      <c r="C15" s="48">
        <v>561</v>
      </c>
      <c r="D15" s="40">
        <v>1190658</v>
      </c>
      <c r="E15" s="56">
        <v>0</v>
      </c>
      <c r="F15" s="533">
        <f t="shared" ref="F15" si="6">E15/AI15*100</f>
        <v>0</v>
      </c>
      <c r="G15" s="56">
        <v>167</v>
      </c>
      <c r="H15" s="523">
        <f t="shared" ref="H15" si="7">G15/AI15*100</f>
        <v>0.29155027932960892</v>
      </c>
      <c r="I15" s="56"/>
      <c r="J15" s="523">
        <f t="shared" ref="J15" si="8">I15/AI15*100</f>
        <v>0</v>
      </c>
      <c r="K15" s="245"/>
      <c r="L15" s="56">
        <v>17</v>
      </c>
      <c r="M15" s="110">
        <v>0</v>
      </c>
      <c r="N15" s="118"/>
      <c r="O15" s="34" t="s">
        <v>298</v>
      </c>
      <c r="P15" s="37"/>
      <c r="Q15" s="56">
        <v>179</v>
      </c>
      <c r="R15" s="40" t="s">
        <v>81</v>
      </c>
      <c r="S15" s="40" t="s">
        <v>81</v>
      </c>
      <c r="T15" s="40">
        <v>87.14</v>
      </c>
      <c r="U15" s="250">
        <f>23*100/C15</f>
        <v>4.0998217468805702</v>
      </c>
      <c r="V15" s="40">
        <v>16.22</v>
      </c>
      <c r="W15" s="34"/>
      <c r="X15" s="45"/>
      <c r="Y15" s="68">
        <v>7.3</v>
      </c>
      <c r="Z15" s="69">
        <v>6.8</v>
      </c>
      <c r="AA15" s="69">
        <v>6.8</v>
      </c>
      <c r="AB15" s="69">
        <v>59.3</v>
      </c>
      <c r="AC15" s="59"/>
      <c r="AD15" s="34"/>
      <c r="AE15" s="34"/>
      <c r="AF15" s="21"/>
      <c r="AG15" s="34"/>
      <c r="AH15" s="45"/>
      <c r="AI15" s="267">
        <v>57280</v>
      </c>
      <c r="AJ15" s="543">
        <f>SUM(C16:AH16)</f>
        <v>56.6</v>
      </c>
      <c r="AK15" s="847"/>
      <c r="AL15" s="847"/>
      <c r="AM15" s="847"/>
      <c r="AN15" s="847"/>
      <c r="AO15" s="847"/>
      <c r="AP15" s="847"/>
      <c r="AQ15" s="847"/>
      <c r="AR15" s="847"/>
      <c r="AS15" s="847"/>
      <c r="AT15" s="847"/>
      <c r="AU15" s="847"/>
      <c r="AV15" s="847"/>
      <c r="AW15" s="847"/>
      <c r="AX15" s="847"/>
      <c r="AY15" s="847"/>
      <c r="AZ15" s="847"/>
      <c r="BA15" s="847"/>
      <c r="BB15" s="847"/>
      <c r="BC15" s="847"/>
      <c r="BD15" s="847"/>
      <c r="BE15" s="847"/>
      <c r="BF15" s="847"/>
      <c r="BG15" s="847"/>
      <c r="BH15" s="847"/>
      <c r="BI15" s="847"/>
      <c r="BJ15" s="847"/>
      <c r="BK15" s="847"/>
      <c r="BL15" s="847"/>
      <c r="BM15" s="847"/>
      <c r="BN15" s="847"/>
      <c r="BO15" s="847"/>
      <c r="BP15" s="847"/>
      <c r="BQ15" s="847"/>
      <c r="BR15" s="847"/>
      <c r="BS15" s="847"/>
      <c r="BT15" s="847"/>
      <c r="BU15" s="847"/>
      <c r="BV15" s="847"/>
      <c r="BW15" s="847"/>
      <c r="BX15" s="847"/>
      <c r="BY15" s="847"/>
      <c r="BZ15" s="847"/>
      <c r="CA15" s="847"/>
      <c r="CB15" s="847"/>
      <c r="CC15" s="847"/>
      <c r="CD15" s="847"/>
      <c r="CE15" s="847"/>
      <c r="CF15" s="847"/>
      <c r="CG15" s="847"/>
      <c r="CH15" s="847"/>
      <c r="CI15" s="847"/>
      <c r="CJ15" s="847"/>
      <c r="CK15" s="847"/>
      <c r="CL15" s="847"/>
      <c r="CM15" s="847"/>
      <c r="CN15" s="847"/>
      <c r="CO15" s="847"/>
      <c r="CP15" s="847"/>
      <c r="CQ15" s="847"/>
      <c r="CR15" s="847"/>
      <c r="CS15" s="847"/>
      <c r="CT15" s="847"/>
      <c r="CU15" s="847"/>
      <c r="CV15" s="847"/>
      <c r="CW15" s="847"/>
      <c r="CX15" s="847"/>
      <c r="CY15" s="847"/>
      <c r="CZ15" s="847"/>
      <c r="DA15" s="847"/>
      <c r="DB15" s="847"/>
      <c r="DC15" s="847"/>
      <c r="DD15" s="847"/>
      <c r="DE15" s="847"/>
      <c r="DF15" s="847"/>
      <c r="DG15" s="847"/>
      <c r="DH15" s="847"/>
      <c r="DI15" s="847"/>
      <c r="DJ15" s="847"/>
    </row>
    <row r="16" spans="1:114" s="76" customFormat="1" ht="19.5" thickBot="1">
      <c r="A16" s="218"/>
      <c r="B16" s="219"/>
      <c r="C16" s="220"/>
      <c r="D16" s="221"/>
      <c r="E16" s="222"/>
      <c r="F16" s="207">
        <v>5</v>
      </c>
      <c r="G16" s="222"/>
      <c r="H16" s="207">
        <v>4</v>
      </c>
      <c r="I16" s="222"/>
      <c r="J16" s="207">
        <v>6</v>
      </c>
      <c r="K16" s="221">
        <v>-0.4</v>
      </c>
      <c r="L16" s="222">
        <v>1</v>
      </c>
      <c r="M16" s="223">
        <v>10</v>
      </c>
      <c r="N16" s="223"/>
      <c r="O16" s="224">
        <v>10</v>
      </c>
      <c r="P16" s="224"/>
      <c r="Q16" s="222">
        <v>10</v>
      </c>
      <c r="R16" s="221">
        <v>0</v>
      </c>
      <c r="S16" s="221">
        <v>0</v>
      </c>
      <c r="T16" s="221">
        <v>9</v>
      </c>
      <c r="U16" s="251">
        <v>0</v>
      </c>
      <c r="V16" s="221">
        <v>2</v>
      </c>
      <c r="W16" s="224"/>
      <c r="X16" s="225"/>
      <c r="Y16" s="226"/>
      <c r="Z16" s="224"/>
      <c r="AA16" s="224"/>
      <c r="AB16" s="224"/>
      <c r="AC16" s="227"/>
      <c r="AD16" s="224"/>
      <c r="AE16" s="224"/>
      <c r="AF16" s="228"/>
      <c r="AG16" s="224"/>
      <c r="AH16" s="225"/>
      <c r="AI16" s="270"/>
      <c r="AJ16" s="104"/>
      <c r="AK16" s="847"/>
      <c r="AL16" s="847"/>
      <c r="AM16" s="847"/>
      <c r="AN16" s="847"/>
      <c r="AO16" s="847"/>
      <c r="AP16" s="847"/>
      <c r="AQ16" s="847"/>
      <c r="AR16" s="847"/>
      <c r="AS16" s="847"/>
      <c r="AT16" s="847"/>
      <c r="AU16" s="847"/>
      <c r="AV16" s="847"/>
      <c r="AW16" s="847"/>
      <c r="AX16" s="847"/>
      <c r="AY16" s="847"/>
      <c r="AZ16" s="847"/>
      <c r="BA16" s="847"/>
      <c r="BB16" s="847"/>
      <c r="BC16" s="847"/>
      <c r="BD16" s="847"/>
      <c r="BE16" s="847"/>
      <c r="BF16" s="847"/>
      <c r="BG16" s="847"/>
      <c r="BH16" s="847"/>
      <c r="BI16" s="847"/>
      <c r="BJ16" s="847"/>
      <c r="BK16" s="847"/>
      <c r="BL16" s="847"/>
      <c r="BM16" s="847"/>
      <c r="BN16" s="847"/>
      <c r="BO16" s="847"/>
      <c r="BP16" s="847"/>
      <c r="BQ16" s="847"/>
      <c r="BR16" s="847"/>
      <c r="BS16" s="847"/>
      <c r="BT16" s="847"/>
      <c r="BU16" s="847"/>
      <c r="BV16" s="847"/>
      <c r="BW16" s="847"/>
      <c r="BX16" s="847"/>
      <c r="BY16" s="847"/>
      <c r="BZ16" s="847"/>
      <c r="CA16" s="847"/>
      <c r="CB16" s="847"/>
      <c r="CC16" s="847"/>
      <c r="CD16" s="847"/>
      <c r="CE16" s="847"/>
      <c r="CF16" s="847"/>
      <c r="CG16" s="847"/>
      <c r="CH16" s="847"/>
      <c r="CI16" s="847"/>
      <c r="CJ16" s="847"/>
      <c r="CK16" s="847"/>
      <c r="CL16" s="847"/>
      <c r="CM16" s="847"/>
      <c r="CN16" s="847"/>
      <c r="CO16" s="847"/>
      <c r="CP16" s="847"/>
      <c r="CQ16" s="847"/>
      <c r="CR16" s="847"/>
      <c r="CS16" s="847"/>
      <c r="CT16" s="847"/>
      <c r="CU16" s="847"/>
      <c r="CV16" s="847"/>
      <c r="CW16" s="847"/>
      <c r="CX16" s="847"/>
      <c r="CY16" s="847"/>
      <c r="CZ16" s="847"/>
      <c r="DA16" s="847"/>
      <c r="DB16" s="847"/>
      <c r="DC16" s="847"/>
      <c r="DD16" s="847"/>
      <c r="DE16" s="847"/>
      <c r="DF16" s="847"/>
      <c r="DG16" s="847"/>
      <c r="DH16" s="847"/>
      <c r="DI16" s="847"/>
      <c r="DJ16" s="847"/>
    </row>
    <row r="17" spans="1:114" ht="19.5" thickBot="1">
      <c r="A17" s="19">
        <v>5</v>
      </c>
      <c r="B17" s="20" t="s">
        <v>57</v>
      </c>
      <c r="C17" s="34">
        <v>12</v>
      </c>
      <c r="D17" s="34"/>
      <c r="E17" s="56">
        <v>0</v>
      </c>
      <c r="F17" s="533">
        <f t="shared" ref="F17" si="9">E17/AI17*100</f>
        <v>0</v>
      </c>
      <c r="G17" s="56">
        <v>4</v>
      </c>
      <c r="H17" s="523">
        <f t="shared" ref="H17" si="10">G17/AI17*100</f>
        <v>0.16611295681063123</v>
      </c>
      <c r="I17" s="56"/>
      <c r="J17" s="523">
        <f t="shared" ref="J17" si="11">I17/AI17*100</f>
        <v>0</v>
      </c>
      <c r="K17" s="674"/>
      <c r="L17" s="56">
        <v>4</v>
      </c>
      <c r="M17" s="44">
        <v>0</v>
      </c>
      <c r="N17" s="116"/>
      <c r="O17" s="34">
        <v>0</v>
      </c>
      <c r="P17" s="34"/>
      <c r="Q17" s="56">
        <v>0</v>
      </c>
      <c r="R17" s="34" t="s">
        <v>81</v>
      </c>
      <c r="S17" s="34" t="s">
        <v>81</v>
      </c>
      <c r="T17" s="34">
        <v>0</v>
      </c>
      <c r="U17" s="250">
        <v>0</v>
      </c>
      <c r="V17" s="34">
        <v>0</v>
      </c>
      <c r="W17" s="34"/>
      <c r="X17" s="45"/>
      <c r="Y17" s="68"/>
      <c r="Z17" s="69"/>
      <c r="AA17" s="69"/>
      <c r="AB17" s="69"/>
      <c r="AC17" s="59"/>
      <c r="AD17" s="34"/>
      <c r="AE17" s="34"/>
      <c r="AF17" s="21"/>
      <c r="AG17" s="34"/>
      <c r="AH17" s="45"/>
      <c r="AI17" s="269">
        <v>2408</v>
      </c>
      <c r="AJ17" s="542">
        <f>SUM(C18:AH18)</f>
        <v>49</v>
      </c>
      <c r="AK17" s="847"/>
      <c r="AL17" s="847"/>
      <c r="AM17" s="847"/>
      <c r="AN17" s="847"/>
      <c r="AO17" s="847"/>
      <c r="AP17" s="847"/>
      <c r="AQ17" s="847"/>
      <c r="AR17" s="847"/>
      <c r="AS17" s="847"/>
      <c r="AT17" s="847"/>
      <c r="AU17" s="847"/>
      <c r="AV17" s="847"/>
      <c r="AW17" s="847"/>
      <c r="AX17" s="847"/>
      <c r="AY17" s="847"/>
      <c r="AZ17" s="847"/>
      <c r="BA17" s="847"/>
      <c r="BB17" s="847"/>
      <c r="BC17" s="847"/>
      <c r="BD17" s="847"/>
      <c r="BE17" s="847"/>
      <c r="BF17" s="847"/>
      <c r="BG17" s="847"/>
      <c r="BH17" s="847"/>
      <c r="BI17" s="847"/>
      <c r="BJ17" s="847"/>
      <c r="BK17" s="847"/>
      <c r="BL17" s="847"/>
      <c r="BM17" s="847"/>
      <c r="BN17" s="847"/>
      <c r="BO17" s="847"/>
      <c r="BP17" s="847"/>
      <c r="BQ17" s="847"/>
      <c r="BR17" s="847"/>
      <c r="BS17" s="847"/>
      <c r="BT17" s="847"/>
      <c r="BU17" s="847"/>
      <c r="BV17" s="847"/>
      <c r="BW17" s="847"/>
      <c r="BX17" s="847"/>
      <c r="BY17" s="847"/>
      <c r="BZ17" s="847"/>
      <c r="CA17" s="847"/>
      <c r="CB17" s="847"/>
      <c r="CC17" s="847"/>
      <c r="CD17" s="847"/>
      <c r="CE17" s="847"/>
      <c r="CF17" s="847"/>
      <c r="CG17" s="847"/>
      <c r="CH17" s="847"/>
      <c r="CI17" s="847"/>
      <c r="CJ17" s="847"/>
      <c r="CK17" s="847"/>
      <c r="CL17" s="847"/>
      <c r="CM17" s="847"/>
      <c r="CN17" s="847"/>
      <c r="CO17" s="847"/>
      <c r="CP17" s="847"/>
      <c r="CQ17" s="847"/>
      <c r="CR17" s="847"/>
      <c r="CS17" s="847"/>
      <c r="CT17" s="847"/>
      <c r="CU17" s="847"/>
      <c r="CV17" s="847"/>
      <c r="CW17" s="847"/>
      <c r="CX17" s="847"/>
      <c r="CY17" s="847"/>
      <c r="CZ17" s="847"/>
      <c r="DA17" s="847"/>
      <c r="DB17" s="847"/>
      <c r="DC17" s="847"/>
      <c r="DD17" s="847"/>
      <c r="DE17" s="847"/>
      <c r="DF17" s="847"/>
      <c r="DG17" s="847"/>
      <c r="DH17" s="847"/>
      <c r="DI17" s="847"/>
      <c r="DJ17" s="847"/>
    </row>
    <row r="18" spans="1:114" s="27" customFormat="1" ht="19.5" thickBot="1">
      <c r="A18" s="218"/>
      <c r="B18" s="229"/>
      <c r="C18" s="224"/>
      <c r="D18" s="224"/>
      <c r="E18" s="222"/>
      <c r="F18" s="207">
        <v>10</v>
      </c>
      <c r="G18" s="222"/>
      <c r="H18" s="207">
        <v>0</v>
      </c>
      <c r="I18" s="222"/>
      <c r="J18" s="207">
        <v>9</v>
      </c>
      <c r="K18" s="224"/>
      <c r="L18" s="222">
        <v>10</v>
      </c>
      <c r="M18" s="223">
        <v>10</v>
      </c>
      <c r="N18" s="223"/>
      <c r="O18" s="224">
        <v>10</v>
      </c>
      <c r="P18" s="224"/>
      <c r="Q18" s="222">
        <v>0</v>
      </c>
      <c r="R18" s="224">
        <v>0</v>
      </c>
      <c r="S18" s="224">
        <v>0</v>
      </c>
      <c r="T18" s="224">
        <v>0</v>
      </c>
      <c r="U18" s="251">
        <v>0</v>
      </c>
      <c r="V18" s="224">
        <v>0</v>
      </c>
      <c r="W18" s="224"/>
      <c r="X18" s="225"/>
      <c r="Y18" s="226"/>
      <c r="Z18" s="224"/>
      <c r="AA18" s="224"/>
      <c r="AB18" s="224"/>
      <c r="AC18" s="227"/>
      <c r="AD18" s="224"/>
      <c r="AE18" s="224"/>
      <c r="AF18" s="228"/>
      <c r="AG18" s="224"/>
      <c r="AH18" s="225"/>
      <c r="AI18" s="271"/>
      <c r="AJ18" s="108"/>
      <c r="AK18" s="847"/>
      <c r="AL18" s="847"/>
      <c r="AM18" s="847"/>
      <c r="AN18" s="847"/>
      <c r="AO18" s="847"/>
      <c r="AP18" s="847"/>
      <c r="AQ18" s="847"/>
      <c r="AR18" s="847"/>
      <c r="AS18" s="847"/>
      <c r="AT18" s="847"/>
      <c r="AU18" s="847"/>
      <c r="AV18" s="847"/>
      <c r="AW18" s="847"/>
      <c r="AX18" s="847"/>
      <c r="AY18" s="847"/>
      <c r="AZ18" s="847"/>
      <c r="BA18" s="847"/>
      <c r="BB18" s="847"/>
      <c r="BC18" s="847"/>
      <c r="BD18" s="847"/>
      <c r="BE18" s="847"/>
      <c r="BF18" s="847"/>
      <c r="BG18" s="847"/>
      <c r="BH18" s="847"/>
      <c r="BI18" s="847"/>
      <c r="BJ18" s="847"/>
      <c r="BK18" s="847"/>
      <c r="BL18" s="847"/>
      <c r="BM18" s="847"/>
      <c r="BN18" s="847"/>
      <c r="BO18" s="847"/>
      <c r="BP18" s="847"/>
      <c r="BQ18" s="847"/>
      <c r="BR18" s="847"/>
      <c r="BS18" s="847"/>
      <c r="BT18" s="847"/>
      <c r="BU18" s="847"/>
      <c r="BV18" s="847"/>
      <c r="BW18" s="847"/>
      <c r="BX18" s="847"/>
      <c r="BY18" s="847"/>
      <c r="BZ18" s="847"/>
      <c r="CA18" s="847"/>
      <c r="CB18" s="847"/>
      <c r="CC18" s="847"/>
      <c r="CD18" s="847"/>
      <c r="CE18" s="847"/>
      <c r="CF18" s="847"/>
      <c r="CG18" s="847"/>
      <c r="CH18" s="847"/>
      <c r="CI18" s="847"/>
      <c r="CJ18" s="847"/>
      <c r="CK18" s="847"/>
      <c r="CL18" s="847"/>
      <c r="CM18" s="847"/>
      <c r="CN18" s="847"/>
      <c r="CO18" s="847"/>
      <c r="CP18" s="847"/>
      <c r="CQ18" s="847"/>
      <c r="CR18" s="847"/>
      <c r="CS18" s="847"/>
      <c r="CT18" s="847"/>
      <c r="CU18" s="847"/>
      <c r="CV18" s="847"/>
      <c r="CW18" s="847"/>
      <c r="CX18" s="847"/>
      <c r="CY18" s="847"/>
      <c r="CZ18" s="847"/>
      <c r="DA18" s="847"/>
      <c r="DB18" s="847"/>
      <c r="DC18" s="847"/>
      <c r="DD18" s="847"/>
      <c r="DE18" s="847"/>
      <c r="DF18" s="847"/>
      <c r="DG18" s="847"/>
      <c r="DH18" s="847"/>
      <c r="DI18" s="847"/>
      <c r="DJ18" s="847"/>
    </row>
    <row r="19" spans="1:114" ht="19.5" thickBot="1">
      <c r="A19" s="19">
        <v>6</v>
      </c>
      <c r="B19" s="20" t="s">
        <v>9</v>
      </c>
      <c r="C19" s="34">
        <v>120</v>
      </c>
      <c r="D19" s="34"/>
      <c r="E19" s="56">
        <v>0</v>
      </c>
      <c r="F19" s="533">
        <f t="shared" ref="F19" si="12">E19/AI19*100</f>
        <v>0</v>
      </c>
      <c r="G19" s="56">
        <v>23</v>
      </c>
      <c r="H19" s="523">
        <f t="shared" ref="H19" si="13">G19/AI19*100</f>
        <v>0.10532100009158349</v>
      </c>
      <c r="I19" s="56"/>
      <c r="J19" s="523">
        <f t="shared" ref="J19" si="14">I19/AI19*100</f>
        <v>0</v>
      </c>
      <c r="K19" s="674"/>
      <c r="L19" s="56">
        <v>1</v>
      </c>
      <c r="M19" s="44">
        <v>0</v>
      </c>
      <c r="N19" s="116"/>
      <c r="O19" s="40">
        <v>0</v>
      </c>
      <c r="P19" s="40"/>
      <c r="Q19" s="56">
        <v>110</v>
      </c>
      <c r="R19" s="40" t="s">
        <v>81</v>
      </c>
      <c r="S19" s="40" t="s">
        <v>81</v>
      </c>
      <c r="T19" s="40">
        <v>65.319999999999993</v>
      </c>
      <c r="U19" s="250">
        <f>117*100/C19</f>
        <v>97.5</v>
      </c>
      <c r="V19" s="40">
        <v>0</v>
      </c>
      <c r="W19" s="34"/>
      <c r="X19" s="45"/>
      <c r="Y19" s="68">
        <v>80.56</v>
      </c>
      <c r="Z19" s="69">
        <v>77.78</v>
      </c>
      <c r="AA19" s="69">
        <v>77.78</v>
      </c>
      <c r="AB19" s="69">
        <v>100</v>
      </c>
      <c r="AC19" s="59"/>
      <c r="AD19" s="34"/>
      <c r="AE19" s="34"/>
      <c r="AF19" s="21"/>
      <c r="AG19" s="34"/>
      <c r="AH19" s="45"/>
      <c r="AI19" s="267">
        <f>21838</f>
        <v>21838</v>
      </c>
      <c r="AJ19" s="543">
        <f>SUM(C20:AH20)</f>
        <v>96.2</v>
      </c>
      <c r="AK19" s="847"/>
      <c r="AL19" s="847"/>
      <c r="AM19" s="847"/>
      <c r="AN19" s="847"/>
      <c r="AO19" s="847"/>
      <c r="AP19" s="847"/>
      <c r="AQ19" s="847"/>
      <c r="AR19" s="847"/>
      <c r="AS19" s="847"/>
      <c r="AT19" s="847"/>
      <c r="AU19" s="847"/>
      <c r="AV19" s="847"/>
      <c r="AW19" s="847"/>
      <c r="AX19" s="847"/>
      <c r="AY19" s="847"/>
      <c r="AZ19" s="847"/>
      <c r="BA19" s="847"/>
      <c r="BB19" s="847"/>
      <c r="BC19" s="847"/>
      <c r="BD19" s="847"/>
      <c r="BE19" s="847"/>
      <c r="BF19" s="847"/>
      <c r="BG19" s="847"/>
      <c r="BH19" s="847"/>
      <c r="BI19" s="847"/>
      <c r="BJ19" s="847"/>
      <c r="BK19" s="847"/>
      <c r="BL19" s="847"/>
      <c r="BM19" s="847"/>
      <c r="BN19" s="847"/>
      <c r="BO19" s="847"/>
      <c r="BP19" s="847"/>
      <c r="BQ19" s="847"/>
      <c r="BR19" s="847"/>
      <c r="BS19" s="847"/>
      <c r="BT19" s="847"/>
      <c r="BU19" s="847"/>
      <c r="BV19" s="847"/>
      <c r="BW19" s="847"/>
      <c r="BX19" s="847"/>
      <c r="BY19" s="847"/>
      <c r="BZ19" s="847"/>
      <c r="CA19" s="847"/>
      <c r="CB19" s="847"/>
      <c r="CC19" s="847"/>
      <c r="CD19" s="847"/>
      <c r="CE19" s="847"/>
      <c r="CF19" s="847"/>
      <c r="CG19" s="847"/>
      <c r="CH19" s="847"/>
      <c r="CI19" s="847"/>
      <c r="CJ19" s="847"/>
      <c r="CK19" s="847"/>
      <c r="CL19" s="847"/>
      <c r="CM19" s="847"/>
      <c r="CN19" s="847"/>
      <c r="CO19" s="847"/>
      <c r="CP19" s="847"/>
      <c r="CQ19" s="847"/>
      <c r="CR19" s="847"/>
      <c r="CS19" s="847"/>
      <c r="CT19" s="847"/>
      <c r="CU19" s="847"/>
      <c r="CV19" s="847"/>
      <c r="CW19" s="847"/>
      <c r="CX19" s="847"/>
      <c r="CY19" s="847"/>
      <c r="CZ19" s="847"/>
      <c r="DA19" s="847"/>
      <c r="DB19" s="847"/>
      <c r="DC19" s="847"/>
      <c r="DD19" s="847"/>
      <c r="DE19" s="847"/>
      <c r="DF19" s="847"/>
      <c r="DG19" s="847"/>
      <c r="DH19" s="847"/>
      <c r="DI19" s="847"/>
      <c r="DJ19" s="847"/>
    </row>
    <row r="20" spans="1:114" s="27" customFormat="1" ht="19.5" thickBot="1">
      <c r="A20" s="203"/>
      <c r="B20" s="204"/>
      <c r="C20" s="205"/>
      <c r="D20" s="205"/>
      <c r="E20" s="207"/>
      <c r="F20" s="207">
        <v>0</v>
      </c>
      <c r="G20" s="207"/>
      <c r="H20" s="207">
        <v>5</v>
      </c>
      <c r="I20" s="207"/>
      <c r="J20" s="207">
        <v>0</v>
      </c>
      <c r="K20" s="205">
        <v>-0.8</v>
      </c>
      <c r="L20" s="207">
        <v>10</v>
      </c>
      <c r="M20" s="206">
        <v>10</v>
      </c>
      <c r="N20" s="206"/>
      <c r="O20" s="215">
        <v>10</v>
      </c>
      <c r="P20" s="215"/>
      <c r="Q20" s="207">
        <v>10</v>
      </c>
      <c r="R20" s="215">
        <v>0</v>
      </c>
      <c r="S20" s="215">
        <v>0</v>
      </c>
      <c r="T20" s="215">
        <v>7</v>
      </c>
      <c r="U20" s="249">
        <v>10</v>
      </c>
      <c r="V20" s="215">
        <v>0</v>
      </c>
      <c r="W20" s="205"/>
      <c r="X20" s="208"/>
      <c r="Y20" s="209">
        <v>9</v>
      </c>
      <c r="Z20" s="205">
        <v>8</v>
      </c>
      <c r="AA20" s="205">
        <v>8</v>
      </c>
      <c r="AB20" s="205">
        <v>10</v>
      </c>
      <c r="AC20" s="210"/>
      <c r="AD20" s="205"/>
      <c r="AE20" s="205"/>
      <c r="AF20" s="211"/>
      <c r="AG20" s="205"/>
      <c r="AH20" s="208"/>
      <c r="AI20" s="268"/>
      <c r="AJ20" s="104"/>
      <c r="AK20" s="847"/>
      <c r="AL20" s="847"/>
      <c r="AM20" s="847"/>
      <c r="AN20" s="847"/>
      <c r="AO20" s="847"/>
      <c r="AP20" s="847"/>
      <c r="AQ20" s="847"/>
      <c r="AR20" s="847"/>
      <c r="AS20" s="847"/>
      <c r="AT20" s="847"/>
      <c r="AU20" s="847"/>
      <c r="AV20" s="847"/>
      <c r="AW20" s="847"/>
      <c r="AX20" s="847"/>
      <c r="AY20" s="847"/>
      <c r="AZ20" s="847"/>
      <c r="BA20" s="847"/>
      <c r="BB20" s="847"/>
      <c r="BC20" s="847"/>
      <c r="BD20" s="847"/>
      <c r="BE20" s="847"/>
      <c r="BF20" s="847"/>
      <c r="BG20" s="847"/>
      <c r="BH20" s="847"/>
      <c r="BI20" s="847"/>
      <c r="BJ20" s="847"/>
      <c r="BK20" s="847"/>
      <c r="BL20" s="847"/>
      <c r="BM20" s="847"/>
      <c r="BN20" s="847"/>
      <c r="BO20" s="847"/>
      <c r="BP20" s="847"/>
      <c r="BQ20" s="847"/>
      <c r="BR20" s="847"/>
      <c r="BS20" s="847"/>
      <c r="BT20" s="847"/>
      <c r="BU20" s="847"/>
      <c r="BV20" s="847"/>
      <c r="BW20" s="847"/>
      <c r="BX20" s="847"/>
      <c r="BY20" s="847"/>
      <c r="BZ20" s="847"/>
      <c r="CA20" s="847"/>
      <c r="CB20" s="847"/>
      <c r="CC20" s="847"/>
      <c r="CD20" s="847"/>
      <c r="CE20" s="847"/>
      <c r="CF20" s="847"/>
      <c r="CG20" s="847"/>
      <c r="CH20" s="847"/>
      <c r="CI20" s="847"/>
      <c r="CJ20" s="847"/>
      <c r="CK20" s="847"/>
      <c r="CL20" s="847"/>
      <c r="CM20" s="847"/>
      <c r="CN20" s="847"/>
      <c r="CO20" s="847"/>
      <c r="CP20" s="847"/>
      <c r="CQ20" s="847"/>
      <c r="CR20" s="847"/>
      <c r="CS20" s="847"/>
      <c r="CT20" s="847"/>
      <c r="CU20" s="847"/>
      <c r="CV20" s="847"/>
      <c r="CW20" s="847"/>
      <c r="CX20" s="847"/>
      <c r="CY20" s="847"/>
      <c r="CZ20" s="847"/>
      <c r="DA20" s="847"/>
      <c r="DB20" s="847"/>
      <c r="DC20" s="847"/>
      <c r="DD20" s="847"/>
      <c r="DE20" s="847"/>
      <c r="DF20" s="847"/>
      <c r="DG20" s="847"/>
      <c r="DH20" s="847"/>
      <c r="DI20" s="847"/>
      <c r="DJ20" s="847"/>
    </row>
    <row r="21" spans="1:114" s="3" customFormat="1" ht="19.5" thickBot="1">
      <c r="A21" s="19">
        <v>7</v>
      </c>
      <c r="B21" s="20" t="s">
        <v>10</v>
      </c>
      <c r="C21" s="48">
        <v>20</v>
      </c>
      <c r="D21" s="42"/>
      <c r="E21" s="56">
        <v>0</v>
      </c>
      <c r="F21" s="533">
        <f t="shared" ref="F21" si="15">E21/AI21*100</f>
        <v>0</v>
      </c>
      <c r="G21" s="56">
        <v>6</v>
      </c>
      <c r="H21" s="523">
        <f t="shared" ref="H21" si="16">G21/AI21*100</f>
        <v>4.6634540649774597E-2</v>
      </c>
      <c r="I21" s="56"/>
      <c r="J21" s="523">
        <f t="shared" ref="J21" si="17">I21/AI21*100</f>
        <v>0</v>
      </c>
      <c r="K21" s="675"/>
      <c r="L21" s="74">
        <v>0</v>
      </c>
      <c r="M21" s="246">
        <v>0</v>
      </c>
      <c r="N21" s="247"/>
      <c r="O21" s="34">
        <v>0</v>
      </c>
      <c r="P21" s="34"/>
      <c r="Q21" s="56">
        <v>18</v>
      </c>
      <c r="R21" s="34" t="s">
        <v>81</v>
      </c>
      <c r="S21" s="34" t="s">
        <v>81</v>
      </c>
      <c r="T21" s="40">
        <v>40.5</v>
      </c>
      <c r="U21" s="250">
        <f>17*100/C21</f>
        <v>85</v>
      </c>
      <c r="V21" s="40">
        <v>0</v>
      </c>
      <c r="W21" s="34"/>
      <c r="X21" s="45"/>
      <c r="Y21" s="68">
        <v>95</v>
      </c>
      <c r="Z21" s="69">
        <v>85</v>
      </c>
      <c r="AA21" s="69">
        <v>85</v>
      </c>
      <c r="AB21" s="69">
        <v>100</v>
      </c>
      <c r="AC21" s="59"/>
      <c r="AD21" s="34"/>
      <c r="AE21" s="34"/>
      <c r="AF21" s="21"/>
      <c r="AG21" s="34"/>
      <c r="AH21" s="45"/>
      <c r="AI21" s="269">
        <v>12866</v>
      </c>
      <c r="AJ21" s="542">
        <f>SUM(C22:AH22)</f>
        <v>105.2</v>
      </c>
      <c r="AK21" s="847"/>
      <c r="AL21" s="847"/>
      <c r="AM21" s="847"/>
      <c r="AN21" s="847"/>
      <c r="AO21" s="847"/>
      <c r="AP21" s="847"/>
      <c r="AQ21" s="847"/>
      <c r="AR21" s="847"/>
      <c r="AS21" s="847"/>
      <c r="AT21" s="847"/>
      <c r="AU21" s="847"/>
      <c r="AV21" s="847"/>
      <c r="AW21" s="847"/>
      <c r="AX21" s="847"/>
      <c r="AY21" s="847"/>
      <c r="AZ21" s="847"/>
      <c r="BA21" s="847"/>
      <c r="BB21" s="847"/>
      <c r="BC21" s="847"/>
      <c r="BD21" s="847"/>
      <c r="BE21" s="847"/>
      <c r="BF21" s="847"/>
      <c r="BG21" s="847"/>
      <c r="BH21" s="847"/>
      <c r="BI21" s="847"/>
      <c r="BJ21" s="847"/>
      <c r="BK21" s="847"/>
      <c r="BL21" s="847"/>
      <c r="BM21" s="847"/>
      <c r="BN21" s="847"/>
      <c r="BO21" s="847"/>
      <c r="BP21" s="847"/>
      <c r="BQ21" s="847"/>
      <c r="BR21" s="847"/>
      <c r="BS21" s="847"/>
      <c r="BT21" s="847"/>
      <c r="BU21" s="847"/>
      <c r="BV21" s="847"/>
      <c r="BW21" s="847"/>
      <c r="BX21" s="847"/>
      <c r="BY21" s="847"/>
      <c r="BZ21" s="847"/>
      <c r="CA21" s="847"/>
      <c r="CB21" s="847"/>
      <c r="CC21" s="847"/>
      <c r="CD21" s="847"/>
      <c r="CE21" s="847"/>
      <c r="CF21" s="847"/>
      <c r="CG21" s="847"/>
      <c r="CH21" s="847"/>
      <c r="CI21" s="847"/>
      <c r="CJ21" s="847"/>
      <c r="CK21" s="847"/>
      <c r="CL21" s="847"/>
      <c r="CM21" s="847"/>
      <c r="CN21" s="847"/>
      <c r="CO21" s="847"/>
      <c r="CP21" s="847"/>
      <c r="CQ21" s="847"/>
      <c r="CR21" s="847"/>
      <c r="CS21" s="847"/>
      <c r="CT21" s="847"/>
      <c r="CU21" s="847"/>
      <c r="CV21" s="847"/>
      <c r="CW21" s="847"/>
      <c r="CX21" s="847"/>
      <c r="CY21" s="847"/>
      <c r="CZ21" s="847"/>
      <c r="DA21" s="847"/>
      <c r="DB21" s="847"/>
      <c r="DC21" s="847"/>
      <c r="DD21" s="847"/>
      <c r="DE21" s="847"/>
      <c r="DF21" s="847"/>
      <c r="DG21" s="847"/>
      <c r="DH21" s="847"/>
      <c r="DI21" s="847"/>
      <c r="DJ21" s="847"/>
    </row>
    <row r="22" spans="1:114" s="76" customFormat="1" ht="19.5" thickBot="1">
      <c r="A22" s="203"/>
      <c r="B22" s="230"/>
      <c r="C22" s="214"/>
      <c r="D22" s="215"/>
      <c r="E22" s="207"/>
      <c r="F22" s="207">
        <v>8</v>
      </c>
      <c r="G22" s="207"/>
      <c r="H22" s="207">
        <v>8</v>
      </c>
      <c r="I22" s="207"/>
      <c r="J22" s="207">
        <v>8</v>
      </c>
      <c r="K22" s="215">
        <v>-0.8</v>
      </c>
      <c r="L22" s="231">
        <v>8</v>
      </c>
      <c r="M22" s="232">
        <v>10</v>
      </c>
      <c r="N22" s="232"/>
      <c r="O22" s="205">
        <v>10</v>
      </c>
      <c r="P22" s="205"/>
      <c r="Q22" s="207">
        <v>2</v>
      </c>
      <c r="R22" s="205">
        <v>0</v>
      </c>
      <c r="S22" s="205">
        <v>0</v>
      </c>
      <c r="T22" s="215">
        <v>5</v>
      </c>
      <c r="U22" s="249">
        <v>9</v>
      </c>
      <c r="V22" s="215">
        <v>0</v>
      </c>
      <c r="W22" s="205"/>
      <c r="X22" s="208"/>
      <c r="Y22" s="209">
        <v>10</v>
      </c>
      <c r="Z22" s="205">
        <v>9</v>
      </c>
      <c r="AA22" s="205">
        <v>9</v>
      </c>
      <c r="AB22" s="205">
        <v>10</v>
      </c>
      <c r="AC22" s="210"/>
      <c r="AD22" s="205"/>
      <c r="AE22" s="205"/>
      <c r="AF22" s="211"/>
      <c r="AG22" s="205"/>
      <c r="AH22" s="208"/>
      <c r="AI22" s="266"/>
      <c r="AJ22" s="108"/>
      <c r="AK22" s="847"/>
      <c r="AL22" s="847"/>
      <c r="AM22" s="847"/>
      <c r="AN22" s="847"/>
      <c r="AO22" s="847"/>
      <c r="AP22" s="847"/>
      <c r="AQ22" s="847"/>
      <c r="AR22" s="847"/>
      <c r="AS22" s="847"/>
      <c r="AT22" s="847"/>
      <c r="AU22" s="847"/>
      <c r="AV22" s="847"/>
      <c r="AW22" s="847"/>
      <c r="AX22" s="847"/>
      <c r="AY22" s="847"/>
      <c r="AZ22" s="847"/>
      <c r="BA22" s="847"/>
      <c r="BB22" s="847"/>
      <c r="BC22" s="847"/>
      <c r="BD22" s="847"/>
      <c r="BE22" s="847"/>
      <c r="BF22" s="847"/>
      <c r="BG22" s="847"/>
      <c r="BH22" s="847"/>
      <c r="BI22" s="847"/>
      <c r="BJ22" s="847"/>
      <c r="BK22" s="847"/>
      <c r="BL22" s="847"/>
      <c r="BM22" s="847"/>
      <c r="BN22" s="847"/>
      <c r="BO22" s="847"/>
      <c r="BP22" s="847"/>
      <c r="BQ22" s="847"/>
      <c r="BR22" s="847"/>
      <c r="BS22" s="847"/>
      <c r="BT22" s="847"/>
      <c r="BU22" s="847"/>
      <c r="BV22" s="847"/>
      <c r="BW22" s="847"/>
      <c r="BX22" s="847"/>
      <c r="BY22" s="847"/>
      <c r="BZ22" s="847"/>
      <c r="CA22" s="847"/>
      <c r="CB22" s="847"/>
      <c r="CC22" s="847"/>
      <c r="CD22" s="847"/>
      <c r="CE22" s="847"/>
      <c r="CF22" s="847"/>
      <c r="CG22" s="847"/>
      <c r="CH22" s="847"/>
      <c r="CI22" s="847"/>
      <c r="CJ22" s="847"/>
      <c r="CK22" s="847"/>
      <c r="CL22" s="847"/>
      <c r="CM22" s="847"/>
      <c r="CN22" s="847"/>
      <c r="CO22" s="847"/>
      <c r="CP22" s="847"/>
      <c r="CQ22" s="847"/>
      <c r="CR22" s="847"/>
      <c r="CS22" s="847"/>
      <c r="CT22" s="847"/>
      <c r="CU22" s="847"/>
      <c r="CV22" s="847"/>
      <c r="CW22" s="847"/>
      <c r="CX22" s="847"/>
      <c r="CY22" s="847"/>
      <c r="CZ22" s="847"/>
      <c r="DA22" s="847"/>
      <c r="DB22" s="847"/>
      <c r="DC22" s="847"/>
      <c r="DD22" s="847"/>
      <c r="DE22" s="847"/>
      <c r="DF22" s="847"/>
      <c r="DG22" s="847"/>
      <c r="DH22" s="847"/>
      <c r="DI22" s="847"/>
      <c r="DJ22" s="847"/>
    </row>
    <row r="23" spans="1:114" ht="19.5" thickBot="1">
      <c r="A23" s="19">
        <v>8</v>
      </c>
      <c r="B23" s="20" t="s">
        <v>58</v>
      </c>
      <c r="C23" s="48">
        <v>158</v>
      </c>
      <c r="D23" s="34"/>
      <c r="E23" s="56">
        <v>0</v>
      </c>
      <c r="F23" s="533">
        <f t="shared" ref="F23" si="18">E23/AI23*100</f>
        <v>0</v>
      </c>
      <c r="G23" s="56">
        <v>37</v>
      </c>
      <c r="H23" s="523">
        <f t="shared" ref="H23" si="19">G23/AI23*100</f>
        <v>6.9049174209200342E-2</v>
      </c>
      <c r="I23" s="56"/>
      <c r="J23" s="523">
        <f t="shared" ref="J23" si="20">I23/AI23*100</f>
        <v>0</v>
      </c>
      <c r="K23" s="676"/>
      <c r="L23" s="56">
        <v>31</v>
      </c>
      <c r="M23" s="44">
        <v>0</v>
      </c>
      <c r="N23" s="116"/>
      <c r="O23" s="34" t="s">
        <v>297</v>
      </c>
      <c r="P23" s="34"/>
      <c r="Q23" s="56">
        <v>80</v>
      </c>
      <c r="R23" s="34" t="s">
        <v>81</v>
      </c>
      <c r="S23" s="34" t="s">
        <v>81</v>
      </c>
      <c r="T23" s="34">
        <v>0.69</v>
      </c>
      <c r="U23" s="250">
        <f>66*100/C23</f>
        <v>41.77215189873418</v>
      </c>
      <c r="V23" s="34">
        <v>0</v>
      </c>
      <c r="W23" s="34"/>
      <c r="X23" s="45"/>
      <c r="Y23" s="69"/>
      <c r="Z23" s="69"/>
      <c r="AA23" s="69"/>
      <c r="AB23" s="69"/>
      <c r="AC23" s="59"/>
      <c r="AD23" s="34"/>
      <c r="AE23" s="34"/>
      <c r="AF23" s="21"/>
      <c r="AG23" s="34"/>
      <c r="AH23" s="45"/>
      <c r="AI23" s="267">
        <v>53585</v>
      </c>
      <c r="AJ23" s="543">
        <f>SUM(C24:AH24)</f>
        <v>57</v>
      </c>
      <c r="AK23" s="847"/>
      <c r="AL23" s="847"/>
      <c r="AM23" s="847"/>
      <c r="AN23" s="847"/>
      <c r="AO23" s="847"/>
      <c r="AP23" s="847"/>
      <c r="AQ23" s="847"/>
      <c r="AR23" s="847"/>
      <c r="AS23" s="847"/>
      <c r="AT23" s="847"/>
      <c r="AU23" s="847"/>
      <c r="AV23" s="847"/>
      <c r="AW23" s="847"/>
      <c r="AX23" s="847"/>
      <c r="AY23" s="847"/>
      <c r="AZ23" s="847"/>
      <c r="BA23" s="847"/>
      <c r="BB23" s="847"/>
      <c r="BC23" s="847"/>
      <c r="BD23" s="847"/>
      <c r="BE23" s="847"/>
      <c r="BF23" s="847"/>
      <c r="BG23" s="847"/>
      <c r="BH23" s="847"/>
      <c r="BI23" s="847"/>
      <c r="BJ23" s="847"/>
      <c r="BK23" s="847"/>
      <c r="BL23" s="847"/>
      <c r="BM23" s="847"/>
      <c r="BN23" s="847"/>
      <c r="BO23" s="847"/>
      <c r="BP23" s="847"/>
      <c r="BQ23" s="847"/>
      <c r="BR23" s="847"/>
      <c r="BS23" s="847"/>
      <c r="BT23" s="847"/>
      <c r="BU23" s="847"/>
      <c r="BV23" s="847"/>
      <c r="BW23" s="847"/>
      <c r="BX23" s="847"/>
      <c r="BY23" s="847"/>
      <c r="BZ23" s="847"/>
      <c r="CA23" s="847"/>
      <c r="CB23" s="847"/>
      <c r="CC23" s="847"/>
      <c r="CD23" s="847"/>
      <c r="CE23" s="847"/>
      <c r="CF23" s="847"/>
      <c r="CG23" s="847"/>
      <c r="CH23" s="847"/>
      <c r="CI23" s="847"/>
      <c r="CJ23" s="847"/>
      <c r="CK23" s="847"/>
      <c r="CL23" s="847"/>
      <c r="CM23" s="847"/>
      <c r="CN23" s="847"/>
      <c r="CO23" s="847"/>
      <c r="CP23" s="847"/>
      <c r="CQ23" s="847"/>
      <c r="CR23" s="847"/>
      <c r="CS23" s="847"/>
      <c r="CT23" s="847"/>
      <c r="CU23" s="847"/>
      <c r="CV23" s="847"/>
      <c r="CW23" s="847"/>
      <c r="CX23" s="847"/>
      <c r="CY23" s="847"/>
      <c r="CZ23" s="847"/>
      <c r="DA23" s="847"/>
      <c r="DB23" s="847"/>
      <c r="DC23" s="847"/>
      <c r="DD23" s="847"/>
      <c r="DE23" s="847"/>
      <c r="DF23" s="847"/>
      <c r="DG23" s="847"/>
      <c r="DH23" s="847"/>
      <c r="DI23" s="847"/>
      <c r="DJ23" s="847"/>
    </row>
    <row r="24" spans="1:114" s="27" customFormat="1" ht="19.5" thickBot="1">
      <c r="A24" s="218"/>
      <c r="B24" s="229"/>
      <c r="C24" s="220"/>
      <c r="D24" s="224"/>
      <c r="E24" s="222"/>
      <c r="F24" s="207">
        <v>7</v>
      </c>
      <c r="G24" s="222"/>
      <c r="H24" s="207">
        <v>9</v>
      </c>
      <c r="I24" s="222"/>
      <c r="J24" s="207">
        <v>4</v>
      </c>
      <c r="K24" s="224"/>
      <c r="L24" s="222">
        <v>3</v>
      </c>
      <c r="M24" s="223">
        <v>10</v>
      </c>
      <c r="N24" s="223"/>
      <c r="O24" s="224">
        <v>10</v>
      </c>
      <c r="P24" s="224"/>
      <c r="Q24" s="222">
        <v>9</v>
      </c>
      <c r="R24" s="224">
        <v>0</v>
      </c>
      <c r="S24" s="224">
        <v>0</v>
      </c>
      <c r="T24" s="224">
        <v>0</v>
      </c>
      <c r="U24" s="251">
        <v>5</v>
      </c>
      <c r="V24" s="224">
        <v>0</v>
      </c>
      <c r="W24" s="224"/>
      <c r="X24" s="225"/>
      <c r="Y24" s="224"/>
      <c r="Z24" s="224"/>
      <c r="AA24" s="224"/>
      <c r="AB24" s="224"/>
      <c r="AC24" s="227"/>
      <c r="AD24" s="224"/>
      <c r="AE24" s="224"/>
      <c r="AF24" s="228"/>
      <c r="AG24" s="224"/>
      <c r="AH24" s="225"/>
      <c r="AI24" s="270"/>
      <c r="AJ24" s="104"/>
      <c r="AK24" s="847"/>
      <c r="AL24" s="847"/>
      <c r="AM24" s="847"/>
      <c r="AN24" s="847"/>
      <c r="AO24" s="847"/>
      <c r="AP24" s="847"/>
      <c r="AQ24" s="847"/>
      <c r="AR24" s="847"/>
      <c r="AS24" s="847"/>
      <c r="AT24" s="847"/>
      <c r="AU24" s="847"/>
      <c r="AV24" s="847"/>
      <c r="AW24" s="847"/>
      <c r="AX24" s="847"/>
      <c r="AY24" s="847"/>
      <c r="AZ24" s="847"/>
      <c r="BA24" s="847"/>
      <c r="BB24" s="847"/>
      <c r="BC24" s="847"/>
      <c r="BD24" s="847"/>
      <c r="BE24" s="847"/>
      <c r="BF24" s="847"/>
      <c r="BG24" s="847"/>
      <c r="BH24" s="847"/>
      <c r="BI24" s="847"/>
      <c r="BJ24" s="847"/>
      <c r="BK24" s="847"/>
      <c r="BL24" s="847"/>
      <c r="BM24" s="847"/>
      <c r="BN24" s="847"/>
      <c r="BO24" s="847"/>
      <c r="BP24" s="847"/>
      <c r="BQ24" s="847"/>
      <c r="BR24" s="847"/>
      <c r="BS24" s="847"/>
      <c r="BT24" s="847"/>
      <c r="BU24" s="847"/>
      <c r="BV24" s="847"/>
      <c r="BW24" s="847"/>
      <c r="BX24" s="847"/>
      <c r="BY24" s="847"/>
      <c r="BZ24" s="847"/>
      <c r="CA24" s="847"/>
      <c r="CB24" s="847"/>
      <c r="CC24" s="847"/>
      <c r="CD24" s="847"/>
      <c r="CE24" s="847"/>
      <c r="CF24" s="847"/>
      <c r="CG24" s="847"/>
      <c r="CH24" s="847"/>
      <c r="CI24" s="847"/>
      <c r="CJ24" s="847"/>
      <c r="CK24" s="847"/>
      <c r="CL24" s="847"/>
      <c r="CM24" s="847"/>
      <c r="CN24" s="847"/>
      <c r="CO24" s="847"/>
      <c r="CP24" s="847"/>
      <c r="CQ24" s="847"/>
      <c r="CR24" s="847"/>
      <c r="CS24" s="847"/>
      <c r="CT24" s="847"/>
      <c r="CU24" s="847"/>
      <c r="CV24" s="847"/>
      <c r="CW24" s="847"/>
      <c r="CX24" s="847"/>
      <c r="CY24" s="847"/>
      <c r="CZ24" s="847"/>
      <c r="DA24" s="847"/>
      <c r="DB24" s="847"/>
      <c r="DC24" s="847"/>
      <c r="DD24" s="847"/>
      <c r="DE24" s="847"/>
      <c r="DF24" s="847"/>
      <c r="DG24" s="847"/>
      <c r="DH24" s="847"/>
      <c r="DI24" s="847"/>
      <c r="DJ24" s="847"/>
    </row>
    <row r="25" spans="1:114" ht="19.5" thickBot="1">
      <c r="A25" s="19">
        <v>9</v>
      </c>
      <c r="B25" s="20" t="s">
        <v>14</v>
      </c>
      <c r="C25" s="48">
        <v>34</v>
      </c>
      <c r="D25" s="34"/>
      <c r="E25" s="56">
        <v>0</v>
      </c>
      <c r="F25" s="533">
        <f t="shared" ref="F25" si="21">E25/AI25*100</f>
        <v>0</v>
      </c>
      <c r="G25" s="56">
        <v>0</v>
      </c>
      <c r="H25" s="523">
        <f t="shared" ref="H25" si="22">G25/AI25*100</f>
        <v>0</v>
      </c>
      <c r="I25" s="56"/>
      <c r="J25" s="523">
        <f t="shared" ref="J25" si="23">I25/AI25*100</f>
        <v>0</v>
      </c>
      <c r="K25" s="109"/>
      <c r="L25" s="56">
        <v>0</v>
      </c>
      <c r="M25" s="44">
        <v>0</v>
      </c>
      <c r="N25" s="116"/>
      <c r="O25" s="40">
        <v>0</v>
      </c>
      <c r="P25" s="40"/>
      <c r="Q25" s="56">
        <v>27</v>
      </c>
      <c r="R25" s="40" t="s">
        <v>81</v>
      </c>
      <c r="S25" s="40" t="s">
        <v>81</v>
      </c>
      <c r="T25" s="40">
        <v>0</v>
      </c>
      <c r="U25" s="250">
        <f>27*100/C25</f>
        <v>79.411764705882348</v>
      </c>
      <c r="V25" s="40">
        <v>0</v>
      </c>
      <c r="W25" s="34"/>
      <c r="X25" s="45"/>
      <c r="Y25" s="69">
        <v>96.67</v>
      </c>
      <c r="Z25" s="69">
        <v>93.33</v>
      </c>
      <c r="AA25" s="69">
        <v>93.33</v>
      </c>
      <c r="AB25" s="69">
        <v>66.900000000000006</v>
      </c>
      <c r="AC25" s="59"/>
      <c r="AD25" s="34"/>
      <c r="AE25" s="34"/>
      <c r="AF25" s="21"/>
      <c r="AG25" s="34"/>
      <c r="AH25" s="45"/>
      <c r="AI25" s="269">
        <v>21864</v>
      </c>
      <c r="AJ25" s="542">
        <f>SUM(C26:AH26)</f>
        <v>104</v>
      </c>
      <c r="AK25" s="847"/>
      <c r="AL25" s="847"/>
      <c r="AM25" s="847"/>
      <c r="AN25" s="847"/>
      <c r="AO25" s="847"/>
      <c r="AP25" s="847"/>
      <c r="AQ25" s="847"/>
      <c r="AR25" s="847"/>
      <c r="AS25" s="847"/>
      <c r="AT25" s="847"/>
      <c r="AU25" s="847"/>
      <c r="AV25" s="847"/>
      <c r="AW25" s="847"/>
      <c r="AX25" s="847"/>
      <c r="AY25" s="847"/>
      <c r="AZ25" s="847"/>
      <c r="BA25" s="847"/>
      <c r="BB25" s="847"/>
      <c r="BC25" s="847"/>
      <c r="BD25" s="847"/>
      <c r="BE25" s="847"/>
      <c r="BF25" s="847"/>
      <c r="BG25" s="847"/>
      <c r="BH25" s="847"/>
      <c r="BI25" s="847"/>
      <c r="BJ25" s="847"/>
      <c r="BK25" s="847"/>
      <c r="BL25" s="847"/>
      <c r="BM25" s="847"/>
      <c r="BN25" s="847"/>
      <c r="BO25" s="847"/>
      <c r="BP25" s="847"/>
      <c r="BQ25" s="847"/>
      <c r="BR25" s="847"/>
      <c r="BS25" s="847"/>
      <c r="BT25" s="847"/>
      <c r="BU25" s="847"/>
      <c r="BV25" s="847"/>
      <c r="BW25" s="847"/>
      <c r="BX25" s="847"/>
      <c r="BY25" s="847"/>
      <c r="BZ25" s="847"/>
      <c r="CA25" s="847"/>
      <c r="CB25" s="847"/>
      <c r="CC25" s="847"/>
      <c r="CD25" s="847"/>
      <c r="CE25" s="847"/>
      <c r="CF25" s="847"/>
      <c r="CG25" s="847"/>
      <c r="CH25" s="847"/>
      <c r="CI25" s="847"/>
      <c r="CJ25" s="847"/>
      <c r="CK25" s="847"/>
      <c r="CL25" s="847"/>
      <c r="CM25" s="847"/>
      <c r="CN25" s="847"/>
      <c r="CO25" s="847"/>
      <c r="CP25" s="847"/>
      <c r="CQ25" s="847"/>
      <c r="CR25" s="847"/>
      <c r="CS25" s="847"/>
      <c r="CT25" s="847"/>
      <c r="CU25" s="847"/>
      <c r="CV25" s="847"/>
      <c r="CW25" s="847"/>
      <c r="CX25" s="847"/>
      <c r="CY25" s="847"/>
      <c r="CZ25" s="847"/>
      <c r="DA25" s="847"/>
      <c r="DB25" s="847"/>
      <c r="DC25" s="847"/>
      <c r="DD25" s="847"/>
      <c r="DE25" s="847"/>
      <c r="DF25" s="847"/>
      <c r="DG25" s="847"/>
      <c r="DH25" s="847"/>
      <c r="DI25" s="847"/>
      <c r="DJ25" s="847"/>
    </row>
    <row r="26" spans="1:114" s="27" customFormat="1" ht="19.5" thickBot="1">
      <c r="A26" s="203"/>
      <c r="B26" s="204"/>
      <c r="C26" s="214"/>
      <c r="D26" s="205"/>
      <c r="E26" s="207"/>
      <c r="F26" s="207">
        <v>9</v>
      </c>
      <c r="G26" s="207"/>
      <c r="H26" s="207">
        <v>9</v>
      </c>
      <c r="I26" s="207"/>
      <c r="J26" s="207">
        <v>8</v>
      </c>
      <c r="K26" s="205"/>
      <c r="L26" s="207">
        <v>10</v>
      </c>
      <c r="M26" s="206">
        <v>10</v>
      </c>
      <c r="N26" s="206"/>
      <c r="O26" s="215">
        <v>10</v>
      </c>
      <c r="P26" s="215"/>
      <c r="Q26" s="207">
        <v>3</v>
      </c>
      <c r="R26" s="215">
        <v>0</v>
      </c>
      <c r="S26" s="215">
        <v>0</v>
      </c>
      <c r="T26" s="215">
        <v>0</v>
      </c>
      <c r="U26" s="249">
        <v>8</v>
      </c>
      <c r="V26" s="215">
        <v>0</v>
      </c>
      <c r="W26" s="205"/>
      <c r="X26" s="208"/>
      <c r="Y26" s="205">
        <v>10</v>
      </c>
      <c r="Z26" s="205">
        <v>10</v>
      </c>
      <c r="AA26" s="205">
        <v>10</v>
      </c>
      <c r="AB26" s="205">
        <v>7</v>
      </c>
      <c r="AC26" s="210"/>
      <c r="AD26" s="205"/>
      <c r="AE26" s="205"/>
      <c r="AF26" s="211"/>
      <c r="AG26" s="205"/>
      <c r="AH26" s="208"/>
      <c r="AI26" s="266"/>
      <c r="AJ26" s="108"/>
      <c r="AK26" s="847"/>
      <c r="AL26" s="847"/>
      <c r="AM26" s="847"/>
      <c r="AN26" s="847"/>
      <c r="AO26" s="847"/>
      <c r="AP26" s="847"/>
      <c r="AQ26" s="847"/>
      <c r="AR26" s="847"/>
      <c r="AS26" s="847"/>
      <c r="AT26" s="847"/>
      <c r="AU26" s="847"/>
      <c r="AV26" s="847"/>
      <c r="AW26" s="847"/>
      <c r="AX26" s="847"/>
      <c r="AY26" s="847"/>
      <c r="AZ26" s="847"/>
      <c r="BA26" s="847"/>
      <c r="BB26" s="847"/>
      <c r="BC26" s="847"/>
      <c r="BD26" s="847"/>
      <c r="BE26" s="847"/>
      <c r="BF26" s="847"/>
      <c r="BG26" s="847"/>
      <c r="BH26" s="847"/>
      <c r="BI26" s="847"/>
      <c r="BJ26" s="847"/>
      <c r="BK26" s="847"/>
      <c r="BL26" s="847"/>
      <c r="BM26" s="847"/>
      <c r="BN26" s="847"/>
      <c r="BO26" s="847"/>
      <c r="BP26" s="847"/>
      <c r="BQ26" s="847"/>
      <c r="BR26" s="847"/>
      <c r="BS26" s="847"/>
      <c r="BT26" s="847"/>
      <c r="BU26" s="847"/>
      <c r="BV26" s="847"/>
      <c r="BW26" s="847"/>
      <c r="BX26" s="847"/>
      <c r="BY26" s="847"/>
      <c r="BZ26" s="847"/>
      <c r="CA26" s="847"/>
      <c r="CB26" s="847"/>
      <c r="CC26" s="847"/>
      <c r="CD26" s="847"/>
      <c r="CE26" s="847"/>
      <c r="CF26" s="847"/>
      <c r="CG26" s="847"/>
      <c r="CH26" s="847"/>
      <c r="CI26" s="847"/>
      <c r="CJ26" s="847"/>
      <c r="CK26" s="847"/>
      <c r="CL26" s="847"/>
      <c r="CM26" s="847"/>
      <c r="CN26" s="847"/>
      <c r="CO26" s="847"/>
      <c r="CP26" s="847"/>
      <c r="CQ26" s="847"/>
      <c r="CR26" s="847"/>
      <c r="CS26" s="847"/>
      <c r="CT26" s="847"/>
      <c r="CU26" s="847"/>
      <c r="CV26" s="847"/>
      <c r="CW26" s="847"/>
      <c r="CX26" s="847"/>
      <c r="CY26" s="847"/>
      <c r="CZ26" s="847"/>
      <c r="DA26" s="847"/>
      <c r="DB26" s="847"/>
      <c r="DC26" s="847"/>
      <c r="DD26" s="847"/>
      <c r="DE26" s="847"/>
      <c r="DF26" s="847"/>
      <c r="DG26" s="847"/>
      <c r="DH26" s="847"/>
      <c r="DI26" s="847"/>
      <c r="DJ26" s="847"/>
    </row>
    <row r="27" spans="1:114" s="3" customFormat="1" ht="19.5" thickBot="1">
      <c r="A27" s="19">
        <v>10</v>
      </c>
      <c r="B27" s="20" t="s">
        <v>13</v>
      </c>
      <c r="C27" s="48">
        <v>8</v>
      </c>
      <c r="D27" s="37"/>
      <c r="E27" s="56">
        <v>0</v>
      </c>
      <c r="F27" s="533">
        <f t="shared" ref="F27" si="24">E27/AI27*100</f>
        <v>0</v>
      </c>
      <c r="G27" s="56">
        <v>2</v>
      </c>
      <c r="H27" s="523">
        <f t="shared" ref="H27" si="25">G27/AI27*100</f>
        <v>0.14114326040931546</v>
      </c>
      <c r="I27" s="56">
        <v>0</v>
      </c>
      <c r="J27" s="523">
        <f t="shared" ref="J27" si="26">I27/AI27*100</f>
        <v>0</v>
      </c>
      <c r="K27" s="37"/>
      <c r="L27" s="56">
        <v>2</v>
      </c>
      <c r="M27" s="44">
        <v>0</v>
      </c>
      <c r="N27" s="118"/>
      <c r="O27" s="40">
        <v>0</v>
      </c>
      <c r="P27" s="42"/>
      <c r="Q27" s="56">
        <v>7</v>
      </c>
      <c r="R27" s="40" t="s">
        <v>81</v>
      </c>
      <c r="S27" s="40" t="s">
        <v>81</v>
      </c>
      <c r="T27" s="34">
        <v>73.319999999999993</v>
      </c>
      <c r="U27" s="250">
        <v>0</v>
      </c>
      <c r="V27" s="40">
        <v>0</v>
      </c>
      <c r="W27" s="34"/>
      <c r="X27" s="45"/>
      <c r="Y27" s="69">
        <v>100</v>
      </c>
      <c r="Z27" s="69">
        <v>100</v>
      </c>
      <c r="AA27" s="69">
        <v>100</v>
      </c>
      <c r="AB27" s="69">
        <v>100</v>
      </c>
      <c r="AC27" s="59"/>
      <c r="AD27" s="34"/>
      <c r="AE27" s="34"/>
      <c r="AF27" s="21"/>
      <c r="AG27" s="34"/>
      <c r="AH27" s="45"/>
      <c r="AI27" s="267">
        <v>1417</v>
      </c>
      <c r="AJ27" s="543">
        <f>SUM(C28:AH28)</f>
        <v>89</v>
      </c>
      <c r="AK27" s="847"/>
      <c r="AL27" s="847"/>
      <c r="AM27" s="847"/>
      <c r="AN27" s="847"/>
      <c r="AO27" s="847"/>
      <c r="AP27" s="847"/>
      <c r="AQ27" s="847"/>
      <c r="AR27" s="847"/>
      <c r="AS27" s="847"/>
      <c r="AT27" s="847"/>
      <c r="AU27" s="847"/>
      <c r="AV27" s="847"/>
      <c r="AW27" s="847"/>
      <c r="AX27" s="847"/>
      <c r="AY27" s="847"/>
      <c r="AZ27" s="847"/>
      <c r="BA27" s="847"/>
      <c r="BB27" s="847"/>
      <c r="BC27" s="847"/>
      <c r="BD27" s="847"/>
      <c r="BE27" s="847"/>
      <c r="BF27" s="847"/>
      <c r="BG27" s="847"/>
      <c r="BH27" s="847"/>
      <c r="BI27" s="847"/>
      <c r="BJ27" s="847"/>
      <c r="BK27" s="847"/>
      <c r="BL27" s="847"/>
      <c r="BM27" s="847"/>
      <c r="BN27" s="847"/>
      <c r="BO27" s="847"/>
      <c r="BP27" s="847"/>
      <c r="BQ27" s="847"/>
      <c r="BR27" s="847"/>
      <c r="BS27" s="847"/>
      <c r="BT27" s="847"/>
      <c r="BU27" s="847"/>
      <c r="BV27" s="847"/>
      <c r="BW27" s="847"/>
      <c r="BX27" s="847"/>
      <c r="BY27" s="847"/>
      <c r="BZ27" s="847"/>
      <c r="CA27" s="847"/>
      <c r="CB27" s="847"/>
      <c r="CC27" s="847"/>
      <c r="CD27" s="847"/>
      <c r="CE27" s="847"/>
      <c r="CF27" s="847"/>
      <c r="CG27" s="847"/>
      <c r="CH27" s="847"/>
      <c r="CI27" s="847"/>
      <c r="CJ27" s="847"/>
      <c r="CK27" s="847"/>
      <c r="CL27" s="847"/>
      <c r="CM27" s="847"/>
      <c r="CN27" s="847"/>
      <c r="CO27" s="847"/>
      <c r="CP27" s="847"/>
      <c r="CQ27" s="847"/>
      <c r="CR27" s="847"/>
      <c r="CS27" s="847"/>
      <c r="CT27" s="847"/>
      <c r="CU27" s="847"/>
      <c r="CV27" s="847"/>
      <c r="CW27" s="847"/>
      <c r="CX27" s="847"/>
      <c r="CY27" s="847"/>
      <c r="CZ27" s="847"/>
      <c r="DA27" s="847"/>
      <c r="DB27" s="847"/>
      <c r="DC27" s="847"/>
      <c r="DD27" s="847"/>
      <c r="DE27" s="847"/>
      <c r="DF27" s="847"/>
      <c r="DG27" s="847"/>
      <c r="DH27" s="847"/>
      <c r="DI27" s="847"/>
      <c r="DJ27" s="847"/>
    </row>
    <row r="28" spans="1:114" s="31" customFormat="1" ht="19.5" thickBot="1">
      <c r="A28" s="203"/>
      <c r="B28" s="204"/>
      <c r="C28" s="214"/>
      <c r="D28" s="233"/>
      <c r="E28" s="207"/>
      <c r="F28" s="207">
        <v>0</v>
      </c>
      <c r="G28" s="207"/>
      <c r="H28" s="207">
        <v>1</v>
      </c>
      <c r="I28" s="207"/>
      <c r="J28" s="207">
        <v>10</v>
      </c>
      <c r="K28" s="233"/>
      <c r="L28" s="207">
        <v>10</v>
      </c>
      <c r="M28" s="206">
        <v>10</v>
      </c>
      <c r="N28" s="234"/>
      <c r="O28" s="215">
        <v>10</v>
      </c>
      <c r="P28" s="235"/>
      <c r="Q28" s="207">
        <v>0</v>
      </c>
      <c r="R28" s="215">
        <v>0</v>
      </c>
      <c r="S28" s="215">
        <v>0</v>
      </c>
      <c r="T28" s="205">
        <v>8</v>
      </c>
      <c r="U28" s="249">
        <v>0</v>
      </c>
      <c r="V28" s="215">
        <v>0</v>
      </c>
      <c r="W28" s="205"/>
      <c r="X28" s="208"/>
      <c r="Y28" s="205">
        <v>10</v>
      </c>
      <c r="Z28" s="205">
        <v>10</v>
      </c>
      <c r="AA28" s="205">
        <v>10</v>
      </c>
      <c r="AB28" s="205">
        <v>10</v>
      </c>
      <c r="AC28" s="210"/>
      <c r="AD28" s="205"/>
      <c r="AE28" s="205"/>
      <c r="AF28" s="211"/>
      <c r="AG28" s="205"/>
      <c r="AH28" s="208"/>
      <c r="AI28" s="268"/>
      <c r="AJ28" s="544"/>
      <c r="AK28" s="847"/>
      <c r="AL28" s="847"/>
      <c r="AM28" s="847"/>
      <c r="AN28" s="847"/>
      <c r="AO28" s="847"/>
      <c r="AP28" s="847"/>
      <c r="AQ28" s="847"/>
      <c r="AR28" s="847"/>
      <c r="AS28" s="847"/>
      <c r="AT28" s="847"/>
      <c r="AU28" s="847"/>
      <c r="AV28" s="847"/>
      <c r="AW28" s="847"/>
      <c r="AX28" s="847"/>
      <c r="AY28" s="847"/>
      <c r="AZ28" s="847"/>
      <c r="BA28" s="847"/>
      <c r="BB28" s="847"/>
      <c r="BC28" s="847"/>
      <c r="BD28" s="847"/>
      <c r="BE28" s="847"/>
      <c r="BF28" s="847"/>
      <c r="BG28" s="847"/>
      <c r="BH28" s="847"/>
      <c r="BI28" s="847"/>
      <c r="BJ28" s="847"/>
      <c r="BK28" s="847"/>
      <c r="BL28" s="847"/>
      <c r="BM28" s="847"/>
      <c r="BN28" s="847"/>
      <c r="BO28" s="847"/>
      <c r="BP28" s="847"/>
      <c r="BQ28" s="847"/>
      <c r="BR28" s="847"/>
      <c r="BS28" s="847"/>
      <c r="BT28" s="847"/>
      <c r="BU28" s="847"/>
      <c r="BV28" s="847"/>
      <c r="BW28" s="847"/>
      <c r="BX28" s="847"/>
      <c r="BY28" s="847"/>
      <c r="BZ28" s="847"/>
      <c r="CA28" s="847"/>
      <c r="CB28" s="847"/>
      <c r="CC28" s="847"/>
      <c r="CD28" s="847"/>
      <c r="CE28" s="847"/>
      <c r="CF28" s="847"/>
      <c r="CG28" s="847"/>
      <c r="CH28" s="847"/>
      <c r="CI28" s="847"/>
      <c r="CJ28" s="847"/>
      <c r="CK28" s="847"/>
      <c r="CL28" s="847"/>
      <c r="CM28" s="847"/>
      <c r="CN28" s="847"/>
      <c r="CO28" s="847"/>
      <c r="CP28" s="847"/>
      <c r="CQ28" s="847"/>
      <c r="CR28" s="847"/>
      <c r="CS28" s="847"/>
      <c r="CT28" s="847"/>
      <c r="CU28" s="847"/>
      <c r="CV28" s="847"/>
      <c r="CW28" s="847"/>
      <c r="CX28" s="847"/>
      <c r="CY28" s="847"/>
      <c r="CZ28" s="847"/>
      <c r="DA28" s="847"/>
      <c r="DB28" s="847"/>
      <c r="DC28" s="847"/>
      <c r="DD28" s="847"/>
      <c r="DE28" s="847"/>
      <c r="DF28" s="847"/>
      <c r="DG28" s="847"/>
      <c r="DH28" s="847"/>
      <c r="DI28" s="847"/>
      <c r="DJ28" s="847"/>
    </row>
    <row r="29" spans="1:114" s="4" customFormat="1" ht="19.5" thickBot="1">
      <c r="A29" s="19">
        <v>11</v>
      </c>
      <c r="B29" s="22" t="s">
        <v>11</v>
      </c>
      <c r="C29" s="54">
        <v>18</v>
      </c>
      <c r="D29" s="39"/>
      <c r="E29" s="64">
        <v>0</v>
      </c>
      <c r="F29" s="533">
        <f t="shared" ref="F29" si="27">E29/AI29*100</f>
        <v>0</v>
      </c>
      <c r="G29" s="64">
        <v>9</v>
      </c>
      <c r="H29" s="523">
        <f t="shared" ref="H29" si="28">G29/AI29*100</f>
        <v>8.3087149187592316E-2</v>
      </c>
      <c r="I29" s="64"/>
      <c r="J29" s="523">
        <f t="shared" ref="J29" si="29">I29/AI29*100</f>
        <v>0</v>
      </c>
      <c r="K29" s="243"/>
      <c r="L29" s="64">
        <v>1</v>
      </c>
      <c r="M29" s="115">
        <v>0</v>
      </c>
      <c r="N29" s="116"/>
      <c r="O29" s="39">
        <v>0</v>
      </c>
      <c r="P29" s="39"/>
      <c r="Q29" s="64">
        <v>0</v>
      </c>
      <c r="R29" s="39" t="s">
        <v>81</v>
      </c>
      <c r="S29" s="39" t="s">
        <v>81</v>
      </c>
      <c r="T29" s="39">
        <v>0</v>
      </c>
      <c r="U29" s="252">
        <f>2*100/C29</f>
        <v>11.111111111111111</v>
      </c>
      <c r="V29" s="39">
        <v>0</v>
      </c>
      <c r="W29" s="39"/>
      <c r="X29" s="55"/>
      <c r="Y29" s="66">
        <v>100</v>
      </c>
      <c r="Z29" s="66">
        <v>66.599999999999994</v>
      </c>
      <c r="AA29" s="66">
        <v>66.599999999999994</v>
      </c>
      <c r="AB29" s="66">
        <v>100</v>
      </c>
      <c r="AC29" s="63"/>
      <c r="AD29" s="39"/>
      <c r="AE29" s="39"/>
      <c r="AF29" s="23"/>
      <c r="AG29" s="39"/>
      <c r="AH29" s="55"/>
      <c r="AI29" s="272">
        <v>10832</v>
      </c>
      <c r="AJ29" s="542">
        <f>SUM(C30:AH30)</f>
        <v>85.2</v>
      </c>
      <c r="AK29" s="847"/>
      <c r="AL29" s="847"/>
      <c r="AM29" s="847"/>
      <c r="AN29" s="847"/>
      <c r="AO29" s="847"/>
      <c r="AP29" s="847"/>
      <c r="AQ29" s="847"/>
      <c r="AR29" s="847"/>
      <c r="AS29" s="847"/>
      <c r="AT29" s="847"/>
      <c r="AU29" s="847"/>
      <c r="AV29" s="847"/>
      <c r="AW29" s="847"/>
      <c r="AX29" s="847"/>
      <c r="AY29" s="847"/>
      <c r="AZ29" s="847"/>
      <c r="BA29" s="847"/>
      <c r="BB29" s="847"/>
      <c r="BC29" s="847"/>
      <c r="BD29" s="847"/>
      <c r="BE29" s="847"/>
      <c r="BF29" s="847"/>
      <c r="BG29" s="847"/>
      <c r="BH29" s="847"/>
      <c r="BI29" s="847"/>
      <c r="BJ29" s="847"/>
      <c r="BK29" s="847"/>
      <c r="BL29" s="847"/>
      <c r="BM29" s="847"/>
      <c r="BN29" s="847"/>
      <c r="BO29" s="847"/>
      <c r="BP29" s="847"/>
      <c r="BQ29" s="847"/>
      <c r="BR29" s="847"/>
      <c r="BS29" s="847"/>
      <c r="BT29" s="847"/>
      <c r="BU29" s="847"/>
      <c r="BV29" s="847"/>
      <c r="BW29" s="847"/>
      <c r="BX29" s="847"/>
      <c r="BY29" s="847"/>
      <c r="BZ29" s="847"/>
      <c r="CA29" s="847"/>
      <c r="CB29" s="847"/>
      <c r="CC29" s="847"/>
      <c r="CD29" s="847"/>
      <c r="CE29" s="847"/>
      <c r="CF29" s="847"/>
      <c r="CG29" s="847"/>
      <c r="CH29" s="847"/>
      <c r="CI29" s="847"/>
      <c r="CJ29" s="847"/>
      <c r="CK29" s="847"/>
      <c r="CL29" s="847"/>
      <c r="CM29" s="847"/>
      <c r="CN29" s="847"/>
      <c r="CO29" s="847"/>
      <c r="CP29" s="847"/>
      <c r="CQ29" s="847"/>
      <c r="CR29" s="847"/>
      <c r="CS29" s="847"/>
      <c r="CT29" s="847"/>
      <c r="CU29" s="847"/>
      <c r="CV29" s="847"/>
      <c r="CW29" s="847"/>
      <c r="CX29" s="847"/>
      <c r="CY29" s="847"/>
      <c r="CZ29" s="847"/>
      <c r="DA29" s="847"/>
      <c r="DB29" s="847"/>
      <c r="DC29" s="847"/>
      <c r="DD29" s="847"/>
      <c r="DE29" s="847"/>
      <c r="DF29" s="847"/>
      <c r="DG29" s="847"/>
      <c r="DH29" s="847"/>
      <c r="DI29" s="847"/>
      <c r="DJ29" s="847"/>
    </row>
    <row r="30" spans="1:114" s="27" customFormat="1" ht="19.5" thickBot="1">
      <c r="A30" s="218"/>
      <c r="B30" s="229"/>
      <c r="C30" s="220"/>
      <c r="D30" s="224"/>
      <c r="E30" s="222"/>
      <c r="F30" s="207">
        <v>8</v>
      </c>
      <c r="G30" s="222"/>
      <c r="H30" s="207">
        <v>8</v>
      </c>
      <c r="I30" s="222"/>
      <c r="J30" s="207">
        <v>7</v>
      </c>
      <c r="K30" s="224">
        <v>-0.8</v>
      </c>
      <c r="L30" s="222">
        <v>8</v>
      </c>
      <c r="M30" s="223">
        <v>10</v>
      </c>
      <c r="N30" s="223"/>
      <c r="O30" s="224">
        <v>10</v>
      </c>
      <c r="P30" s="224"/>
      <c r="Q30" s="222">
        <v>0</v>
      </c>
      <c r="R30" s="224">
        <v>0</v>
      </c>
      <c r="S30" s="224">
        <v>0</v>
      </c>
      <c r="T30" s="224">
        <v>0</v>
      </c>
      <c r="U30" s="251">
        <v>1</v>
      </c>
      <c r="V30" s="224">
        <v>0</v>
      </c>
      <c r="W30" s="224"/>
      <c r="X30" s="225"/>
      <c r="Y30" s="224">
        <v>10</v>
      </c>
      <c r="Z30" s="224">
        <v>7</v>
      </c>
      <c r="AA30" s="224">
        <v>7</v>
      </c>
      <c r="AB30" s="224">
        <v>10</v>
      </c>
      <c r="AC30" s="227"/>
      <c r="AD30" s="224"/>
      <c r="AE30" s="224"/>
      <c r="AF30" s="228"/>
      <c r="AG30" s="224"/>
      <c r="AH30" s="225"/>
      <c r="AI30" s="271"/>
      <c r="AJ30" s="108"/>
      <c r="AK30" s="847"/>
      <c r="AL30" s="847"/>
      <c r="AM30" s="847"/>
      <c r="AN30" s="847"/>
      <c r="AO30" s="847"/>
      <c r="AP30" s="847"/>
      <c r="AQ30" s="847"/>
      <c r="AR30" s="847"/>
      <c r="AS30" s="847"/>
      <c r="AT30" s="847"/>
      <c r="AU30" s="847"/>
      <c r="AV30" s="847"/>
      <c r="AW30" s="847"/>
      <c r="AX30" s="847"/>
      <c r="AY30" s="847"/>
      <c r="AZ30" s="847"/>
      <c r="BA30" s="847"/>
      <c r="BB30" s="847"/>
      <c r="BC30" s="847"/>
      <c r="BD30" s="847"/>
      <c r="BE30" s="847"/>
      <c r="BF30" s="847"/>
      <c r="BG30" s="847"/>
      <c r="BH30" s="847"/>
      <c r="BI30" s="847"/>
      <c r="BJ30" s="847"/>
      <c r="BK30" s="847"/>
      <c r="BL30" s="847"/>
      <c r="BM30" s="847"/>
      <c r="BN30" s="847"/>
      <c r="BO30" s="847"/>
      <c r="BP30" s="847"/>
      <c r="BQ30" s="847"/>
      <c r="BR30" s="847"/>
      <c r="BS30" s="847"/>
      <c r="BT30" s="847"/>
      <c r="BU30" s="847"/>
      <c r="BV30" s="847"/>
      <c r="BW30" s="847"/>
      <c r="BX30" s="847"/>
      <c r="BY30" s="847"/>
      <c r="BZ30" s="847"/>
      <c r="CA30" s="847"/>
      <c r="CB30" s="847"/>
      <c r="CC30" s="847"/>
      <c r="CD30" s="847"/>
      <c r="CE30" s="847"/>
      <c r="CF30" s="847"/>
      <c r="CG30" s="847"/>
      <c r="CH30" s="847"/>
      <c r="CI30" s="847"/>
      <c r="CJ30" s="847"/>
      <c r="CK30" s="847"/>
      <c r="CL30" s="847"/>
      <c r="CM30" s="847"/>
      <c r="CN30" s="847"/>
      <c r="CO30" s="847"/>
      <c r="CP30" s="847"/>
      <c r="CQ30" s="847"/>
      <c r="CR30" s="847"/>
      <c r="CS30" s="847"/>
      <c r="CT30" s="847"/>
      <c r="CU30" s="847"/>
      <c r="CV30" s="847"/>
      <c r="CW30" s="847"/>
      <c r="CX30" s="847"/>
      <c r="CY30" s="847"/>
      <c r="CZ30" s="847"/>
      <c r="DA30" s="847"/>
      <c r="DB30" s="847"/>
      <c r="DC30" s="847"/>
      <c r="DD30" s="847"/>
      <c r="DE30" s="847"/>
      <c r="DF30" s="847"/>
      <c r="DG30" s="847"/>
      <c r="DH30" s="847"/>
      <c r="DI30" s="847"/>
      <c r="DJ30" s="847"/>
    </row>
    <row r="31" spans="1:114" ht="19.5" thickBot="1">
      <c r="A31" s="19">
        <v>12</v>
      </c>
      <c r="B31" s="20" t="s">
        <v>59</v>
      </c>
      <c r="C31" s="48">
        <v>6</v>
      </c>
      <c r="D31" s="34"/>
      <c r="E31" s="56">
        <v>0</v>
      </c>
      <c r="F31" s="533">
        <f t="shared" ref="F31" si="30">E31/AI31*100</f>
        <v>0</v>
      </c>
      <c r="G31" s="56">
        <v>1</v>
      </c>
      <c r="H31" s="523">
        <f t="shared" ref="H31" si="31">G31/AI31*100</f>
        <v>9.2250922509225092E-2</v>
      </c>
      <c r="I31" s="56">
        <v>0</v>
      </c>
      <c r="J31" s="523">
        <f t="shared" ref="J31" si="32">I31/AI31*100</f>
        <v>0</v>
      </c>
      <c r="K31" s="109"/>
      <c r="L31" s="56">
        <v>1</v>
      </c>
      <c r="M31" s="44">
        <v>0</v>
      </c>
      <c r="N31" s="116"/>
      <c r="O31" s="34">
        <v>0</v>
      </c>
      <c r="P31" s="34"/>
      <c r="Q31" s="56">
        <v>2</v>
      </c>
      <c r="R31" s="34" t="s">
        <v>81</v>
      </c>
      <c r="S31" s="34" t="s">
        <v>81</v>
      </c>
      <c r="T31" s="34">
        <v>87.6</v>
      </c>
      <c r="U31" s="250">
        <v>0</v>
      </c>
      <c r="V31" s="34">
        <v>0</v>
      </c>
      <c r="W31" s="34"/>
      <c r="X31" s="45"/>
      <c r="Y31" s="69">
        <v>100</v>
      </c>
      <c r="Z31" s="69">
        <v>33.299999999999997</v>
      </c>
      <c r="AA31" s="69">
        <v>50</v>
      </c>
      <c r="AB31" s="69">
        <v>100</v>
      </c>
      <c r="AC31" s="59"/>
      <c r="AD31" s="34"/>
      <c r="AE31" s="34"/>
      <c r="AF31" s="21"/>
      <c r="AG31" s="34"/>
      <c r="AH31" s="45"/>
      <c r="AI31" s="267">
        <v>1084</v>
      </c>
      <c r="AJ31" s="543">
        <f>SUM(C32:AH32)</f>
        <v>95</v>
      </c>
      <c r="AK31" s="847"/>
      <c r="AL31" s="847"/>
      <c r="AM31" s="847"/>
      <c r="AN31" s="847"/>
      <c r="AO31" s="847"/>
      <c r="AP31" s="847"/>
      <c r="AQ31" s="847"/>
      <c r="AR31" s="847"/>
      <c r="AS31" s="847"/>
      <c r="AT31" s="847"/>
      <c r="AU31" s="847"/>
      <c r="AV31" s="847"/>
      <c r="AW31" s="847"/>
      <c r="AX31" s="847"/>
      <c r="AY31" s="847"/>
      <c r="AZ31" s="847"/>
      <c r="BA31" s="847"/>
      <c r="BB31" s="847"/>
      <c r="BC31" s="847"/>
      <c r="BD31" s="847"/>
      <c r="BE31" s="847"/>
      <c r="BF31" s="847"/>
      <c r="BG31" s="847"/>
      <c r="BH31" s="847"/>
      <c r="BI31" s="847"/>
      <c r="BJ31" s="847"/>
      <c r="BK31" s="847"/>
      <c r="BL31" s="847"/>
      <c r="BM31" s="847"/>
      <c r="BN31" s="847"/>
      <c r="BO31" s="847"/>
      <c r="BP31" s="847"/>
      <c r="BQ31" s="847"/>
      <c r="BR31" s="847"/>
      <c r="BS31" s="847"/>
      <c r="BT31" s="847"/>
      <c r="BU31" s="847"/>
      <c r="BV31" s="847"/>
      <c r="BW31" s="847"/>
      <c r="BX31" s="847"/>
      <c r="BY31" s="847"/>
      <c r="BZ31" s="847"/>
      <c r="CA31" s="847"/>
      <c r="CB31" s="847"/>
      <c r="CC31" s="847"/>
      <c r="CD31" s="847"/>
      <c r="CE31" s="847"/>
      <c r="CF31" s="847"/>
      <c r="CG31" s="847"/>
      <c r="CH31" s="847"/>
      <c r="CI31" s="847"/>
      <c r="CJ31" s="847"/>
      <c r="CK31" s="847"/>
      <c r="CL31" s="847"/>
      <c r="CM31" s="847"/>
      <c r="CN31" s="847"/>
      <c r="CO31" s="847"/>
      <c r="CP31" s="847"/>
      <c r="CQ31" s="847"/>
      <c r="CR31" s="847"/>
      <c r="CS31" s="847"/>
      <c r="CT31" s="847"/>
      <c r="CU31" s="847"/>
      <c r="CV31" s="847"/>
      <c r="CW31" s="847"/>
      <c r="CX31" s="847"/>
      <c r="CY31" s="847"/>
      <c r="CZ31" s="847"/>
      <c r="DA31" s="847"/>
      <c r="DB31" s="847"/>
      <c r="DC31" s="847"/>
      <c r="DD31" s="847"/>
      <c r="DE31" s="847"/>
      <c r="DF31" s="847"/>
      <c r="DG31" s="847"/>
      <c r="DH31" s="847"/>
      <c r="DI31" s="847"/>
      <c r="DJ31" s="847"/>
    </row>
    <row r="32" spans="1:114" s="27" customFormat="1" ht="19.5" thickBot="1">
      <c r="A32" s="203"/>
      <c r="B32" s="204"/>
      <c r="C32" s="214"/>
      <c r="D32" s="205"/>
      <c r="E32" s="207"/>
      <c r="F32" s="207">
        <v>10</v>
      </c>
      <c r="G32" s="207"/>
      <c r="H32" s="207">
        <v>6</v>
      </c>
      <c r="I32" s="207"/>
      <c r="J32" s="207">
        <v>10</v>
      </c>
      <c r="K32" s="205"/>
      <c r="L32" s="207">
        <v>10</v>
      </c>
      <c r="M32" s="206">
        <v>10</v>
      </c>
      <c r="N32" s="206"/>
      <c r="O32" s="205">
        <v>10</v>
      </c>
      <c r="P32" s="205"/>
      <c r="Q32" s="207">
        <v>0</v>
      </c>
      <c r="R32" s="205">
        <v>0</v>
      </c>
      <c r="S32" s="205">
        <v>0</v>
      </c>
      <c r="T32" s="205">
        <v>9</v>
      </c>
      <c r="U32" s="249">
        <v>0</v>
      </c>
      <c r="V32" s="205">
        <v>0</v>
      </c>
      <c r="W32" s="205"/>
      <c r="X32" s="208"/>
      <c r="Y32" s="205">
        <v>10</v>
      </c>
      <c r="Z32" s="205">
        <v>4</v>
      </c>
      <c r="AA32" s="205">
        <v>6</v>
      </c>
      <c r="AB32" s="205">
        <v>10</v>
      </c>
      <c r="AC32" s="210"/>
      <c r="AD32" s="205"/>
      <c r="AE32" s="205"/>
      <c r="AF32" s="211"/>
      <c r="AG32" s="205"/>
      <c r="AH32" s="208"/>
      <c r="AI32" s="268"/>
      <c r="AJ32" s="104"/>
      <c r="AK32" s="847"/>
      <c r="AL32" s="847"/>
      <c r="AM32" s="847"/>
      <c r="AN32" s="847"/>
      <c r="AO32" s="847"/>
      <c r="AP32" s="847"/>
      <c r="AQ32" s="847"/>
      <c r="AR32" s="847"/>
      <c r="AS32" s="847"/>
      <c r="AT32" s="847"/>
      <c r="AU32" s="847"/>
      <c r="AV32" s="847"/>
      <c r="AW32" s="847"/>
      <c r="AX32" s="847"/>
      <c r="AY32" s="847"/>
      <c r="AZ32" s="847"/>
      <c r="BA32" s="847"/>
      <c r="BB32" s="847"/>
      <c r="BC32" s="847"/>
      <c r="BD32" s="847"/>
      <c r="BE32" s="847"/>
      <c r="BF32" s="847"/>
      <c r="BG32" s="847"/>
      <c r="BH32" s="847"/>
      <c r="BI32" s="847"/>
      <c r="BJ32" s="847"/>
      <c r="BK32" s="847"/>
      <c r="BL32" s="847"/>
      <c r="BM32" s="847"/>
      <c r="BN32" s="847"/>
      <c r="BO32" s="847"/>
      <c r="BP32" s="847"/>
      <c r="BQ32" s="847"/>
      <c r="BR32" s="847"/>
      <c r="BS32" s="847"/>
      <c r="BT32" s="847"/>
      <c r="BU32" s="847"/>
      <c r="BV32" s="847"/>
      <c r="BW32" s="847"/>
      <c r="BX32" s="847"/>
      <c r="BY32" s="847"/>
      <c r="BZ32" s="847"/>
      <c r="CA32" s="847"/>
      <c r="CB32" s="847"/>
      <c r="CC32" s="847"/>
      <c r="CD32" s="847"/>
      <c r="CE32" s="847"/>
      <c r="CF32" s="847"/>
      <c r="CG32" s="847"/>
      <c r="CH32" s="847"/>
      <c r="CI32" s="847"/>
      <c r="CJ32" s="847"/>
      <c r="CK32" s="847"/>
      <c r="CL32" s="847"/>
      <c r="CM32" s="847"/>
      <c r="CN32" s="847"/>
      <c r="CO32" s="847"/>
      <c r="CP32" s="847"/>
      <c r="CQ32" s="847"/>
      <c r="CR32" s="847"/>
      <c r="CS32" s="847"/>
      <c r="CT32" s="847"/>
      <c r="CU32" s="847"/>
      <c r="CV32" s="847"/>
      <c r="CW32" s="847"/>
      <c r="CX32" s="847"/>
      <c r="CY32" s="847"/>
      <c r="CZ32" s="847"/>
      <c r="DA32" s="847"/>
      <c r="DB32" s="847"/>
      <c r="DC32" s="847"/>
      <c r="DD32" s="847"/>
      <c r="DE32" s="847"/>
      <c r="DF32" s="847"/>
      <c r="DG32" s="847"/>
      <c r="DH32" s="847"/>
      <c r="DI32" s="847"/>
      <c r="DJ32" s="847"/>
    </row>
    <row r="33" spans="1:114" s="3" customFormat="1" ht="19.5" thickBot="1">
      <c r="A33" s="19">
        <v>13</v>
      </c>
      <c r="B33" s="20" t="s">
        <v>12</v>
      </c>
      <c r="C33" s="48">
        <v>30</v>
      </c>
      <c r="D33" s="42"/>
      <c r="E33" s="56">
        <v>0</v>
      </c>
      <c r="F33" s="533">
        <f t="shared" ref="F33" si="33">E33/AI33*100</f>
        <v>0</v>
      </c>
      <c r="G33" s="56">
        <v>9</v>
      </c>
      <c r="H33" s="523">
        <f t="shared" ref="H33" si="34">G33/AI33*100</f>
        <v>0.13148283418553688</v>
      </c>
      <c r="I33" s="56"/>
      <c r="J33" s="523">
        <f t="shared" ref="J33" si="35">I33/AI33*100</f>
        <v>0</v>
      </c>
      <c r="K33" s="200"/>
      <c r="L33" s="56">
        <v>4</v>
      </c>
      <c r="M33" s="44">
        <v>0</v>
      </c>
      <c r="N33" s="118"/>
      <c r="O33" s="683">
        <v>0</v>
      </c>
      <c r="P33" s="37"/>
      <c r="Q33" s="56">
        <v>29</v>
      </c>
      <c r="R33" s="40" t="s">
        <v>81</v>
      </c>
      <c r="S33" s="40" t="s">
        <v>81</v>
      </c>
      <c r="T33" s="40">
        <v>1.4</v>
      </c>
      <c r="U33" s="250">
        <v>0</v>
      </c>
      <c r="V33" s="40">
        <v>0</v>
      </c>
      <c r="W33" s="34"/>
      <c r="X33" s="45"/>
      <c r="Y33" s="69"/>
      <c r="Z33" s="69"/>
      <c r="AA33" s="69"/>
      <c r="AB33" s="69"/>
      <c r="AC33" s="59"/>
      <c r="AD33" s="34"/>
      <c r="AE33" s="34"/>
      <c r="AF33" s="21"/>
      <c r="AG33" s="34"/>
      <c r="AH33" s="45"/>
      <c r="AI33" s="269">
        <f>6170+675</f>
        <v>6845</v>
      </c>
      <c r="AJ33" s="542">
        <f>SUM(C34:AH34)</f>
        <v>48.6</v>
      </c>
      <c r="AK33" s="847"/>
      <c r="AL33" s="847"/>
      <c r="AM33" s="847"/>
      <c r="AN33" s="847"/>
      <c r="AO33" s="847"/>
      <c r="AP33" s="847"/>
      <c r="AQ33" s="847"/>
      <c r="AR33" s="847"/>
      <c r="AS33" s="847"/>
      <c r="AT33" s="847"/>
      <c r="AU33" s="847"/>
      <c r="AV33" s="847"/>
      <c r="AW33" s="847"/>
      <c r="AX33" s="847"/>
      <c r="AY33" s="847"/>
      <c r="AZ33" s="847"/>
      <c r="BA33" s="847"/>
      <c r="BB33" s="847"/>
      <c r="BC33" s="847"/>
      <c r="BD33" s="847"/>
      <c r="BE33" s="847"/>
      <c r="BF33" s="847"/>
      <c r="BG33" s="847"/>
      <c r="BH33" s="847"/>
      <c r="BI33" s="847"/>
      <c r="BJ33" s="847"/>
      <c r="BK33" s="847"/>
      <c r="BL33" s="847"/>
      <c r="BM33" s="847"/>
      <c r="BN33" s="847"/>
      <c r="BO33" s="847"/>
      <c r="BP33" s="847"/>
      <c r="BQ33" s="847"/>
      <c r="BR33" s="847"/>
      <c r="BS33" s="847"/>
      <c r="BT33" s="847"/>
      <c r="BU33" s="847"/>
      <c r="BV33" s="847"/>
      <c r="BW33" s="847"/>
      <c r="BX33" s="847"/>
      <c r="BY33" s="847"/>
      <c r="BZ33" s="847"/>
      <c r="CA33" s="847"/>
      <c r="CB33" s="847"/>
      <c r="CC33" s="847"/>
      <c r="CD33" s="847"/>
      <c r="CE33" s="847"/>
      <c r="CF33" s="847"/>
      <c r="CG33" s="847"/>
      <c r="CH33" s="847"/>
      <c r="CI33" s="847"/>
      <c r="CJ33" s="847"/>
      <c r="CK33" s="847"/>
      <c r="CL33" s="847"/>
      <c r="CM33" s="847"/>
      <c r="CN33" s="847"/>
      <c r="CO33" s="847"/>
      <c r="CP33" s="847"/>
      <c r="CQ33" s="847"/>
      <c r="CR33" s="847"/>
      <c r="CS33" s="847"/>
      <c r="CT33" s="847"/>
      <c r="CU33" s="847"/>
      <c r="CV33" s="847"/>
      <c r="CW33" s="847"/>
      <c r="CX33" s="847"/>
      <c r="CY33" s="847"/>
      <c r="CZ33" s="847"/>
      <c r="DA33" s="847"/>
      <c r="DB33" s="847"/>
      <c r="DC33" s="847"/>
      <c r="DD33" s="847"/>
      <c r="DE33" s="847"/>
      <c r="DF33" s="847"/>
      <c r="DG33" s="847"/>
      <c r="DH33" s="847"/>
      <c r="DI33" s="847"/>
      <c r="DJ33" s="847"/>
    </row>
    <row r="34" spans="1:114" s="31" customFormat="1" ht="19.5" thickBot="1">
      <c r="A34" s="203"/>
      <c r="B34" s="204"/>
      <c r="C34" s="214"/>
      <c r="D34" s="235"/>
      <c r="E34" s="207"/>
      <c r="F34" s="207">
        <v>7</v>
      </c>
      <c r="G34" s="207"/>
      <c r="H34" s="207">
        <v>4</v>
      </c>
      <c r="I34" s="207"/>
      <c r="J34" s="207">
        <v>6</v>
      </c>
      <c r="K34" s="215">
        <v>-0.4</v>
      </c>
      <c r="L34" s="207">
        <v>9</v>
      </c>
      <c r="M34" s="206">
        <v>10</v>
      </c>
      <c r="N34" s="234"/>
      <c r="O34" s="205">
        <v>10</v>
      </c>
      <c r="P34" s="233"/>
      <c r="Q34" s="207">
        <v>3</v>
      </c>
      <c r="R34" s="215">
        <v>0</v>
      </c>
      <c r="S34" s="215">
        <v>0</v>
      </c>
      <c r="T34" s="215">
        <v>0</v>
      </c>
      <c r="U34" s="249">
        <v>0</v>
      </c>
      <c r="V34" s="215">
        <v>0</v>
      </c>
      <c r="W34" s="205"/>
      <c r="X34" s="208"/>
      <c r="Y34" s="205"/>
      <c r="Z34" s="205"/>
      <c r="AA34" s="205"/>
      <c r="AB34" s="205"/>
      <c r="AC34" s="210"/>
      <c r="AD34" s="205"/>
      <c r="AE34" s="205"/>
      <c r="AF34" s="211"/>
      <c r="AG34" s="205"/>
      <c r="AH34" s="208"/>
      <c r="AI34" s="266"/>
      <c r="AJ34" s="545"/>
      <c r="AK34" s="847"/>
      <c r="AL34" s="847"/>
      <c r="AM34" s="847"/>
      <c r="AN34" s="847"/>
      <c r="AO34" s="847"/>
      <c r="AP34" s="847"/>
      <c r="AQ34" s="847"/>
      <c r="AR34" s="847"/>
      <c r="AS34" s="847"/>
      <c r="AT34" s="847"/>
      <c r="AU34" s="847"/>
      <c r="AV34" s="847"/>
      <c r="AW34" s="847"/>
      <c r="AX34" s="847"/>
      <c r="AY34" s="847"/>
      <c r="AZ34" s="847"/>
      <c r="BA34" s="847"/>
      <c r="BB34" s="847"/>
      <c r="BC34" s="847"/>
      <c r="BD34" s="847"/>
      <c r="BE34" s="847"/>
      <c r="BF34" s="847"/>
      <c r="BG34" s="847"/>
      <c r="BH34" s="847"/>
      <c r="BI34" s="847"/>
      <c r="BJ34" s="847"/>
      <c r="BK34" s="847"/>
      <c r="BL34" s="847"/>
      <c r="BM34" s="847"/>
      <c r="BN34" s="847"/>
      <c r="BO34" s="847"/>
      <c r="BP34" s="847"/>
      <c r="BQ34" s="847"/>
      <c r="BR34" s="847"/>
      <c r="BS34" s="847"/>
      <c r="BT34" s="847"/>
      <c r="BU34" s="847"/>
      <c r="BV34" s="847"/>
      <c r="BW34" s="847"/>
      <c r="BX34" s="847"/>
      <c r="BY34" s="847"/>
      <c r="BZ34" s="847"/>
      <c r="CA34" s="847"/>
      <c r="CB34" s="847"/>
      <c r="CC34" s="847"/>
      <c r="CD34" s="847"/>
      <c r="CE34" s="847"/>
      <c r="CF34" s="847"/>
      <c r="CG34" s="847"/>
      <c r="CH34" s="847"/>
      <c r="CI34" s="847"/>
      <c r="CJ34" s="847"/>
      <c r="CK34" s="847"/>
      <c r="CL34" s="847"/>
      <c r="CM34" s="847"/>
      <c r="CN34" s="847"/>
      <c r="CO34" s="847"/>
      <c r="CP34" s="847"/>
      <c r="CQ34" s="847"/>
      <c r="CR34" s="847"/>
      <c r="CS34" s="847"/>
      <c r="CT34" s="847"/>
      <c r="CU34" s="847"/>
      <c r="CV34" s="847"/>
      <c r="CW34" s="847"/>
      <c r="CX34" s="847"/>
      <c r="CY34" s="847"/>
      <c r="CZ34" s="847"/>
      <c r="DA34" s="847"/>
      <c r="DB34" s="847"/>
      <c r="DC34" s="847"/>
      <c r="DD34" s="847"/>
      <c r="DE34" s="847"/>
      <c r="DF34" s="847"/>
      <c r="DG34" s="847"/>
      <c r="DH34" s="847"/>
      <c r="DI34" s="847"/>
      <c r="DJ34" s="847"/>
    </row>
    <row r="35" spans="1:114" s="4" customFormat="1" ht="19.5" thickBot="1">
      <c r="A35" s="19">
        <v>14</v>
      </c>
      <c r="B35" s="22" t="s">
        <v>15</v>
      </c>
      <c r="C35" s="54">
        <v>112</v>
      </c>
      <c r="D35" s="39"/>
      <c r="E35" s="64">
        <v>0</v>
      </c>
      <c r="F35" s="533">
        <f t="shared" ref="F35" si="36">E35/AI35*100</f>
        <v>0</v>
      </c>
      <c r="G35" s="64">
        <v>7</v>
      </c>
      <c r="H35" s="523">
        <f t="shared" ref="H35" si="37">G35/AI35*100</f>
        <v>4.5694888700306809E-2</v>
      </c>
      <c r="I35" s="64"/>
      <c r="J35" s="523">
        <f t="shared" ref="J35" si="38">I35/AI35*100</f>
        <v>0</v>
      </c>
      <c r="K35" s="39"/>
      <c r="L35" s="64">
        <v>2</v>
      </c>
      <c r="M35" s="115">
        <v>0</v>
      </c>
      <c r="N35" s="116"/>
      <c r="O35" s="39">
        <v>0</v>
      </c>
      <c r="P35" s="39"/>
      <c r="Q35" s="64">
        <v>76</v>
      </c>
      <c r="R35" s="39" t="s">
        <v>81</v>
      </c>
      <c r="S35" s="39" t="s">
        <v>81</v>
      </c>
      <c r="T35" s="39">
        <v>82.01</v>
      </c>
      <c r="U35" s="252">
        <f>35*100/C35</f>
        <v>31.25</v>
      </c>
      <c r="V35" s="39">
        <v>0</v>
      </c>
      <c r="W35" s="39"/>
      <c r="X35" s="55"/>
      <c r="Y35" s="66">
        <v>72.099999999999994</v>
      </c>
      <c r="Z35" s="66">
        <v>91.6</v>
      </c>
      <c r="AA35" s="66">
        <v>91.1</v>
      </c>
      <c r="AB35" s="66">
        <v>96.6</v>
      </c>
      <c r="AC35" s="63"/>
      <c r="AD35" s="39"/>
      <c r="AE35" s="39"/>
      <c r="AF35" s="23"/>
      <c r="AG35" s="39"/>
      <c r="AH35" s="55"/>
      <c r="AI35" s="273">
        <v>15319</v>
      </c>
      <c r="AJ35" s="543">
        <f>SUM(C36:AH36)</f>
        <v>98</v>
      </c>
      <c r="AK35" s="847"/>
      <c r="AL35" s="847"/>
      <c r="AM35" s="847"/>
      <c r="AN35" s="847"/>
      <c r="AO35" s="847"/>
      <c r="AP35" s="847"/>
      <c r="AQ35" s="847"/>
      <c r="AR35" s="847"/>
      <c r="AS35" s="847"/>
      <c r="AT35" s="847"/>
      <c r="AU35" s="847"/>
      <c r="AV35" s="847"/>
      <c r="AW35" s="847"/>
      <c r="AX35" s="847"/>
      <c r="AY35" s="847"/>
      <c r="AZ35" s="847"/>
      <c r="BA35" s="847"/>
      <c r="BB35" s="847"/>
      <c r="BC35" s="847"/>
      <c r="BD35" s="847"/>
      <c r="BE35" s="847"/>
      <c r="BF35" s="847"/>
      <c r="BG35" s="847"/>
      <c r="BH35" s="847"/>
      <c r="BI35" s="847"/>
      <c r="BJ35" s="847"/>
      <c r="BK35" s="847"/>
      <c r="BL35" s="847"/>
      <c r="BM35" s="847"/>
      <c r="BN35" s="847"/>
      <c r="BO35" s="847"/>
      <c r="BP35" s="847"/>
      <c r="BQ35" s="847"/>
      <c r="BR35" s="847"/>
      <c r="BS35" s="847"/>
      <c r="BT35" s="847"/>
      <c r="BU35" s="847"/>
      <c r="BV35" s="847"/>
      <c r="BW35" s="847"/>
      <c r="BX35" s="847"/>
      <c r="BY35" s="847"/>
      <c r="BZ35" s="847"/>
      <c r="CA35" s="847"/>
      <c r="CB35" s="847"/>
      <c r="CC35" s="847"/>
      <c r="CD35" s="847"/>
      <c r="CE35" s="847"/>
      <c r="CF35" s="847"/>
      <c r="CG35" s="847"/>
      <c r="CH35" s="847"/>
      <c r="CI35" s="847"/>
      <c r="CJ35" s="847"/>
      <c r="CK35" s="847"/>
      <c r="CL35" s="847"/>
      <c r="CM35" s="847"/>
      <c r="CN35" s="847"/>
      <c r="CO35" s="847"/>
      <c r="CP35" s="847"/>
      <c r="CQ35" s="847"/>
      <c r="CR35" s="847"/>
      <c r="CS35" s="847"/>
      <c r="CT35" s="847"/>
      <c r="CU35" s="847"/>
      <c r="CV35" s="847"/>
      <c r="CW35" s="847"/>
      <c r="CX35" s="847"/>
      <c r="CY35" s="847"/>
      <c r="CZ35" s="847"/>
      <c r="DA35" s="847"/>
      <c r="DB35" s="847"/>
      <c r="DC35" s="847"/>
      <c r="DD35" s="847"/>
      <c r="DE35" s="847"/>
      <c r="DF35" s="847"/>
      <c r="DG35" s="847"/>
      <c r="DH35" s="847"/>
      <c r="DI35" s="847"/>
      <c r="DJ35" s="847"/>
    </row>
    <row r="36" spans="1:114" s="27" customFormat="1" ht="19.5" thickBot="1">
      <c r="A36" s="203"/>
      <c r="B36" s="204"/>
      <c r="C36" s="214"/>
      <c r="D36" s="205"/>
      <c r="E36" s="207"/>
      <c r="F36" s="207">
        <v>2</v>
      </c>
      <c r="G36" s="207"/>
      <c r="H36" s="207">
        <v>8</v>
      </c>
      <c r="I36" s="207"/>
      <c r="J36" s="207">
        <v>3</v>
      </c>
      <c r="K36" s="205"/>
      <c r="L36" s="207">
        <v>6</v>
      </c>
      <c r="M36" s="206">
        <v>10</v>
      </c>
      <c r="N36" s="206"/>
      <c r="O36" s="205">
        <v>10</v>
      </c>
      <c r="P36" s="205"/>
      <c r="Q36" s="207">
        <v>8</v>
      </c>
      <c r="R36" s="205">
        <v>0</v>
      </c>
      <c r="S36" s="205">
        <v>0</v>
      </c>
      <c r="T36" s="205">
        <v>9</v>
      </c>
      <c r="U36" s="249">
        <v>4</v>
      </c>
      <c r="V36" s="205">
        <v>0</v>
      </c>
      <c r="W36" s="205"/>
      <c r="X36" s="208"/>
      <c r="Y36" s="205">
        <v>8</v>
      </c>
      <c r="Z36" s="205">
        <v>10</v>
      </c>
      <c r="AA36" s="205">
        <v>10</v>
      </c>
      <c r="AB36" s="205">
        <v>10</v>
      </c>
      <c r="AC36" s="217"/>
      <c r="AD36" s="205"/>
      <c r="AE36" s="205"/>
      <c r="AF36" s="211"/>
      <c r="AG36" s="205"/>
      <c r="AH36" s="208"/>
      <c r="AI36" s="268"/>
      <c r="AJ36" s="104"/>
      <c r="AK36" s="847"/>
      <c r="AL36" s="847"/>
      <c r="AM36" s="847"/>
      <c r="AN36" s="847"/>
      <c r="AO36" s="847"/>
      <c r="AP36" s="847"/>
      <c r="AQ36" s="847"/>
      <c r="AR36" s="847"/>
      <c r="AS36" s="847"/>
      <c r="AT36" s="847"/>
      <c r="AU36" s="847"/>
      <c r="AV36" s="847"/>
      <c r="AW36" s="847"/>
      <c r="AX36" s="847"/>
      <c r="AY36" s="847"/>
      <c r="AZ36" s="847"/>
      <c r="BA36" s="847"/>
      <c r="BB36" s="847"/>
      <c r="BC36" s="847"/>
      <c r="BD36" s="847"/>
      <c r="BE36" s="847"/>
      <c r="BF36" s="847"/>
      <c r="BG36" s="847"/>
      <c r="BH36" s="847"/>
      <c r="BI36" s="847"/>
      <c r="BJ36" s="847"/>
      <c r="BK36" s="847"/>
      <c r="BL36" s="847"/>
      <c r="BM36" s="847"/>
      <c r="BN36" s="847"/>
      <c r="BO36" s="847"/>
      <c r="BP36" s="847"/>
      <c r="BQ36" s="847"/>
      <c r="BR36" s="847"/>
      <c r="BS36" s="847"/>
      <c r="BT36" s="847"/>
      <c r="BU36" s="847"/>
      <c r="BV36" s="847"/>
      <c r="BW36" s="847"/>
      <c r="BX36" s="847"/>
      <c r="BY36" s="847"/>
      <c r="BZ36" s="847"/>
      <c r="CA36" s="847"/>
      <c r="CB36" s="847"/>
      <c r="CC36" s="847"/>
      <c r="CD36" s="847"/>
      <c r="CE36" s="847"/>
      <c r="CF36" s="847"/>
      <c r="CG36" s="847"/>
      <c r="CH36" s="847"/>
      <c r="CI36" s="847"/>
      <c r="CJ36" s="847"/>
      <c r="CK36" s="847"/>
      <c r="CL36" s="847"/>
      <c r="CM36" s="847"/>
      <c r="CN36" s="847"/>
      <c r="CO36" s="847"/>
      <c r="CP36" s="847"/>
      <c r="CQ36" s="847"/>
      <c r="CR36" s="847"/>
      <c r="CS36" s="847"/>
      <c r="CT36" s="847"/>
      <c r="CU36" s="847"/>
      <c r="CV36" s="847"/>
      <c r="CW36" s="847"/>
      <c r="CX36" s="847"/>
      <c r="CY36" s="847"/>
      <c r="CZ36" s="847"/>
      <c r="DA36" s="847"/>
      <c r="DB36" s="847"/>
      <c r="DC36" s="847"/>
      <c r="DD36" s="847"/>
      <c r="DE36" s="847"/>
      <c r="DF36" s="847"/>
      <c r="DG36" s="847"/>
      <c r="DH36" s="847"/>
      <c r="DI36" s="847"/>
      <c r="DJ36" s="847"/>
    </row>
    <row r="37" spans="1:114" ht="19.5" thickBot="1">
      <c r="A37" s="19">
        <v>15</v>
      </c>
      <c r="B37" s="20" t="s">
        <v>60</v>
      </c>
      <c r="C37" s="48">
        <v>11</v>
      </c>
      <c r="D37" s="34"/>
      <c r="E37" s="56">
        <v>0</v>
      </c>
      <c r="F37" s="533">
        <f t="shared" ref="F37" si="39">E37/AI37*100</f>
        <v>0</v>
      </c>
      <c r="G37" s="56">
        <v>7</v>
      </c>
      <c r="H37" s="523">
        <f t="shared" ref="H37" si="40">G37/AI37*100</f>
        <v>0.24955436720142604</v>
      </c>
      <c r="I37" s="56"/>
      <c r="J37" s="523">
        <f t="shared" ref="J37" si="41">I37/AI37*100</f>
        <v>0</v>
      </c>
      <c r="K37" s="109"/>
      <c r="L37" s="56">
        <v>7</v>
      </c>
      <c r="M37" s="44">
        <v>0</v>
      </c>
      <c r="N37" s="116"/>
      <c r="O37" s="34">
        <v>0</v>
      </c>
      <c r="P37" s="34"/>
      <c r="Q37" s="56">
        <v>10</v>
      </c>
      <c r="R37" s="34" t="s">
        <v>81</v>
      </c>
      <c r="S37" s="34" t="s">
        <v>81</v>
      </c>
      <c r="T37" s="34">
        <v>0.87</v>
      </c>
      <c r="U37" s="250">
        <v>0</v>
      </c>
      <c r="V37" s="34">
        <v>0</v>
      </c>
      <c r="W37" s="34"/>
      <c r="X37" s="45"/>
      <c r="Y37" s="69">
        <v>45</v>
      </c>
      <c r="Z37" s="69">
        <v>18</v>
      </c>
      <c r="AA37" s="69">
        <v>18</v>
      </c>
      <c r="AB37" s="69">
        <v>18</v>
      </c>
      <c r="AC37" s="59"/>
      <c r="AD37" s="34"/>
      <c r="AE37" s="34"/>
      <c r="AF37" s="21"/>
      <c r="AG37" s="34"/>
      <c r="AH37" s="45"/>
      <c r="AI37" s="269">
        <v>2805</v>
      </c>
      <c r="AJ37" s="542">
        <f>SUM(C38:AH38)</f>
        <v>65</v>
      </c>
      <c r="AK37" s="847"/>
      <c r="AL37" s="847"/>
      <c r="AM37" s="847"/>
      <c r="AN37" s="847"/>
      <c r="AO37" s="847"/>
      <c r="AP37" s="847"/>
      <c r="AQ37" s="847"/>
      <c r="AR37" s="847"/>
      <c r="AS37" s="847"/>
      <c r="AT37" s="847"/>
      <c r="AU37" s="847"/>
      <c r="AV37" s="847"/>
      <c r="AW37" s="847"/>
      <c r="AX37" s="847"/>
      <c r="AY37" s="847"/>
      <c r="AZ37" s="847"/>
      <c r="BA37" s="847"/>
      <c r="BB37" s="847"/>
      <c r="BC37" s="847"/>
      <c r="BD37" s="847"/>
      <c r="BE37" s="847"/>
      <c r="BF37" s="847"/>
      <c r="BG37" s="847"/>
      <c r="BH37" s="847"/>
      <c r="BI37" s="847"/>
      <c r="BJ37" s="847"/>
      <c r="BK37" s="847"/>
      <c r="BL37" s="847"/>
      <c r="BM37" s="847"/>
      <c r="BN37" s="847"/>
      <c r="BO37" s="847"/>
      <c r="BP37" s="847"/>
      <c r="BQ37" s="847"/>
      <c r="BR37" s="847"/>
      <c r="BS37" s="847"/>
      <c r="BT37" s="847"/>
      <c r="BU37" s="847"/>
      <c r="BV37" s="847"/>
      <c r="BW37" s="847"/>
      <c r="BX37" s="847"/>
      <c r="BY37" s="847"/>
      <c r="BZ37" s="847"/>
      <c r="CA37" s="847"/>
      <c r="CB37" s="847"/>
      <c r="CC37" s="847"/>
      <c r="CD37" s="847"/>
      <c r="CE37" s="847"/>
      <c r="CF37" s="847"/>
      <c r="CG37" s="847"/>
      <c r="CH37" s="847"/>
      <c r="CI37" s="847"/>
      <c r="CJ37" s="847"/>
      <c r="CK37" s="847"/>
      <c r="CL37" s="847"/>
      <c r="CM37" s="847"/>
      <c r="CN37" s="847"/>
      <c r="CO37" s="847"/>
      <c r="CP37" s="847"/>
      <c r="CQ37" s="847"/>
      <c r="CR37" s="847"/>
      <c r="CS37" s="847"/>
      <c r="CT37" s="847"/>
      <c r="CU37" s="847"/>
      <c r="CV37" s="847"/>
      <c r="CW37" s="847"/>
      <c r="CX37" s="847"/>
      <c r="CY37" s="847"/>
      <c r="CZ37" s="847"/>
      <c r="DA37" s="847"/>
      <c r="DB37" s="847"/>
      <c r="DC37" s="847"/>
      <c r="DD37" s="847"/>
      <c r="DE37" s="847"/>
      <c r="DF37" s="847"/>
      <c r="DG37" s="847"/>
      <c r="DH37" s="847"/>
      <c r="DI37" s="847"/>
      <c r="DJ37" s="847"/>
    </row>
    <row r="38" spans="1:114" s="27" customFormat="1" ht="19.5" thickBot="1">
      <c r="A38" s="218"/>
      <c r="B38" s="229"/>
      <c r="C38" s="220"/>
      <c r="D38" s="224"/>
      <c r="E38" s="222"/>
      <c r="F38" s="207">
        <v>10</v>
      </c>
      <c r="G38" s="222"/>
      <c r="H38" s="207">
        <v>7</v>
      </c>
      <c r="I38" s="222"/>
      <c r="J38" s="207">
        <v>9</v>
      </c>
      <c r="K38" s="224"/>
      <c r="L38" s="222">
        <v>10</v>
      </c>
      <c r="M38" s="223">
        <v>10</v>
      </c>
      <c r="N38" s="223"/>
      <c r="O38" s="224">
        <v>7</v>
      </c>
      <c r="P38" s="224"/>
      <c r="Q38" s="222">
        <v>1</v>
      </c>
      <c r="R38" s="224">
        <v>0</v>
      </c>
      <c r="S38" s="224">
        <v>0</v>
      </c>
      <c r="T38" s="224">
        <v>0</v>
      </c>
      <c r="U38" s="251">
        <v>0</v>
      </c>
      <c r="V38" s="224">
        <v>0</v>
      </c>
      <c r="W38" s="224"/>
      <c r="X38" s="225"/>
      <c r="Y38" s="224">
        <v>5</v>
      </c>
      <c r="Z38" s="224">
        <v>2</v>
      </c>
      <c r="AA38" s="224">
        <v>2</v>
      </c>
      <c r="AB38" s="224">
        <v>2</v>
      </c>
      <c r="AC38" s="227"/>
      <c r="AD38" s="224"/>
      <c r="AE38" s="224"/>
      <c r="AF38" s="228"/>
      <c r="AG38" s="224"/>
      <c r="AH38" s="225"/>
      <c r="AI38" s="271"/>
      <c r="AJ38" s="108"/>
      <c r="AK38" s="847"/>
      <c r="AL38" s="847"/>
      <c r="AM38" s="847"/>
      <c r="AN38" s="847"/>
      <c r="AO38" s="847"/>
      <c r="AP38" s="847"/>
      <c r="AQ38" s="847"/>
      <c r="AR38" s="847"/>
      <c r="AS38" s="847"/>
      <c r="AT38" s="847"/>
      <c r="AU38" s="847"/>
      <c r="AV38" s="847"/>
      <c r="AW38" s="847"/>
      <c r="AX38" s="847"/>
      <c r="AY38" s="847"/>
      <c r="AZ38" s="847"/>
      <c r="BA38" s="847"/>
      <c r="BB38" s="847"/>
      <c r="BC38" s="847"/>
      <c r="BD38" s="847"/>
      <c r="BE38" s="847"/>
      <c r="BF38" s="847"/>
      <c r="BG38" s="847"/>
      <c r="BH38" s="847"/>
      <c r="BI38" s="847"/>
      <c r="BJ38" s="847"/>
      <c r="BK38" s="847"/>
      <c r="BL38" s="847"/>
      <c r="BM38" s="847"/>
      <c r="BN38" s="847"/>
      <c r="BO38" s="847"/>
      <c r="BP38" s="847"/>
      <c r="BQ38" s="847"/>
      <c r="BR38" s="847"/>
      <c r="BS38" s="847"/>
      <c r="BT38" s="847"/>
      <c r="BU38" s="847"/>
      <c r="BV38" s="847"/>
      <c r="BW38" s="847"/>
      <c r="BX38" s="847"/>
      <c r="BY38" s="847"/>
      <c r="BZ38" s="847"/>
      <c r="CA38" s="847"/>
      <c r="CB38" s="847"/>
      <c r="CC38" s="847"/>
      <c r="CD38" s="847"/>
      <c r="CE38" s="847"/>
      <c r="CF38" s="847"/>
      <c r="CG38" s="847"/>
      <c r="CH38" s="847"/>
      <c r="CI38" s="847"/>
      <c r="CJ38" s="847"/>
      <c r="CK38" s="847"/>
      <c r="CL38" s="847"/>
      <c r="CM38" s="847"/>
      <c r="CN38" s="847"/>
      <c r="CO38" s="847"/>
      <c r="CP38" s="847"/>
      <c r="CQ38" s="847"/>
      <c r="CR38" s="847"/>
      <c r="CS38" s="847"/>
      <c r="CT38" s="847"/>
      <c r="CU38" s="847"/>
      <c r="CV38" s="847"/>
      <c r="CW38" s="847"/>
      <c r="CX38" s="847"/>
      <c r="CY38" s="847"/>
      <c r="CZ38" s="847"/>
      <c r="DA38" s="847"/>
      <c r="DB38" s="847"/>
      <c r="DC38" s="847"/>
      <c r="DD38" s="847"/>
      <c r="DE38" s="847"/>
      <c r="DF38" s="847"/>
      <c r="DG38" s="847"/>
      <c r="DH38" s="847"/>
      <c r="DI38" s="847"/>
      <c r="DJ38" s="847"/>
    </row>
    <row r="39" spans="1:114" ht="19.5" thickBot="1">
      <c r="A39" s="19">
        <v>16</v>
      </c>
      <c r="B39" s="20" t="s">
        <v>17</v>
      </c>
      <c r="C39" s="48">
        <v>34</v>
      </c>
      <c r="D39" s="40"/>
      <c r="E39" s="56">
        <v>0</v>
      </c>
      <c r="F39" s="533">
        <f t="shared" ref="F39" si="42">E39/AI39*100</f>
        <v>0</v>
      </c>
      <c r="G39" s="56">
        <v>11</v>
      </c>
      <c r="H39" s="523">
        <f t="shared" ref="H39" si="43">G39/AI39*100</f>
        <v>0.14115231618118826</v>
      </c>
      <c r="I39" s="56"/>
      <c r="J39" s="523">
        <f t="shared" ref="J39" si="44">I39/AI39*100</f>
        <v>0</v>
      </c>
      <c r="K39" s="200"/>
      <c r="L39" s="56">
        <v>11</v>
      </c>
      <c r="M39" s="44">
        <v>0</v>
      </c>
      <c r="N39" s="116"/>
      <c r="O39" s="40">
        <v>0</v>
      </c>
      <c r="P39" s="40"/>
      <c r="Q39" s="56">
        <v>21</v>
      </c>
      <c r="R39" s="40" t="s">
        <v>81</v>
      </c>
      <c r="S39" s="40" t="s">
        <v>81</v>
      </c>
      <c r="T39" s="40">
        <v>34.549999999999997</v>
      </c>
      <c r="U39" s="250">
        <v>0</v>
      </c>
      <c r="V39" s="40">
        <v>0</v>
      </c>
      <c r="W39" s="40"/>
      <c r="X39" s="49"/>
      <c r="Y39" s="69">
        <v>30.3</v>
      </c>
      <c r="Z39" s="69">
        <v>3</v>
      </c>
      <c r="AA39" s="69">
        <v>3</v>
      </c>
      <c r="AB39" s="69">
        <v>73</v>
      </c>
      <c r="AC39" s="59"/>
      <c r="AD39" s="40"/>
      <c r="AE39" s="40"/>
      <c r="AF39" s="21"/>
      <c r="AG39" s="40"/>
      <c r="AH39" s="49"/>
      <c r="AI39" s="267">
        <v>7793</v>
      </c>
      <c r="AJ39" s="543">
        <f>SUM(C40:AH40)</f>
        <v>64</v>
      </c>
      <c r="AK39" s="847"/>
      <c r="AL39" s="847"/>
      <c r="AM39" s="847"/>
      <c r="AN39" s="847"/>
      <c r="AO39" s="847"/>
      <c r="AP39" s="847"/>
      <c r="AQ39" s="847"/>
      <c r="AR39" s="847"/>
      <c r="AS39" s="847"/>
      <c r="AT39" s="847"/>
      <c r="AU39" s="847"/>
      <c r="AV39" s="847"/>
      <c r="AW39" s="847"/>
      <c r="AX39" s="847"/>
      <c r="AY39" s="847"/>
      <c r="AZ39" s="847"/>
      <c r="BA39" s="847"/>
      <c r="BB39" s="847"/>
      <c r="BC39" s="847"/>
      <c r="BD39" s="847"/>
      <c r="BE39" s="847"/>
      <c r="BF39" s="847"/>
      <c r="BG39" s="847"/>
      <c r="BH39" s="847"/>
      <c r="BI39" s="847"/>
      <c r="BJ39" s="847"/>
      <c r="BK39" s="847"/>
      <c r="BL39" s="847"/>
      <c r="BM39" s="847"/>
      <c r="BN39" s="847"/>
      <c r="BO39" s="847"/>
      <c r="BP39" s="847"/>
      <c r="BQ39" s="847"/>
      <c r="BR39" s="847"/>
      <c r="BS39" s="847"/>
      <c r="BT39" s="847"/>
      <c r="BU39" s="847"/>
      <c r="BV39" s="847"/>
      <c r="BW39" s="847"/>
      <c r="BX39" s="847"/>
      <c r="BY39" s="847"/>
      <c r="BZ39" s="847"/>
      <c r="CA39" s="847"/>
      <c r="CB39" s="847"/>
      <c r="CC39" s="847"/>
      <c r="CD39" s="847"/>
      <c r="CE39" s="847"/>
      <c r="CF39" s="847"/>
      <c r="CG39" s="847"/>
      <c r="CH39" s="847"/>
      <c r="CI39" s="847"/>
      <c r="CJ39" s="847"/>
      <c r="CK39" s="847"/>
      <c r="CL39" s="847"/>
      <c r="CM39" s="847"/>
      <c r="CN39" s="847"/>
      <c r="CO39" s="847"/>
      <c r="CP39" s="847"/>
      <c r="CQ39" s="847"/>
      <c r="CR39" s="847"/>
      <c r="CS39" s="847"/>
      <c r="CT39" s="847"/>
      <c r="CU39" s="847"/>
      <c r="CV39" s="847"/>
      <c r="CW39" s="847"/>
      <c r="CX39" s="847"/>
      <c r="CY39" s="847"/>
      <c r="CZ39" s="847"/>
      <c r="DA39" s="847"/>
      <c r="DB39" s="847"/>
      <c r="DC39" s="847"/>
      <c r="DD39" s="847"/>
      <c r="DE39" s="847"/>
      <c r="DF39" s="847"/>
      <c r="DG39" s="847"/>
      <c r="DH39" s="847"/>
      <c r="DI39" s="847"/>
      <c r="DJ39" s="847"/>
    </row>
    <row r="40" spans="1:114" s="27" customFormat="1" ht="19.5" thickBot="1">
      <c r="A40" s="203"/>
      <c r="B40" s="204"/>
      <c r="C40" s="214"/>
      <c r="D40" s="215"/>
      <c r="E40" s="207"/>
      <c r="F40" s="207">
        <v>4</v>
      </c>
      <c r="G40" s="207"/>
      <c r="H40" s="207">
        <v>7</v>
      </c>
      <c r="I40" s="207"/>
      <c r="J40" s="207">
        <v>4</v>
      </c>
      <c r="K40" s="215"/>
      <c r="L40" s="207">
        <v>10</v>
      </c>
      <c r="M40" s="206">
        <v>10</v>
      </c>
      <c r="N40" s="206"/>
      <c r="O40" s="207">
        <v>10</v>
      </c>
      <c r="P40" s="215"/>
      <c r="Q40" s="207">
        <v>3</v>
      </c>
      <c r="R40" s="215">
        <v>0</v>
      </c>
      <c r="S40" s="215">
        <v>0</v>
      </c>
      <c r="T40" s="215">
        <v>4</v>
      </c>
      <c r="U40" s="249">
        <v>0</v>
      </c>
      <c r="V40" s="215">
        <v>0</v>
      </c>
      <c r="W40" s="215"/>
      <c r="X40" s="216"/>
      <c r="Y40" s="207">
        <v>4</v>
      </c>
      <c r="Z40" s="207">
        <v>0</v>
      </c>
      <c r="AA40" s="207">
        <v>0</v>
      </c>
      <c r="AB40" s="207">
        <v>8</v>
      </c>
      <c r="AC40" s="210"/>
      <c r="AD40" s="215"/>
      <c r="AE40" s="215"/>
      <c r="AF40" s="211"/>
      <c r="AG40" s="215"/>
      <c r="AH40" s="216"/>
      <c r="AI40" s="268"/>
      <c r="AJ40" s="546"/>
      <c r="AK40" s="847"/>
      <c r="AL40" s="847"/>
      <c r="AM40" s="847"/>
      <c r="AN40" s="847"/>
      <c r="AO40" s="847"/>
      <c r="AP40" s="847"/>
      <c r="AQ40" s="847"/>
      <c r="AR40" s="847"/>
      <c r="AS40" s="847"/>
      <c r="AT40" s="847"/>
      <c r="AU40" s="847"/>
      <c r="AV40" s="847"/>
      <c r="AW40" s="847"/>
      <c r="AX40" s="847"/>
      <c r="AY40" s="847"/>
      <c r="AZ40" s="847"/>
      <c r="BA40" s="847"/>
      <c r="BB40" s="847"/>
      <c r="BC40" s="847"/>
      <c r="BD40" s="847"/>
      <c r="BE40" s="847"/>
      <c r="BF40" s="847"/>
      <c r="BG40" s="847"/>
      <c r="BH40" s="847"/>
      <c r="BI40" s="847"/>
      <c r="BJ40" s="847"/>
      <c r="BK40" s="847"/>
      <c r="BL40" s="847"/>
      <c r="BM40" s="847"/>
      <c r="BN40" s="847"/>
      <c r="BO40" s="847"/>
      <c r="BP40" s="847"/>
      <c r="BQ40" s="847"/>
      <c r="BR40" s="847"/>
      <c r="BS40" s="847"/>
      <c r="BT40" s="847"/>
      <c r="BU40" s="847"/>
      <c r="BV40" s="847"/>
      <c r="BW40" s="847"/>
      <c r="BX40" s="847"/>
      <c r="BY40" s="847"/>
      <c r="BZ40" s="847"/>
      <c r="CA40" s="847"/>
      <c r="CB40" s="847"/>
      <c r="CC40" s="847"/>
      <c r="CD40" s="847"/>
      <c r="CE40" s="847"/>
      <c r="CF40" s="847"/>
      <c r="CG40" s="847"/>
      <c r="CH40" s="847"/>
      <c r="CI40" s="847"/>
      <c r="CJ40" s="847"/>
      <c r="CK40" s="847"/>
      <c r="CL40" s="847"/>
      <c r="CM40" s="847"/>
      <c r="CN40" s="847"/>
      <c r="CO40" s="847"/>
      <c r="CP40" s="847"/>
      <c r="CQ40" s="847"/>
      <c r="CR40" s="847"/>
      <c r="CS40" s="847"/>
      <c r="CT40" s="847"/>
      <c r="CU40" s="847"/>
      <c r="CV40" s="847"/>
      <c r="CW40" s="847"/>
      <c r="CX40" s="847"/>
      <c r="CY40" s="847"/>
      <c r="CZ40" s="847"/>
      <c r="DA40" s="847"/>
      <c r="DB40" s="847"/>
      <c r="DC40" s="847"/>
      <c r="DD40" s="847"/>
      <c r="DE40" s="847"/>
      <c r="DF40" s="847"/>
      <c r="DG40" s="847"/>
      <c r="DH40" s="847"/>
      <c r="DI40" s="847"/>
      <c r="DJ40" s="847"/>
    </row>
    <row r="41" spans="1:114" s="3" customFormat="1" ht="19.5" hidden="1" thickBot="1">
      <c r="A41" s="19">
        <v>17</v>
      </c>
      <c r="B41" s="20" t="s">
        <v>18</v>
      </c>
      <c r="C41" s="48">
        <v>15</v>
      </c>
      <c r="D41" s="42"/>
      <c r="E41" s="56"/>
      <c r="F41" s="533" t="e">
        <f t="shared" ref="F41" si="45">E41/AI41*100</f>
        <v>#DIV/0!</v>
      </c>
      <c r="G41" s="56"/>
      <c r="H41" s="523" t="e">
        <f t="shared" ref="H41" si="46">G41/AI41*100</f>
        <v>#DIV/0!</v>
      </c>
      <c r="I41" s="56"/>
      <c r="J41" s="523" t="e">
        <f t="shared" ref="J41" si="47">I41/AI41*100</f>
        <v>#DIV/0!</v>
      </c>
      <c r="K41" s="42"/>
      <c r="L41" s="56"/>
      <c r="M41" s="44"/>
      <c r="N41" s="118"/>
      <c r="O41" s="37"/>
      <c r="P41" s="37"/>
      <c r="Q41" s="56">
        <v>10</v>
      </c>
      <c r="R41" s="40"/>
      <c r="S41" s="40"/>
      <c r="T41" s="40">
        <v>0.11</v>
      </c>
      <c r="U41" s="250"/>
      <c r="V41" s="40"/>
      <c r="W41" s="34"/>
      <c r="X41" s="45"/>
      <c r="Y41" s="69"/>
      <c r="Z41" s="69"/>
      <c r="AA41" s="69"/>
      <c r="AB41" s="69"/>
      <c r="AC41" s="59"/>
      <c r="AD41" s="34"/>
      <c r="AE41" s="34"/>
      <c r="AF41" s="21"/>
      <c r="AG41" s="34"/>
      <c r="AH41" s="45"/>
      <c r="AI41" s="267"/>
      <c r="AJ41" s="547">
        <f>SUM(C42:AH42)</f>
        <v>51</v>
      </c>
      <c r="AK41" s="847"/>
      <c r="AL41" s="847"/>
      <c r="AM41" s="847"/>
      <c r="AN41" s="847"/>
      <c r="AO41" s="847"/>
      <c r="AP41" s="847"/>
      <c r="AQ41" s="847"/>
      <c r="AR41" s="847"/>
      <c r="AS41" s="847"/>
      <c r="AT41" s="847"/>
      <c r="AU41" s="847"/>
      <c r="AV41" s="847"/>
      <c r="AW41" s="847"/>
      <c r="AX41" s="847"/>
      <c r="AY41" s="847"/>
      <c r="AZ41" s="847"/>
      <c r="BA41" s="847"/>
      <c r="BB41" s="847"/>
      <c r="BC41" s="847"/>
      <c r="BD41" s="847"/>
      <c r="BE41" s="847"/>
      <c r="BF41" s="847"/>
      <c r="BG41" s="847"/>
      <c r="BH41" s="847"/>
      <c r="BI41" s="847"/>
      <c r="BJ41" s="847"/>
      <c r="BK41" s="847"/>
      <c r="BL41" s="847"/>
      <c r="BM41" s="847"/>
      <c r="BN41" s="847"/>
      <c r="BO41" s="847"/>
      <c r="BP41" s="847"/>
      <c r="BQ41" s="847"/>
      <c r="BR41" s="847"/>
      <c r="BS41" s="847"/>
      <c r="BT41" s="847"/>
      <c r="BU41" s="847"/>
      <c r="BV41" s="847"/>
      <c r="BW41" s="847"/>
      <c r="BX41" s="847"/>
      <c r="BY41" s="847"/>
      <c r="BZ41" s="847"/>
      <c r="CA41" s="847"/>
      <c r="CB41" s="847"/>
      <c r="CC41" s="847"/>
      <c r="CD41" s="847"/>
      <c r="CE41" s="847"/>
      <c r="CF41" s="847"/>
      <c r="CG41" s="847"/>
      <c r="CH41" s="847"/>
      <c r="CI41" s="847"/>
      <c r="CJ41" s="847"/>
      <c r="CK41" s="847"/>
      <c r="CL41" s="847"/>
      <c r="CM41" s="847"/>
      <c r="CN41" s="847"/>
      <c r="CO41" s="847"/>
      <c r="CP41" s="847"/>
      <c r="CQ41" s="847"/>
      <c r="CR41" s="847"/>
      <c r="CS41" s="847"/>
      <c r="CT41" s="847"/>
      <c r="CU41" s="847"/>
      <c r="CV41" s="847"/>
      <c r="CW41" s="847"/>
      <c r="CX41" s="847"/>
      <c r="CY41" s="847"/>
      <c r="CZ41" s="847"/>
      <c r="DA41" s="847"/>
      <c r="DB41" s="847"/>
      <c r="DC41" s="847"/>
      <c r="DD41" s="847"/>
      <c r="DE41" s="847"/>
      <c r="DF41" s="847"/>
      <c r="DG41" s="847"/>
      <c r="DH41" s="847"/>
      <c r="DI41" s="847"/>
      <c r="DJ41" s="847"/>
    </row>
    <row r="42" spans="1:114" s="31" customFormat="1" ht="19.5" hidden="1" thickBot="1">
      <c r="A42" s="203"/>
      <c r="B42" s="204"/>
      <c r="C42" s="214"/>
      <c r="D42" s="235"/>
      <c r="E42" s="207"/>
      <c r="F42" s="207">
        <v>16</v>
      </c>
      <c r="G42" s="207"/>
      <c r="H42" s="207">
        <v>16</v>
      </c>
      <c r="I42" s="207"/>
      <c r="J42" s="207">
        <v>18</v>
      </c>
      <c r="K42" s="235"/>
      <c r="L42" s="207"/>
      <c r="M42" s="206"/>
      <c r="N42" s="234"/>
      <c r="O42" s="233"/>
      <c r="P42" s="233"/>
      <c r="Q42" s="207">
        <v>1</v>
      </c>
      <c r="R42" s="215"/>
      <c r="S42" s="215"/>
      <c r="T42" s="215">
        <v>0</v>
      </c>
      <c r="U42" s="249"/>
      <c r="V42" s="215"/>
      <c r="W42" s="205"/>
      <c r="X42" s="208"/>
      <c r="Y42" s="207"/>
      <c r="Z42" s="207"/>
      <c r="AA42" s="207"/>
      <c r="AB42" s="207"/>
      <c r="AC42" s="210"/>
      <c r="AD42" s="205"/>
      <c r="AE42" s="205"/>
      <c r="AF42" s="211"/>
      <c r="AG42" s="205"/>
      <c r="AH42" s="208"/>
      <c r="AI42" s="268"/>
      <c r="AJ42" s="108"/>
      <c r="AK42" s="847"/>
      <c r="AL42" s="847"/>
      <c r="AM42" s="847"/>
      <c r="AN42" s="847"/>
      <c r="AO42" s="847"/>
      <c r="AP42" s="847"/>
      <c r="AQ42" s="847"/>
      <c r="AR42" s="847"/>
      <c r="AS42" s="847"/>
      <c r="AT42" s="847"/>
      <c r="AU42" s="847"/>
      <c r="AV42" s="847"/>
      <c r="AW42" s="847"/>
      <c r="AX42" s="847"/>
      <c r="AY42" s="847"/>
      <c r="AZ42" s="847"/>
      <c r="BA42" s="847"/>
      <c r="BB42" s="847"/>
      <c r="BC42" s="847"/>
      <c r="BD42" s="847"/>
      <c r="BE42" s="847"/>
      <c r="BF42" s="847"/>
      <c r="BG42" s="847"/>
      <c r="BH42" s="847"/>
      <c r="BI42" s="847"/>
      <c r="BJ42" s="847"/>
      <c r="BK42" s="847"/>
      <c r="BL42" s="847"/>
      <c r="BM42" s="847"/>
      <c r="BN42" s="847"/>
      <c r="BO42" s="847"/>
      <c r="BP42" s="847"/>
      <c r="BQ42" s="847"/>
      <c r="BR42" s="847"/>
      <c r="BS42" s="847"/>
      <c r="BT42" s="847"/>
      <c r="BU42" s="847"/>
      <c r="BV42" s="847"/>
      <c r="BW42" s="847"/>
      <c r="BX42" s="847"/>
      <c r="BY42" s="847"/>
      <c r="BZ42" s="847"/>
      <c r="CA42" s="847"/>
      <c r="CB42" s="847"/>
      <c r="CC42" s="847"/>
      <c r="CD42" s="847"/>
      <c r="CE42" s="847"/>
      <c r="CF42" s="847"/>
      <c r="CG42" s="847"/>
      <c r="CH42" s="847"/>
      <c r="CI42" s="847"/>
      <c r="CJ42" s="847"/>
      <c r="CK42" s="847"/>
      <c r="CL42" s="847"/>
      <c r="CM42" s="847"/>
      <c r="CN42" s="847"/>
      <c r="CO42" s="847"/>
      <c r="CP42" s="847"/>
      <c r="CQ42" s="847"/>
      <c r="CR42" s="847"/>
      <c r="CS42" s="847"/>
      <c r="CT42" s="847"/>
      <c r="CU42" s="847"/>
      <c r="CV42" s="847"/>
      <c r="CW42" s="847"/>
      <c r="CX42" s="847"/>
      <c r="CY42" s="847"/>
      <c r="CZ42" s="847"/>
      <c r="DA42" s="847"/>
      <c r="DB42" s="847"/>
      <c r="DC42" s="847"/>
      <c r="DD42" s="847"/>
      <c r="DE42" s="847"/>
      <c r="DF42" s="847"/>
      <c r="DG42" s="847"/>
      <c r="DH42" s="847"/>
      <c r="DI42" s="847"/>
      <c r="DJ42" s="847"/>
    </row>
    <row r="43" spans="1:114" ht="19.5" hidden="1" thickBot="1">
      <c r="A43" s="19">
        <v>18</v>
      </c>
      <c r="B43" s="20" t="s">
        <v>61</v>
      </c>
      <c r="C43" s="48">
        <v>5</v>
      </c>
      <c r="D43" s="34"/>
      <c r="E43" s="56">
        <v>0</v>
      </c>
      <c r="F43" s="533" t="e">
        <f t="shared" ref="F43" si="48">E43/AI43*100</f>
        <v>#DIV/0!</v>
      </c>
      <c r="G43" s="56"/>
      <c r="H43" s="523" t="e">
        <f t="shared" ref="H43" si="49">G43/AI43*100</f>
        <v>#DIV/0!</v>
      </c>
      <c r="I43" s="56"/>
      <c r="J43" s="523" t="e">
        <f t="shared" ref="J43" si="50">I43/AI43*100</f>
        <v>#DIV/0!</v>
      </c>
      <c r="K43" s="34"/>
      <c r="L43" s="56"/>
      <c r="M43" s="44"/>
      <c r="N43" s="116"/>
      <c r="O43" s="34"/>
      <c r="P43" s="34"/>
      <c r="Q43" s="56">
        <v>5</v>
      </c>
      <c r="R43" s="34"/>
      <c r="S43" s="34"/>
      <c r="T43" s="34">
        <v>0</v>
      </c>
      <c r="U43" s="250"/>
      <c r="V43" s="34"/>
      <c r="W43" s="34"/>
      <c r="X43" s="45"/>
      <c r="Y43" s="69"/>
      <c r="Z43" s="69"/>
      <c r="AA43" s="69"/>
      <c r="AB43" s="69"/>
      <c r="AC43" s="59"/>
      <c r="AD43" s="34"/>
      <c r="AE43" s="34"/>
      <c r="AF43" s="21"/>
      <c r="AG43" s="34"/>
      <c r="AH43" s="45"/>
      <c r="AI43" s="267"/>
      <c r="AJ43" s="548">
        <f>SUM(C44:AH44)</f>
        <v>63</v>
      </c>
      <c r="AK43" s="847"/>
      <c r="AL43" s="847"/>
      <c r="AM43" s="847"/>
      <c r="AN43" s="847"/>
      <c r="AO43" s="847"/>
      <c r="AP43" s="847"/>
      <c r="AQ43" s="847"/>
      <c r="AR43" s="847"/>
      <c r="AS43" s="847"/>
      <c r="AT43" s="847"/>
      <c r="AU43" s="847"/>
      <c r="AV43" s="847"/>
      <c r="AW43" s="847"/>
      <c r="AX43" s="847"/>
      <c r="AY43" s="847"/>
      <c r="AZ43" s="847"/>
      <c r="BA43" s="847"/>
      <c r="BB43" s="847"/>
      <c r="BC43" s="847"/>
      <c r="BD43" s="847"/>
      <c r="BE43" s="847"/>
      <c r="BF43" s="847"/>
      <c r="BG43" s="847"/>
      <c r="BH43" s="847"/>
      <c r="BI43" s="847"/>
      <c r="BJ43" s="847"/>
      <c r="BK43" s="847"/>
      <c r="BL43" s="847"/>
      <c r="BM43" s="847"/>
      <c r="BN43" s="847"/>
      <c r="BO43" s="847"/>
      <c r="BP43" s="847"/>
      <c r="BQ43" s="847"/>
      <c r="BR43" s="847"/>
      <c r="BS43" s="847"/>
      <c r="BT43" s="847"/>
      <c r="BU43" s="847"/>
      <c r="BV43" s="847"/>
      <c r="BW43" s="847"/>
      <c r="BX43" s="847"/>
      <c r="BY43" s="847"/>
      <c r="BZ43" s="847"/>
      <c r="CA43" s="847"/>
      <c r="CB43" s="847"/>
      <c r="CC43" s="847"/>
      <c r="CD43" s="847"/>
      <c r="CE43" s="847"/>
      <c r="CF43" s="847"/>
      <c r="CG43" s="847"/>
      <c r="CH43" s="847"/>
      <c r="CI43" s="847"/>
      <c r="CJ43" s="847"/>
      <c r="CK43" s="847"/>
      <c r="CL43" s="847"/>
      <c r="CM43" s="847"/>
      <c r="CN43" s="847"/>
      <c r="CO43" s="847"/>
      <c r="CP43" s="847"/>
      <c r="CQ43" s="847"/>
      <c r="CR43" s="847"/>
      <c r="CS43" s="847"/>
      <c r="CT43" s="847"/>
      <c r="CU43" s="847"/>
      <c r="CV43" s="847"/>
      <c r="CW43" s="847"/>
      <c r="CX43" s="847"/>
      <c r="CY43" s="847"/>
      <c r="CZ43" s="847"/>
      <c r="DA43" s="847"/>
      <c r="DB43" s="847"/>
      <c r="DC43" s="847"/>
      <c r="DD43" s="847"/>
      <c r="DE43" s="847"/>
      <c r="DF43" s="847"/>
      <c r="DG43" s="847"/>
      <c r="DH43" s="847"/>
      <c r="DI43" s="847"/>
      <c r="DJ43" s="847"/>
    </row>
    <row r="44" spans="1:114" s="27" customFormat="1" ht="19.5" hidden="1" thickBot="1">
      <c r="A44" s="24"/>
      <c r="B44" s="25"/>
      <c r="C44" s="50"/>
      <c r="D44" s="36"/>
      <c r="E44" s="57">
        <v>10</v>
      </c>
      <c r="F44" s="207">
        <v>17</v>
      </c>
      <c r="G44" s="57"/>
      <c r="H44" s="207">
        <v>17</v>
      </c>
      <c r="I44" s="57"/>
      <c r="J44" s="207">
        <v>19</v>
      </c>
      <c r="K44" s="36"/>
      <c r="L44" s="57"/>
      <c r="M44" s="46"/>
      <c r="N44" s="117"/>
      <c r="O44" s="36"/>
      <c r="P44" s="36"/>
      <c r="Q44" s="57"/>
      <c r="R44" s="36"/>
      <c r="S44" s="36"/>
      <c r="T44" s="36"/>
      <c r="U44" s="253"/>
      <c r="V44" s="36"/>
      <c r="W44" s="36"/>
      <c r="X44" s="47"/>
      <c r="Y44" s="57"/>
      <c r="Z44" s="57"/>
      <c r="AA44" s="57"/>
      <c r="AB44" s="57"/>
      <c r="AC44" s="60"/>
      <c r="AD44" s="36"/>
      <c r="AE44" s="36"/>
      <c r="AF44" s="26"/>
      <c r="AG44" s="36"/>
      <c r="AH44" s="47"/>
      <c r="AI44" s="274"/>
      <c r="AJ44" s="104"/>
      <c r="AK44" s="847"/>
      <c r="AL44" s="847"/>
      <c r="AM44" s="847"/>
      <c r="AN44" s="847"/>
      <c r="AO44" s="847"/>
      <c r="AP44" s="847"/>
      <c r="AQ44" s="847"/>
      <c r="AR44" s="847"/>
      <c r="AS44" s="847"/>
      <c r="AT44" s="847"/>
      <c r="AU44" s="847"/>
      <c r="AV44" s="847"/>
      <c r="AW44" s="847"/>
      <c r="AX44" s="847"/>
      <c r="AY44" s="847"/>
      <c r="AZ44" s="847"/>
      <c r="BA44" s="847"/>
      <c r="BB44" s="847"/>
      <c r="BC44" s="847"/>
      <c r="BD44" s="847"/>
      <c r="BE44" s="847"/>
      <c r="BF44" s="847"/>
      <c r="BG44" s="847"/>
      <c r="BH44" s="847"/>
      <c r="BI44" s="847"/>
      <c r="BJ44" s="847"/>
      <c r="BK44" s="847"/>
      <c r="BL44" s="847"/>
      <c r="BM44" s="847"/>
      <c r="BN44" s="847"/>
      <c r="BO44" s="847"/>
      <c r="BP44" s="847"/>
      <c r="BQ44" s="847"/>
      <c r="BR44" s="847"/>
      <c r="BS44" s="847"/>
      <c r="BT44" s="847"/>
      <c r="BU44" s="847"/>
      <c r="BV44" s="847"/>
      <c r="BW44" s="847"/>
      <c r="BX44" s="847"/>
      <c r="BY44" s="847"/>
      <c r="BZ44" s="847"/>
      <c r="CA44" s="847"/>
      <c r="CB44" s="847"/>
      <c r="CC44" s="847"/>
      <c r="CD44" s="847"/>
      <c r="CE44" s="847"/>
      <c r="CF44" s="847"/>
      <c r="CG44" s="847"/>
      <c r="CH44" s="847"/>
      <c r="CI44" s="847"/>
      <c r="CJ44" s="847"/>
      <c r="CK44" s="847"/>
      <c r="CL44" s="847"/>
      <c r="CM44" s="847"/>
      <c r="CN44" s="847"/>
      <c r="CO44" s="847"/>
      <c r="CP44" s="847"/>
      <c r="CQ44" s="847"/>
      <c r="CR44" s="847"/>
      <c r="CS44" s="847"/>
      <c r="CT44" s="847"/>
      <c r="CU44" s="847"/>
      <c r="CV44" s="847"/>
      <c r="CW44" s="847"/>
      <c r="CX44" s="847"/>
      <c r="CY44" s="847"/>
      <c r="CZ44" s="847"/>
      <c r="DA44" s="847"/>
      <c r="DB44" s="847"/>
      <c r="DC44" s="847"/>
      <c r="DD44" s="847"/>
      <c r="DE44" s="847"/>
      <c r="DF44" s="847"/>
      <c r="DG44" s="847"/>
      <c r="DH44" s="847"/>
      <c r="DI44" s="847"/>
      <c r="DJ44" s="847"/>
    </row>
    <row r="45" spans="1:114" ht="19.5" thickBot="1">
      <c r="A45" s="19">
        <v>19</v>
      </c>
      <c r="B45" s="20" t="s">
        <v>62</v>
      </c>
      <c r="C45" s="48">
        <v>8</v>
      </c>
      <c r="D45" s="40"/>
      <c r="E45" s="56">
        <v>0</v>
      </c>
      <c r="F45" s="533">
        <f t="shared" ref="F45" si="51">E45/AI45*100</f>
        <v>0</v>
      </c>
      <c r="G45" s="56">
        <v>0</v>
      </c>
      <c r="H45" s="523">
        <f t="shared" ref="H45" si="52">G45/AI45*100</f>
        <v>0</v>
      </c>
      <c r="I45" s="56"/>
      <c r="J45" s="523">
        <f t="shared" ref="J45" si="53">I45/AI45*100</f>
        <v>0</v>
      </c>
      <c r="K45" s="40"/>
      <c r="L45" s="56">
        <v>0</v>
      </c>
      <c r="M45" s="44">
        <v>0</v>
      </c>
      <c r="N45" s="116"/>
      <c r="O45" s="40">
        <v>0</v>
      </c>
      <c r="P45" s="40"/>
      <c r="Q45" s="56">
        <v>0</v>
      </c>
      <c r="R45" s="40" t="s">
        <v>81</v>
      </c>
      <c r="S45" s="40" t="s">
        <v>81</v>
      </c>
      <c r="T45" s="40">
        <v>0</v>
      </c>
      <c r="U45" s="250">
        <v>0</v>
      </c>
      <c r="V45" s="40">
        <v>0</v>
      </c>
      <c r="W45" s="40"/>
      <c r="X45" s="49"/>
      <c r="Y45" s="69">
        <v>100</v>
      </c>
      <c r="Z45" s="69">
        <v>100</v>
      </c>
      <c r="AA45" s="69">
        <v>100</v>
      </c>
      <c r="AB45" s="69">
        <v>100</v>
      </c>
      <c r="AC45" s="59"/>
      <c r="AD45" s="40"/>
      <c r="AE45" s="40"/>
      <c r="AF45" s="21"/>
      <c r="AG45" s="40"/>
      <c r="AH45" s="49"/>
      <c r="AI45" s="269">
        <v>1417</v>
      </c>
      <c r="AJ45" s="542">
        <f>SUM(C46:AH46)</f>
        <v>84</v>
      </c>
      <c r="AK45" s="847"/>
      <c r="AL45" s="847"/>
      <c r="AM45" s="847"/>
      <c r="AN45" s="847"/>
      <c r="AO45" s="847"/>
      <c r="AP45" s="847"/>
      <c r="AQ45" s="847"/>
      <c r="AR45" s="847"/>
      <c r="AS45" s="847"/>
      <c r="AT45" s="847"/>
      <c r="AU45" s="847"/>
      <c r="AV45" s="847"/>
      <c r="AW45" s="847"/>
      <c r="AX45" s="847"/>
      <c r="AY45" s="847"/>
      <c r="AZ45" s="847"/>
      <c r="BA45" s="847"/>
      <c r="BB45" s="847"/>
      <c r="BC45" s="847"/>
      <c r="BD45" s="847"/>
      <c r="BE45" s="847"/>
      <c r="BF45" s="847"/>
      <c r="BG45" s="847"/>
      <c r="BH45" s="847"/>
      <c r="BI45" s="847"/>
      <c r="BJ45" s="847"/>
      <c r="BK45" s="847"/>
      <c r="BL45" s="847"/>
      <c r="BM45" s="847"/>
      <c r="BN45" s="847"/>
      <c r="BO45" s="847"/>
      <c r="BP45" s="847"/>
      <c r="BQ45" s="847"/>
      <c r="BR45" s="847"/>
      <c r="BS45" s="847"/>
      <c r="BT45" s="847"/>
      <c r="BU45" s="847"/>
      <c r="BV45" s="847"/>
      <c r="BW45" s="847"/>
      <c r="BX45" s="847"/>
      <c r="BY45" s="847"/>
      <c r="BZ45" s="847"/>
      <c r="CA45" s="847"/>
      <c r="CB45" s="847"/>
      <c r="CC45" s="847"/>
      <c r="CD45" s="847"/>
      <c r="CE45" s="847"/>
      <c r="CF45" s="847"/>
      <c r="CG45" s="847"/>
      <c r="CH45" s="847"/>
      <c r="CI45" s="847"/>
      <c r="CJ45" s="847"/>
      <c r="CK45" s="847"/>
      <c r="CL45" s="847"/>
      <c r="CM45" s="847"/>
      <c r="CN45" s="847"/>
      <c r="CO45" s="847"/>
      <c r="CP45" s="847"/>
      <c r="CQ45" s="847"/>
      <c r="CR45" s="847"/>
      <c r="CS45" s="847"/>
      <c r="CT45" s="847"/>
      <c r="CU45" s="847"/>
      <c r="CV45" s="847"/>
      <c r="CW45" s="847"/>
      <c r="CX45" s="847"/>
      <c r="CY45" s="847"/>
      <c r="CZ45" s="847"/>
      <c r="DA45" s="847"/>
      <c r="DB45" s="847"/>
      <c r="DC45" s="847"/>
      <c r="DD45" s="847"/>
      <c r="DE45" s="847"/>
      <c r="DF45" s="847"/>
      <c r="DG45" s="847"/>
      <c r="DH45" s="847"/>
      <c r="DI45" s="847"/>
      <c r="DJ45" s="847"/>
    </row>
    <row r="46" spans="1:114" s="27" customFormat="1" ht="19.5" thickBot="1">
      <c r="A46" s="203"/>
      <c r="B46" s="204"/>
      <c r="C46" s="214"/>
      <c r="D46" s="215"/>
      <c r="E46" s="207"/>
      <c r="F46" s="207">
        <v>0</v>
      </c>
      <c r="G46" s="207"/>
      <c r="H46" s="207">
        <v>10</v>
      </c>
      <c r="I46" s="207"/>
      <c r="J46" s="207">
        <v>4</v>
      </c>
      <c r="K46" s="215"/>
      <c r="L46" s="207">
        <v>10</v>
      </c>
      <c r="M46" s="206">
        <v>10</v>
      </c>
      <c r="N46" s="206"/>
      <c r="O46" s="215">
        <v>10</v>
      </c>
      <c r="P46" s="215"/>
      <c r="Q46" s="207">
        <v>0</v>
      </c>
      <c r="R46" s="215">
        <v>0</v>
      </c>
      <c r="S46" s="215">
        <v>0</v>
      </c>
      <c r="T46" s="215">
        <v>0</v>
      </c>
      <c r="U46" s="249">
        <v>0</v>
      </c>
      <c r="V46" s="215">
        <v>0</v>
      </c>
      <c r="W46" s="215"/>
      <c r="X46" s="216"/>
      <c r="Y46" s="207">
        <v>10</v>
      </c>
      <c r="Z46" s="207">
        <v>10</v>
      </c>
      <c r="AA46" s="207">
        <v>10</v>
      </c>
      <c r="AB46" s="207">
        <v>10</v>
      </c>
      <c r="AC46" s="210"/>
      <c r="AD46" s="215"/>
      <c r="AE46" s="215"/>
      <c r="AF46" s="211"/>
      <c r="AG46" s="215"/>
      <c r="AH46" s="216"/>
      <c r="AI46" s="266"/>
      <c r="AJ46" s="108"/>
      <c r="AK46" s="847"/>
      <c r="AL46" s="847"/>
      <c r="AM46" s="847"/>
      <c r="AN46" s="847"/>
      <c r="AO46" s="847"/>
      <c r="AP46" s="847"/>
      <c r="AQ46" s="847"/>
      <c r="AR46" s="847"/>
      <c r="AS46" s="847"/>
      <c r="AT46" s="847"/>
      <c r="AU46" s="847"/>
      <c r="AV46" s="847"/>
      <c r="AW46" s="847"/>
      <c r="AX46" s="847"/>
      <c r="AY46" s="847"/>
      <c r="AZ46" s="847"/>
      <c r="BA46" s="847"/>
      <c r="BB46" s="847"/>
      <c r="BC46" s="847"/>
      <c r="BD46" s="847"/>
      <c r="BE46" s="847"/>
      <c r="BF46" s="847"/>
      <c r="BG46" s="847"/>
      <c r="BH46" s="847"/>
      <c r="BI46" s="847"/>
      <c r="BJ46" s="847"/>
      <c r="BK46" s="847"/>
      <c r="BL46" s="847"/>
      <c r="BM46" s="847"/>
      <c r="BN46" s="847"/>
      <c r="BO46" s="847"/>
      <c r="BP46" s="847"/>
      <c r="BQ46" s="847"/>
      <c r="BR46" s="847"/>
      <c r="BS46" s="847"/>
      <c r="BT46" s="847"/>
      <c r="BU46" s="847"/>
      <c r="BV46" s="847"/>
      <c r="BW46" s="847"/>
      <c r="BX46" s="847"/>
      <c r="BY46" s="847"/>
      <c r="BZ46" s="847"/>
      <c r="CA46" s="847"/>
      <c r="CB46" s="847"/>
      <c r="CC46" s="847"/>
      <c r="CD46" s="847"/>
      <c r="CE46" s="847"/>
      <c r="CF46" s="847"/>
      <c r="CG46" s="847"/>
      <c r="CH46" s="847"/>
      <c r="CI46" s="847"/>
      <c r="CJ46" s="847"/>
      <c r="CK46" s="847"/>
      <c r="CL46" s="847"/>
      <c r="CM46" s="847"/>
      <c r="CN46" s="847"/>
      <c r="CO46" s="847"/>
      <c r="CP46" s="847"/>
      <c r="CQ46" s="847"/>
      <c r="CR46" s="847"/>
      <c r="CS46" s="847"/>
      <c r="CT46" s="847"/>
      <c r="CU46" s="847"/>
      <c r="CV46" s="847"/>
      <c r="CW46" s="847"/>
      <c r="CX46" s="847"/>
      <c r="CY46" s="847"/>
      <c r="CZ46" s="847"/>
      <c r="DA46" s="847"/>
      <c r="DB46" s="847"/>
      <c r="DC46" s="847"/>
      <c r="DD46" s="847"/>
      <c r="DE46" s="847"/>
      <c r="DF46" s="847"/>
      <c r="DG46" s="847"/>
      <c r="DH46" s="847"/>
      <c r="DI46" s="847"/>
      <c r="DJ46" s="847"/>
    </row>
    <row r="47" spans="1:114" s="3" customFormat="1" ht="19.5" thickBot="1">
      <c r="A47" s="19">
        <v>20</v>
      </c>
      <c r="B47" s="20" t="s">
        <v>63</v>
      </c>
      <c r="C47" s="48">
        <v>107</v>
      </c>
      <c r="D47" s="42"/>
      <c r="E47" s="56">
        <v>0</v>
      </c>
      <c r="F47" s="533">
        <f t="shared" ref="F47" si="54">E47/AI47*100</f>
        <v>0</v>
      </c>
      <c r="G47" s="56">
        <v>30</v>
      </c>
      <c r="H47" s="523">
        <f t="shared" ref="H47" si="55">G47/AI47*100</f>
        <v>0.18309429356118401</v>
      </c>
      <c r="I47" s="56"/>
      <c r="J47" s="523">
        <f t="shared" ref="J47" si="56">I47/AI47*100</f>
        <v>0</v>
      </c>
      <c r="K47" s="244"/>
      <c r="L47" s="56">
        <v>7</v>
      </c>
      <c r="M47" s="44">
        <v>0</v>
      </c>
      <c r="N47" s="116"/>
      <c r="O47" s="40">
        <v>0</v>
      </c>
      <c r="P47" s="42"/>
      <c r="Q47" s="56">
        <v>58</v>
      </c>
      <c r="R47" s="40" t="s">
        <v>81</v>
      </c>
      <c r="S47" s="40" t="s">
        <v>81</v>
      </c>
      <c r="T47" s="40">
        <v>67.8</v>
      </c>
      <c r="U47" s="250">
        <v>0</v>
      </c>
      <c r="V47" s="40">
        <v>0</v>
      </c>
      <c r="W47" s="34"/>
      <c r="X47" s="45"/>
      <c r="Y47" s="69"/>
      <c r="Z47" s="69"/>
      <c r="AA47" s="69"/>
      <c r="AB47" s="69"/>
      <c r="AC47" s="59"/>
      <c r="AD47" s="34"/>
      <c r="AE47" s="34"/>
      <c r="AF47" s="21"/>
      <c r="AG47" s="34"/>
      <c r="AH47" s="45"/>
      <c r="AI47" s="267">
        <f>13697+2688</f>
        <v>16385</v>
      </c>
      <c r="AJ47" s="543">
        <f>SUM(C48:AH48)</f>
        <v>55.4</v>
      </c>
      <c r="AK47" s="847"/>
      <c r="AL47" s="847"/>
      <c r="AM47" s="847"/>
      <c r="AN47" s="847"/>
      <c r="AO47" s="847"/>
      <c r="AP47" s="847"/>
      <c r="AQ47" s="847"/>
      <c r="AR47" s="847"/>
      <c r="AS47" s="847"/>
      <c r="AT47" s="847"/>
      <c r="AU47" s="847"/>
      <c r="AV47" s="847"/>
      <c r="AW47" s="847"/>
      <c r="AX47" s="847"/>
      <c r="AY47" s="847"/>
      <c r="AZ47" s="847"/>
      <c r="BA47" s="847"/>
      <c r="BB47" s="847"/>
      <c r="BC47" s="847"/>
      <c r="BD47" s="847"/>
      <c r="BE47" s="847"/>
      <c r="BF47" s="847"/>
      <c r="BG47" s="847"/>
      <c r="BH47" s="847"/>
      <c r="BI47" s="847"/>
      <c r="BJ47" s="847"/>
      <c r="BK47" s="847"/>
      <c r="BL47" s="847"/>
      <c r="BM47" s="847"/>
      <c r="BN47" s="847"/>
      <c r="BO47" s="847"/>
      <c r="BP47" s="847"/>
      <c r="BQ47" s="847"/>
      <c r="BR47" s="847"/>
      <c r="BS47" s="847"/>
      <c r="BT47" s="847"/>
      <c r="BU47" s="847"/>
      <c r="BV47" s="847"/>
      <c r="BW47" s="847"/>
      <c r="BX47" s="847"/>
      <c r="BY47" s="847"/>
      <c r="BZ47" s="847"/>
      <c r="CA47" s="847"/>
      <c r="CB47" s="847"/>
      <c r="CC47" s="847"/>
      <c r="CD47" s="847"/>
      <c r="CE47" s="847"/>
      <c r="CF47" s="847"/>
      <c r="CG47" s="847"/>
      <c r="CH47" s="847"/>
      <c r="CI47" s="847"/>
      <c r="CJ47" s="847"/>
      <c r="CK47" s="847"/>
      <c r="CL47" s="847"/>
      <c r="CM47" s="847"/>
      <c r="CN47" s="847"/>
      <c r="CO47" s="847"/>
      <c r="CP47" s="847"/>
      <c r="CQ47" s="847"/>
      <c r="CR47" s="847"/>
      <c r="CS47" s="847"/>
      <c r="CT47" s="847"/>
      <c r="CU47" s="847"/>
      <c r="CV47" s="847"/>
      <c r="CW47" s="847"/>
      <c r="CX47" s="847"/>
      <c r="CY47" s="847"/>
      <c r="CZ47" s="847"/>
      <c r="DA47" s="847"/>
      <c r="DB47" s="847"/>
      <c r="DC47" s="847"/>
      <c r="DD47" s="847"/>
      <c r="DE47" s="847"/>
      <c r="DF47" s="847"/>
      <c r="DG47" s="847"/>
      <c r="DH47" s="847"/>
      <c r="DI47" s="847"/>
      <c r="DJ47" s="847"/>
    </row>
    <row r="48" spans="1:114" s="31" customFormat="1" ht="19.5" thickBot="1">
      <c r="A48" s="203"/>
      <c r="B48" s="204"/>
      <c r="C48" s="214"/>
      <c r="D48" s="235"/>
      <c r="E48" s="207"/>
      <c r="F48" s="207">
        <v>5</v>
      </c>
      <c r="G48" s="207"/>
      <c r="H48" s="207">
        <v>6</v>
      </c>
      <c r="I48" s="207"/>
      <c r="J48" s="207">
        <v>7</v>
      </c>
      <c r="K48" s="215">
        <v>-0.6</v>
      </c>
      <c r="L48" s="207">
        <v>9</v>
      </c>
      <c r="M48" s="206">
        <v>10</v>
      </c>
      <c r="N48" s="206"/>
      <c r="O48" s="215">
        <v>6</v>
      </c>
      <c r="P48" s="235"/>
      <c r="Q48" s="207">
        <v>6</v>
      </c>
      <c r="R48" s="215">
        <v>0</v>
      </c>
      <c r="S48" s="215">
        <v>0</v>
      </c>
      <c r="T48" s="215">
        <v>7</v>
      </c>
      <c r="U48" s="249">
        <v>0</v>
      </c>
      <c r="V48" s="215">
        <v>0</v>
      </c>
      <c r="W48" s="205"/>
      <c r="X48" s="208"/>
      <c r="Y48" s="207"/>
      <c r="Z48" s="207"/>
      <c r="AA48" s="207"/>
      <c r="AB48" s="207"/>
      <c r="AC48" s="210"/>
      <c r="AD48" s="205"/>
      <c r="AE48" s="205"/>
      <c r="AF48" s="211"/>
      <c r="AG48" s="205"/>
      <c r="AH48" s="208"/>
      <c r="AI48" s="268"/>
      <c r="AJ48" s="544"/>
      <c r="AK48" s="847"/>
      <c r="AL48" s="847"/>
      <c r="AM48" s="847"/>
      <c r="AN48" s="847"/>
      <c r="AO48" s="847"/>
      <c r="AP48" s="847"/>
      <c r="AQ48" s="847"/>
      <c r="AR48" s="847"/>
      <c r="AS48" s="847"/>
      <c r="AT48" s="847"/>
      <c r="AU48" s="847"/>
      <c r="AV48" s="847"/>
      <c r="AW48" s="847"/>
      <c r="AX48" s="847"/>
      <c r="AY48" s="847"/>
      <c r="AZ48" s="847"/>
      <c r="BA48" s="847"/>
      <c r="BB48" s="847"/>
      <c r="BC48" s="847"/>
      <c r="BD48" s="847"/>
      <c r="BE48" s="847"/>
      <c r="BF48" s="847"/>
      <c r="BG48" s="847"/>
      <c r="BH48" s="847"/>
      <c r="BI48" s="847"/>
      <c r="BJ48" s="847"/>
      <c r="BK48" s="847"/>
      <c r="BL48" s="847"/>
      <c r="BM48" s="847"/>
      <c r="BN48" s="847"/>
      <c r="BO48" s="847"/>
      <c r="BP48" s="847"/>
      <c r="BQ48" s="847"/>
      <c r="BR48" s="847"/>
      <c r="BS48" s="847"/>
      <c r="BT48" s="847"/>
      <c r="BU48" s="847"/>
      <c r="BV48" s="847"/>
      <c r="BW48" s="847"/>
      <c r="BX48" s="847"/>
      <c r="BY48" s="847"/>
      <c r="BZ48" s="847"/>
      <c r="CA48" s="847"/>
      <c r="CB48" s="847"/>
      <c r="CC48" s="847"/>
      <c r="CD48" s="847"/>
      <c r="CE48" s="847"/>
      <c r="CF48" s="847"/>
      <c r="CG48" s="847"/>
      <c r="CH48" s="847"/>
      <c r="CI48" s="847"/>
      <c r="CJ48" s="847"/>
      <c r="CK48" s="847"/>
      <c r="CL48" s="847"/>
      <c r="CM48" s="847"/>
      <c r="CN48" s="847"/>
      <c r="CO48" s="847"/>
      <c r="CP48" s="847"/>
      <c r="CQ48" s="847"/>
      <c r="CR48" s="847"/>
      <c r="CS48" s="847"/>
      <c r="CT48" s="847"/>
      <c r="CU48" s="847"/>
      <c r="CV48" s="847"/>
      <c r="CW48" s="847"/>
      <c r="CX48" s="847"/>
      <c r="CY48" s="847"/>
      <c r="CZ48" s="847"/>
      <c r="DA48" s="847"/>
      <c r="DB48" s="847"/>
      <c r="DC48" s="847"/>
      <c r="DD48" s="847"/>
      <c r="DE48" s="847"/>
      <c r="DF48" s="847"/>
      <c r="DG48" s="847"/>
      <c r="DH48" s="847"/>
      <c r="DI48" s="847"/>
      <c r="DJ48" s="847"/>
    </row>
    <row r="49" spans="1:114" s="4" customFormat="1" ht="19.5" hidden="1" thickBot="1">
      <c r="A49" s="19">
        <v>21</v>
      </c>
      <c r="B49" s="22" t="s">
        <v>64</v>
      </c>
      <c r="C49" s="54">
        <v>6</v>
      </c>
      <c r="D49" s="39"/>
      <c r="E49" s="64">
        <v>0</v>
      </c>
      <c r="F49" s="533" t="e">
        <f t="shared" ref="F49" si="57">E49/AI49*100</f>
        <v>#DIV/0!</v>
      </c>
      <c r="G49" s="64"/>
      <c r="H49" s="523" t="e">
        <f t="shared" ref="H49" si="58">G49/AI49*100</f>
        <v>#DIV/0!</v>
      </c>
      <c r="I49" s="64"/>
      <c r="J49" s="523" t="e">
        <f t="shared" ref="J49" si="59">I49/AI49*100</f>
        <v>#DIV/0!</v>
      </c>
      <c r="K49" s="39"/>
      <c r="L49" s="64"/>
      <c r="M49" s="115"/>
      <c r="N49" s="116"/>
      <c r="O49" s="39"/>
      <c r="P49" s="39"/>
      <c r="Q49" s="64">
        <v>2</v>
      </c>
      <c r="R49" s="39"/>
      <c r="S49" s="39"/>
      <c r="T49" s="39">
        <v>51.01</v>
      </c>
      <c r="U49" s="252"/>
      <c r="V49" s="39"/>
      <c r="W49" s="39"/>
      <c r="X49" s="55"/>
      <c r="Y49" s="66"/>
      <c r="Z49" s="66"/>
      <c r="AA49" s="66"/>
      <c r="AB49" s="66"/>
      <c r="AC49" s="63"/>
      <c r="AD49" s="39"/>
      <c r="AE49" s="39"/>
      <c r="AF49" s="23"/>
      <c r="AG49" s="39"/>
      <c r="AH49" s="55"/>
      <c r="AI49" s="272"/>
      <c r="AJ49" s="549">
        <f>SUM(C50:AH50)</f>
        <v>78</v>
      </c>
      <c r="AK49" s="847"/>
      <c r="AL49" s="847"/>
      <c r="AM49" s="847"/>
      <c r="AN49" s="847"/>
      <c r="AO49" s="847"/>
      <c r="AP49" s="847"/>
      <c r="AQ49" s="847"/>
      <c r="AR49" s="847"/>
      <c r="AS49" s="847"/>
      <c r="AT49" s="847"/>
      <c r="AU49" s="847"/>
      <c r="AV49" s="847"/>
      <c r="AW49" s="847"/>
      <c r="AX49" s="847"/>
      <c r="AY49" s="847"/>
      <c r="AZ49" s="847"/>
      <c r="BA49" s="847"/>
      <c r="BB49" s="847"/>
      <c r="BC49" s="847"/>
      <c r="BD49" s="847"/>
      <c r="BE49" s="847"/>
      <c r="BF49" s="847"/>
      <c r="BG49" s="847"/>
      <c r="BH49" s="847"/>
      <c r="BI49" s="847"/>
      <c r="BJ49" s="847"/>
      <c r="BK49" s="847"/>
      <c r="BL49" s="847"/>
      <c r="BM49" s="847"/>
      <c r="BN49" s="847"/>
      <c r="BO49" s="847"/>
      <c r="BP49" s="847"/>
      <c r="BQ49" s="847"/>
      <c r="BR49" s="847"/>
      <c r="BS49" s="847"/>
      <c r="BT49" s="847"/>
      <c r="BU49" s="847"/>
      <c r="BV49" s="847"/>
      <c r="BW49" s="847"/>
      <c r="BX49" s="847"/>
      <c r="BY49" s="847"/>
      <c r="BZ49" s="847"/>
      <c r="CA49" s="847"/>
      <c r="CB49" s="847"/>
      <c r="CC49" s="847"/>
      <c r="CD49" s="847"/>
      <c r="CE49" s="847"/>
      <c r="CF49" s="847"/>
      <c r="CG49" s="847"/>
      <c r="CH49" s="847"/>
      <c r="CI49" s="847"/>
      <c r="CJ49" s="847"/>
      <c r="CK49" s="847"/>
      <c r="CL49" s="847"/>
      <c r="CM49" s="847"/>
      <c r="CN49" s="847"/>
      <c r="CO49" s="847"/>
      <c r="CP49" s="847"/>
      <c r="CQ49" s="847"/>
      <c r="CR49" s="847"/>
      <c r="CS49" s="847"/>
      <c r="CT49" s="847"/>
      <c r="CU49" s="847"/>
      <c r="CV49" s="847"/>
      <c r="CW49" s="847"/>
      <c r="CX49" s="847"/>
      <c r="CY49" s="847"/>
      <c r="CZ49" s="847"/>
      <c r="DA49" s="847"/>
      <c r="DB49" s="847"/>
      <c r="DC49" s="847"/>
      <c r="DD49" s="847"/>
      <c r="DE49" s="847"/>
      <c r="DF49" s="847"/>
      <c r="DG49" s="847"/>
      <c r="DH49" s="847"/>
      <c r="DI49" s="847"/>
      <c r="DJ49" s="847"/>
    </row>
    <row r="50" spans="1:114" s="27" customFormat="1" ht="19.5" hidden="1" thickBot="1">
      <c r="A50" s="24"/>
      <c r="B50" s="25"/>
      <c r="C50" s="50"/>
      <c r="D50" s="36"/>
      <c r="E50" s="57">
        <v>10</v>
      </c>
      <c r="F50" s="207">
        <v>20</v>
      </c>
      <c r="G50" s="57"/>
      <c r="H50" s="207">
        <v>20</v>
      </c>
      <c r="I50" s="57"/>
      <c r="J50" s="207">
        <v>22</v>
      </c>
      <c r="K50" s="36"/>
      <c r="L50" s="57"/>
      <c r="M50" s="46"/>
      <c r="N50" s="117"/>
      <c r="O50" s="36"/>
      <c r="P50" s="36"/>
      <c r="Q50" s="57"/>
      <c r="R50" s="36"/>
      <c r="S50" s="36"/>
      <c r="T50" s="36">
        <v>6</v>
      </c>
      <c r="U50" s="253"/>
      <c r="V50" s="36"/>
      <c r="W50" s="36"/>
      <c r="X50" s="47"/>
      <c r="Y50" s="57"/>
      <c r="Z50" s="57"/>
      <c r="AA50" s="57"/>
      <c r="AB50" s="57"/>
      <c r="AC50" s="60"/>
      <c r="AD50" s="36"/>
      <c r="AE50" s="36"/>
      <c r="AF50" s="26"/>
      <c r="AG50" s="36"/>
      <c r="AH50" s="47"/>
      <c r="AI50" s="275"/>
      <c r="AJ50" s="108"/>
      <c r="AK50" s="847"/>
      <c r="AL50" s="847"/>
      <c r="AM50" s="847"/>
      <c r="AN50" s="847"/>
      <c r="AO50" s="847"/>
      <c r="AP50" s="847"/>
      <c r="AQ50" s="847"/>
      <c r="AR50" s="847"/>
      <c r="AS50" s="847"/>
      <c r="AT50" s="847"/>
      <c r="AU50" s="847"/>
      <c r="AV50" s="847"/>
      <c r="AW50" s="847"/>
      <c r="AX50" s="847"/>
      <c r="AY50" s="847"/>
      <c r="AZ50" s="847"/>
      <c r="BA50" s="847"/>
      <c r="BB50" s="847"/>
      <c r="BC50" s="847"/>
      <c r="BD50" s="847"/>
      <c r="BE50" s="847"/>
      <c r="BF50" s="847"/>
      <c r="BG50" s="847"/>
      <c r="BH50" s="847"/>
      <c r="BI50" s="847"/>
      <c r="BJ50" s="847"/>
      <c r="BK50" s="847"/>
      <c r="BL50" s="847"/>
      <c r="BM50" s="847"/>
      <c r="BN50" s="847"/>
      <c r="BO50" s="847"/>
      <c r="BP50" s="847"/>
      <c r="BQ50" s="847"/>
      <c r="BR50" s="847"/>
      <c r="BS50" s="847"/>
      <c r="BT50" s="847"/>
      <c r="BU50" s="847"/>
      <c r="BV50" s="847"/>
      <c r="BW50" s="847"/>
      <c r="BX50" s="847"/>
      <c r="BY50" s="847"/>
      <c r="BZ50" s="847"/>
      <c r="CA50" s="847"/>
      <c r="CB50" s="847"/>
      <c r="CC50" s="847"/>
      <c r="CD50" s="847"/>
      <c r="CE50" s="847"/>
      <c r="CF50" s="847"/>
      <c r="CG50" s="847"/>
      <c r="CH50" s="847"/>
      <c r="CI50" s="847"/>
      <c r="CJ50" s="847"/>
      <c r="CK50" s="847"/>
      <c r="CL50" s="847"/>
      <c r="CM50" s="847"/>
      <c r="CN50" s="847"/>
      <c r="CO50" s="847"/>
      <c r="CP50" s="847"/>
      <c r="CQ50" s="847"/>
      <c r="CR50" s="847"/>
      <c r="CS50" s="847"/>
      <c r="CT50" s="847"/>
      <c r="CU50" s="847"/>
      <c r="CV50" s="847"/>
      <c r="CW50" s="847"/>
      <c r="CX50" s="847"/>
      <c r="CY50" s="847"/>
      <c r="CZ50" s="847"/>
      <c r="DA50" s="847"/>
      <c r="DB50" s="847"/>
      <c r="DC50" s="847"/>
      <c r="DD50" s="847"/>
      <c r="DE50" s="847"/>
      <c r="DF50" s="847"/>
      <c r="DG50" s="847"/>
      <c r="DH50" s="847"/>
      <c r="DI50" s="847"/>
      <c r="DJ50" s="847"/>
    </row>
    <row r="51" spans="1:114" ht="19.5" hidden="1" thickBot="1">
      <c r="A51" s="19">
        <v>22</v>
      </c>
      <c r="B51" s="20" t="s">
        <v>65</v>
      </c>
      <c r="C51" s="48">
        <v>4</v>
      </c>
      <c r="D51" s="56"/>
      <c r="E51" s="56">
        <v>0</v>
      </c>
      <c r="F51" s="533" t="e">
        <f t="shared" ref="F51" si="60">E51/AI51*100</f>
        <v>#DIV/0!</v>
      </c>
      <c r="G51" s="56"/>
      <c r="H51" s="523" t="e">
        <f t="shared" ref="H51" si="61">G51/AI51*100</f>
        <v>#DIV/0!</v>
      </c>
      <c r="I51" s="56"/>
      <c r="J51" s="523" t="e">
        <f t="shared" ref="J51" si="62">I51/AI51*100</f>
        <v>#DIV/0!</v>
      </c>
      <c r="K51" s="56"/>
      <c r="L51" s="56"/>
      <c r="M51" s="44"/>
      <c r="N51" s="116"/>
      <c r="O51" s="40"/>
      <c r="P51" s="40"/>
      <c r="Q51" s="56">
        <v>0</v>
      </c>
      <c r="R51" s="40"/>
      <c r="S51" s="40"/>
      <c r="T51" s="40">
        <v>100</v>
      </c>
      <c r="U51" s="250"/>
      <c r="V51" s="40"/>
      <c r="W51" s="34"/>
      <c r="X51" s="49"/>
      <c r="Y51" s="69"/>
      <c r="Z51" s="69"/>
      <c r="AA51" s="69"/>
      <c r="AB51" s="69"/>
      <c r="AC51" s="59"/>
      <c r="AD51" s="40"/>
      <c r="AE51" s="40"/>
      <c r="AF51" s="21"/>
      <c r="AG51" s="40"/>
      <c r="AH51" s="49"/>
      <c r="AI51" s="267"/>
      <c r="AJ51" s="548">
        <f>SUM(C52:AH52)</f>
        <v>85</v>
      </c>
      <c r="AK51" s="847"/>
      <c r="AL51" s="847"/>
      <c r="AM51" s="847"/>
      <c r="AN51" s="847"/>
      <c r="AO51" s="847"/>
      <c r="AP51" s="847"/>
      <c r="AQ51" s="847"/>
      <c r="AR51" s="847"/>
      <c r="AS51" s="847"/>
      <c r="AT51" s="847"/>
      <c r="AU51" s="847"/>
      <c r="AV51" s="847"/>
      <c r="AW51" s="847"/>
      <c r="AX51" s="847"/>
      <c r="AY51" s="847"/>
      <c r="AZ51" s="847"/>
      <c r="BA51" s="847"/>
      <c r="BB51" s="847"/>
      <c r="BC51" s="847"/>
      <c r="BD51" s="847"/>
      <c r="BE51" s="847"/>
      <c r="BF51" s="847"/>
      <c r="BG51" s="847"/>
      <c r="BH51" s="847"/>
      <c r="BI51" s="847"/>
      <c r="BJ51" s="847"/>
      <c r="BK51" s="847"/>
      <c r="BL51" s="847"/>
      <c r="BM51" s="847"/>
      <c r="BN51" s="847"/>
      <c r="BO51" s="847"/>
      <c r="BP51" s="847"/>
      <c r="BQ51" s="847"/>
      <c r="BR51" s="847"/>
      <c r="BS51" s="847"/>
      <c r="BT51" s="847"/>
      <c r="BU51" s="847"/>
      <c r="BV51" s="847"/>
      <c r="BW51" s="847"/>
      <c r="BX51" s="847"/>
      <c r="BY51" s="847"/>
      <c r="BZ51" s="847"/>
      <c r="CA51" s="847"/>
      <c r="CB51" s="847"/>
      <c r="CC51" s="847"/>
      <c r="CD51" s="847"/>
      <c r="CE51" s="847"/>
      <c r="CF51" s="847"/>
      <c r="CG51" s="847"/>
      <c r="CH51" s="847"/>
      <c r="CI51" s="847"/>
      <c r="CJ51" s="847"/>
      <c r="CK51" s="847"/>
      <c r="CL51" s="847"/>
      <c r="CM51" s="847"/>
      <c r="CN51" s="847"/>
      <c r="CO51" s="847"/>
      <c r="CP51" s="847"/>
      <c r="CQ51" s="847"/>
      <c r="CR51" s="847"/>
      <c r="CS51" s="847"/>
      <c r="CT51" s="847"/>
      <c r="CU51" s="847"/>
      <c r="CV51" s="847"/>
      <c r="CW51" s="847"/>
      <c r="CX51" s="847"/>
      <c r="CY51" s="847"/>
      <c r="CZ51" s="847"/>
      <c r="DA51" s="847"/>
      <c r="DB51" s="847"/>
      <c r="DC51" s="847"/>
      <c r="DD51" s="847"/>
      <c r="DE51" s="847"/>
      <c r="DF51" s="847"/>
      <c r="DG51" s="847"/>
      <c r="DH51" s="847"/>
      <c r="DI51" s="847"/>
      <c r="DJ51" s="847"/>
    </row>
    <row r="52" spans="1:114" s="27" customFormat="1" ht="19.5" hidden="1" thickBot="1">
      <c r="A52" s="24"/>
      <c r="B52" s="25"/>
      <c r="C52" s="50"/>
      <c r="D52" s="57"/>
      <c r="E52" s="57">
        <v>10</v>
      </c>
      <c r="F52" s="207">
        <v>21</v>
      </c>
      <c r="G52" s="57"/>
      <c r="H52" s="207">
        <v>21</v>
      </c>
      <c r="I52" s="57"/>
      <c r="J52" s="207">
        <v>23</v>
      </c>
      <c r="K52" s="57"/>
      <c r="L52" s="57"/>
      <c r="M52" s="46"/>
      <c r="N52" s="117"/>
      <c r="O52" s="41"/>
      <c r="P52" s="41"/>
      <c r="Q52" s="57"/>
      <c r="R52" s="41"/>
      <c r="S52" s="41"/>
      <c r="T52" s="41">
        <v>10</v>
      </c>
      <c r="U52" s="253"/>
      <c r="V52" s="41"/>
      <c r="W52" s="36"/>
      <c r="X52" s="51"/>
      <c r="Y52" s="57"/>
      <c r="Z52" s="57"/>
      <c r="AA52" s="57"/>
      <c r="AB52" s="57"/>
      <c r="AC52" s="60"/>
      <c r="AD52" s="41"/>
      <c r="AE52" s="41"/>
      <c r="AF52" s="26"/>
      <c r="AG52" s="41"/>
      <c r="AH52" s="51"/>
      <c r="AI52" s="274"/>
      <c r="AJ52" s="104"/>
      <c r="AK52" s="847"/>
      <c r="AL52" s="847"/>
      <c r="AM52" s="847"/>
      <c r="AN52" s="847"/>
      <c r="AO52" s="847"/>
      <c r="AP52" s="847"/>
      <c r="AQ52" s="847"/>
      <c r="AR52" s="847"/>
      <c r="AS52" s="847"/>
      <c r="AT52" s="847"/>
      <c r="AU52" s="847"/>
      <c r="AV52" s="847"/>
      <c r="AW52" s="847"/>
      <c r="AX52" s="847"/>
      <c r="AY52" s="847"/>
      <c r="AZ52" s="847"/>
      <c r="BA52" s="847"/>
      <c r="BB52" s="847"/>
      <c r="BC52" s="847"/>
      <c r="BD52" s="847"/>
      <c r="BE52" s="847"/>
      <c r="BF52" s="847"/>
      <c r="BG52" s="847"/>
      <c r="BH52" s="847"/>
      <c r="BI52" s="847"/>
      <c r="BJ52" s="847"/>
      <c r="BK52" s="847"/>
      <c r="BL52" s="847"/>
      <c r="BM52" s="847"/>
      <c r="BN52" s="847"/>
      <c r="BO52" s="847"/>
      <c r="BP52" s="847"/>
      <c r="BQ52" s="847"/>
      <c r="BR52" s="847"/>
      <c r="BS52" s="847"/>
      <c r="BT52" s="847"/>
      <c r="BU52" s="847"/>
      <c r="BV52" s="847"/>
      <c r="BW52" s="847"/>
      <c r="BX52" s="847"/>
      <c r="BY52" s="847"/>
      <c r="BZ52" s="847"/>
      <c r="CA52" s="847"/>
      <c r="CB52" s="847"/>
      <c r="CC52" s="847"/>
      <c r="CD52" s="847"/>
      <c r="CE52" s="847"/>
      <c r="CF52" s="847"/>
      <c r="CG52" s="847"/>
      <c r="CH52" s="847"/>
      <c r="CI52" s="847"/>
      <c r="CJ52" s="847"/>
      <c r="CK52" s="847"/>
      <c r="CL52" s="847"/>
      <c r="CM52" s="847"/>
      <c r="CN52" s="847"/>
      <c r="CO52" s="847"/>
      <c r="CP52" s="847"/>
      <c r="CQ52" s="847"/>
      <c r="CR52" s="847"/>
      <c r="CS52" s="847"/>
      <c r="CT52" s="847"/>
      <c r="CU52" s="847"/>
      <c r="CV52" s="847"/>
      <c r="CW52" s="847"/>
      <c r="CX52" s="847"/>
      <c r="CY52" s="847"/>
      <c r="CZ52" s="847"/>
      <c r="DA52" s="847"/>
      <c r="DB52" s="847"/>
      <c r="DC52" s="847"/>
      <c r="DD52" s="847"/>
      <c r="DE52" s="847"/>
      <c r="DF52" s="847"/>
      <c r="DG52" s="847"/>
      <c r="DH52" s="847"/>
      <c r="DI52" s="847"/>
      <c r="DJ52" s="847"/>
    </row>
    <row r="53" spans="1:114" s="3" customFormat="1" ht="19.5" hidden="1" thickBot="1">
      <c r="A53" s="19">
        <v>23</v>
      </c>
      <c r="B53" s="20" t="s">
        <v>66</v>
      </c>
      <c r="C53" s="48">
        <v>1</v>
      </c>
      <c r="D53" s="42"/>
      <c r="E53" s="58"/>
      <c r="F53" s="533" t="e">
        <f t="shared" ref="F53" si="63">E53/AI53*100</f>
        <v>#DIV/0!</v>
      </c>
      <c r="G53" s="58"/>
      <c r="H53" s="523" t="e">
        <f t="shared" ref="H53" si="64">G53/AI53*100</f>
        <v>#DIV/0!</v>
      </c>
      <c r="I53" s="58"/>
      <c r="J53" s="523" t="e">
        <f t="shared" ref="J53" si="65">I53/AI53*100</f>
        <v>#DIV/0!</v>
      </c>
      <c r="K53" s="42"/>
      <c r="L53" s="58"/>
      <c r="M53" s="110"/>
      <c r="N53" s="118"/>
      <c r="O53" s="37"/>
      <c r="P53" s="37"/>
      <c r="Q53" s="56">
        <v>0</v>
      </c>
      <c r="R53" s="40"/>
      <c r="S53" s="40"/>
      <c r="T53" s="40">
        <v>100</v>
      </c>
      <c r="U53" s="250"/>
      <c r="V53" s="40"/>
      <c r="W53" s="34"/>
      <c r="X53" s="45"/>
      <c r="Y53" s="69"/>
      <c r="Z53" s="69"/>
      <c r="AA53" s="69"/>
      <c r="AB53" s="69"/>
      <c r="AC53" s="59"/>
      <c r="AD53" s="34"/>
      <c r="AE53" s="34"/>
      <c r="AF53" s="21"/>
      <c r="AG53" s="34"/>
      <c r="AH53" s="45"/>
      <c r="AI53" s="269"/>
      <c r="AJ53" s="549">
        <f>SUM(C54:AH54)</f>
        <v>78</v>
      </c>
      <c r="AK53" s="847"/>
      <c r="AL53" s="847"/>
      <c r="AM53" s="847"/>
      <c r="AN53" s="847"/>
      <c r="AO53" s="847"/>
      <c r="AP53" s="847"/>
      <c r="AQ53" s="847"/>
      <c r="AR53" s="847"/>
      <c r="AS53" s="847"/>
      <c r="AT53" s="847"/>
      <c r="AU53" s="847"/>
      <c r="AV53" s="847"/>
      <c r="AW53" s="847"/>
      <c r="AX53" s="847"/>
      <c r="AY53" s="847"/>
      <c r="AZ53" s="847"/>
      <c r="BA53" s="847"/>
      <c r="BB53" s="847"/>
      <c r="BC53" s="847"/>
      <c r="BD53" s="847"/>
      <c r="BE53" s="847"/>
      <c r="BF53" s="847"/>
      <c r="BG53" s="847"/>
      <c r="BH53" s="847"/>
      <c r="BI53" s="847"/>
      <c r="BJ53" s="847"/>
      <c r="BK53" s="847"/>
      <c r="BL53" s="847"/>
      <c r="BM53" s="847"/>
      <c r="BN53" s="847"/>
      <c r="BO53" s="847"/>
      <c r="BP53" s="847"/>
      <c r="BQ53" s="847"/>
      <c r="BR53" s="847"/>
      <c r="BS53" s="847"/>
      <c r="BT53" s="847"/>
      <c r="BU53" s="847"/>
      <c r="BV53" s="847"/>
      <c r="BW53" s="847"/>
      <c r="BX53" s="847"/>
      <c r="BY53" s="847"/>
      <c r="BZ53" s="847"/>
      <c r="CA53" s="847"/>
      <c r="CB53" s="847"/>
      <c r="CC53" s="847"/>
      <c r="CD53" s="847"/>
      <c r="CE53" s="847"/>
      <c r="CF53" s="847"/>
      <c r="CG53" s="847"/>
      <c r="CH53" s="847"/>
      <c r="CI53" s="847"/>
      <c r="CJ53" s="847"/>
      <c r="CK53" s="847"/>
      <c r="CL53" s="847"/>
      <c r="CM53" s="847"/>
      <c r="CN53" s="847"/>
      <c r="CO53" s="847"/>
      <c r="CP53" s="847"/>
      <c r="CQ53" s="847"/>
      <c r="CR53" s="847"/>
      <c r="CS53" s="847"/>
      <c r="CT53" s="847"/>
      <c r="CU53" s="847"/>
      <c r="CV53" s="847"/>
      <c r="CW53" s="847"/>
      <c r="CX53" s="847"/>
      <c r="CY53" s="847"/>
      <c r="CZ53" s="847"/>
      <c r="DA53" s="847"/>
      <c r="DB53" s="847"/>
      <c r="DC53" s="847"/>
      <c r="DD53" s="847"/>
      <c r="DE53" s="847"/>
      <c r="DF53" s="847"/>
      <c r="DG53" s="847"/>
      <c r="DH53" s="847"/>
      <c r="DI53" s="847"/>
      <c r="DJ53" s="847"/>
    </row>
    <row r="54" spans="1:114" s="31" customFormat="1" ht="19.5" hidden="1" thickBot="1">
      <c r="A54" s="24"/>
      <c r="B54" s="25"/>
      <c r="C54" s="50"/>
      <c r="D54" s="43"/>
      <c r="E54" s="65"/>
      <c r="F54" s="207">
        <v>22</v>
      </c>
      <c r="G54" s="65"/>
      <c r="H54" s="207">
        <v>22</v>
      </c>
      <c r="I54" s="65"/>
      <c r="J54" s="207">
        <v>24</v>
      </c>
      <c r="K54" s="43"/>
      <c r="L54" s="65"/>
      <c r="M54" s="114"/>
      <c r="N54" s="120"/>
      <c r="O54" s="38"/>
      <c r="P54" s="38"/>
      <c r="Q54" s="57"/>
      <c r="R54" s="41"/>
      <c r="S54" s="41"/>
      <c r="T54" s="41">
        <v>10</v>
      </c>
      <c r="U54" s="253"/>
      <c r="V54" s="41"/>
      <c r="W54" s="36"/>
      <c r="X54" s="47"/>
      <c r="Y54" s="57"/>
      <c r="Z54" s="57"/>
      <c r="AA54" s="57"/>
      <c r="AB54" s="57"/>
      <c r="AC54" s="60"/>
      <c r="AD54" s="36"/>
      <c r="AE54" s="36"/>
      <c r="AF54" s="26"/>
      <c r="AG54" s="36"/>
      <c r="AH54" s="47"/>
      <c r="AI54" s="275"/>
      <c r="AJ54" s="545"/>
      <c r="AK54" s="847"/>
      <c r="AL54" s="847"/>
      <c r="AM54" s="847"/>
      <c r="AN54" s="847"/>
      <c r="AO54" s="847"/>
      <c r="AP54" s="847"/>
      <c r="AQ54" s="847"/>
      <c r="AR54" s="847"/>
      <c r="AS54" s="847"/>
      <c r="AT54" s="847"/>
      <c r="AU54" s="847"/>
      <c r="AV54" s="847"/>
      <c r="AW54" s="847"/>
      <c r="AX54" s="847"/>
      <c r="AY54" s="847"/>
      <c r="AZ54" s="847"/>
      <c r="BA54" s="847"/>
      <c r="BB54" s="847"/>
      <c r="BC54" s="847"/>
      <c r="BD54" s="847"/>
      <c r="BE54" s="847"/>
      <c r="BF54" s="847"/>
      <c r="BG54" s="847"/>
      <c r="BH54" s="847"/>
      <c r="BI54" s="847"/>
      <c r="BJ54" s="847"/>
      <c r="BK54" s="847"/>
      <c r="BL54" s="847"/>
      <c r="BM54" s="847"/>
      <c r="BN54" s="847"/>
      <c r="BO54" s="847"/>
      <c r="BP54" s="847"/>
      <c r="BQ54" s="847"/>
      <c r="BR54" s="847"/>
      <c r="BS54" s="847"/>
      <c r="BT54" s="847"/>
      <c r="BU54" s="847"/>
      <c r="BV54" s="847"/>
      <c r="BW54" s="847"/>
      <c r="BX54" s="847"/>
      <c r="BY54" s="847"/>
      <c r="BZ54" s="847"/>
      <c r="CA54" s="847"/>
      <c r="CB54" s="847"/>
      <c r="CC54" s="847"/>
      <c r="CD54" s="847"/>
      <c r="CE54" s="847"/>
      <c r="CF54" s="847"/>
      <c r="CG54" s="847"/>
      <c r="CH54" s="847"/>
      <c r="CI54" s="847"/>
      <c r="CJ54" s="847"/>
      <c r="CK54" s="847"/>
      <c r="CL54" s="847"/>
      <c r="CM54" s="847"/>
      <c r="CN54" s="847"/>
      <c r="CO54" s="847"/>
      <c r="CP54" s="847"/>
      <c r="CQ54" s="847"/>
      <c r="CR54" s="847"/>
      <c r="CS54" s="847"/>
      <c r="CT54" s="847"/>
      <c r="CU54" s="847"/>
      <c r="CV54" s="847"/>
      <c r="CW54" s="847"/>
      <c r="CX54" s="847"/>
      <c r="CY54" s="847"/>
      <c r="CZ54" s="847"/>
      <c r="DA54" s="847"/>
      <c r="DB54" s="847"/>
      <c r="DC54" s="847"/>
      <c r="DD54" s="847"/>
      <c r="DE54" s="847"/>
      <c r="DF54" s="847"/>
      <c r="DG54" s="847"/>
      <c r="DH54" s="847"/>
      <c r="DI54" s="847"/>
      <c r="DJ54" s="847"/>
    </row>
    <row r="55" spans="1:114" s="4" customFormat="1" ht="19.5" thickBot="1">
      <c r="A55" s="19">
        <v>24</v>
      </c>
      <c r="B55" s="22" t="s">
        <v>20</v>
      </c>
      <c r="C55" s="54">
        <v>62</v>
      </c>
      <c r="D55" s="39"/>
      <c r="E55" s="64">
        <v>0</v>
      </c>
      <c r="F55" s="533">
        <f t="shared" ref="F55" si="66">E55/AI55*100</f>
        <v>0</v>
      </c>
      <c r="G55" s="64">
        <v>0</v>
      </c>
      <c r="H55" s="523">
        <f t="shared" ref="H55" si="67">G55/AI55*100</f>
        <v>0</v>
      </c>
      <c r="I55" s="64"/>
      <c r="J55" s="523">
        <f t="shared" ref="J55" si="68">I55/AI55*100</f>
        <v>0</v>
      </c>
      <c r="K55" s="109"/>
      <c r="L55" s="64">
        <v>0</v>
      </c>
      <c r="M55" s="115">
        <v>0</v>
      </c>
      <c r="N55" s="116"/>
      <c r="O55" s="39">
        <v>0</v>
      </c>
      <c r="P55" s="39"/>
      <c r="Q55" s="64">
        <v>23</v>
      </c>
      <c r="R55" s="39" t="s">
        <v>81</v>
      </c>
      <c r="S55" s="39" t="s">
        <v>81</v>
      </c>
      <c r="T55" s="39">
        <v>11.54</v>
      </c>
      <c r="U55" s="252">
        <v>0</v>
      </c>
      <c r="V55" s="39">
        <v>1.61</v>
      </c>
      <c r="W55" s="39"/>
      <c r="X55" s="55"/>
      <c r="Y55" s="66">
        <v>0.02</v>
      </c>
      <c r="Z55" s="66">
        <v>0</v>
      </c>
      <c r="AA55" s="66">
        <v>0</v>
      </c>
      <c r="AB55" s="66">
        <v>0.12</v>
      </c>
      <c r="AC55" s="63"/>
      <c r="AD55" s="39"/>
      <c r="AE55" s="39"/>
      <c r="AF55" s="23"/>
      <c r="AG55" s="39"/>
      <c r="AH55" s="55"/>
      <c r="AI55" s="273">
        <v>1322</v>
      </c>
      <c r="AJ55" s="543">
        <f>SUM(C56:AH56)</f>
        <v>53.5</v>
      </c>
      <c r="AK55" s="847"/>
      <c r="AL55" s="847"/>
      <c r="AM55" s="847"/>
      <c r="AN55" s="847"/>
      <c r="AO55" s="847"/>
      <c r="AP55" s="847"/>
      <c r="AQ55" s="847"/>
      <c r="AR55" s="847"/>
      <c r="AS55" s="847"/>
      <c r="AT55" s="847"/>
      <c r="AU55" s="847"/>
      <c r="AV55" s="847"/>
      <c r="AW55" s="847"/>
      <c r="AX55" s="847"/>
      <c r="AY55" s="847"/>
      <c r="AZ55" s="847"/>
      <c r="BA55" s="847"/>
      <c r="BB55" s="847"/>
      <c r="BC55" s="847"/>
      <c r="BD55" s="847"/>
      <c r="BE55" s="847"/>
      <c r="BF55" s="847"/>
      <c r="BG55" s="847"/>
      <c r="BH55" s="847"/>
      <c r="BI55" s="847"/>
      <c r="BJ55" s="847"/>
      <c r="BK55" s="847"/>
      <c r="BL55" s="847"/>
      <c r="BM55" s="847"/>
      <c r="BN55" s="847"/>
      <c r="BO55" s="847"/>
      <c r="BP55" s="847"/>
      <c r="BQ55" s="847"/>
      <c r="BR55" s="847"/>
      <c r="BS55" s="847"/>
      <c r="BT55" s="847"/>
      <c r="BU55" s="847"/>
      <c r="BV55" s="847"/>
      <c r="BW55" s="847"/>
      <c r="BX55" s="847"/>
      <c r="BY55" s="847"/>
      <c r="BZ55" s="847"/>
      <c r="CA55" s="847"/>
      <c r="CB55" s="847"/>
      <c r="CC55" s="847"/>
      <c r="CD55" s="847"/>
      <c r="CE55" s="847"/>
      <c r="CF55" s="847"/>
      <c r="CG55" s="847"/>
      <c r="CH55" s="847"/>
      <c r="CI55" s="847"/>
      <c r="CJ55" s="847"/>
      <c r="CK55" s="847"/>
      <c r="CL55" s="847"/>
      <c r="CM55" s="847"/>
      <c r="CN55" s="847"/>
      <c r="CO55" s="847"/>
      <c r="CP55" s="847"/>
      <c r="CQ55" s="847"/>
      <c r="CR55" s="847"/>
      <c r="CS55" s="847"/>
      <c r="CT55" s="847"/>
      <c r="CU55" s="847"/>
      <c r="CV55" s="847"/>
      <c r="CW55" s="847"/>
      <c r="CX55" s="847"/>
      <c r="CY55" s="847"/>
      <c r="CZ55" s="847"/>
      <c r="DA55" s="847"/>
      <c r="DB55" s="847"/>
      <c r="DC55" s="847"/>
      <c r="DD55" s="847"/>
      <c r="DE55" s="847"/>
      <c r="DF55" s="847"/>
      <c r="DG55" s="847"/>
      <c r="DH55" s="847"/>
      <c r="DI55" s="847"/>
      <c r="DJ55" s="847"/>
    </row>
    <row r="56" spans="1:114" s="27" customFormat="1" ht="15" customHeight="1" thickBot="1">
      <c r="A56" s="203"/>
      <c r="B56" s="204"/>
      <c r="C56" s="214"/>
      <c r="D56" s="205"/>
      <c r="E56" s="207"/>
      <c r="F56" s="207">
        <v>10</v>
      </c>
      <c r="G56" s="207"/>
      <c r="H56" s="207">
        <v>5</v>
      </c>
      <c r="I56" s="207"/>
      <c r="J56" s="207">
        <v>5</v>
      </c>
      <c r="K56" s="205">
        <v>-0.5</v>
      </c>
      <c r="L56" s="207">
        <v>10</v>
      </c>
      <c r="M56" s="206">
        <v>10</v>
      </c>
      <c r="N56" s="206"/>
      <c r="O56" s="205">
        <v>10</v>
      </c>
      <c r="P56" s="205"/>
      <c r="Q56" s="207">
        <v>3</v>
      </c>
      <c r="R56" s="205">
        <v>0</v>
      </c>
      <c r="S56" s="205">
        <v>0</v>
      </c>
      <c r="T56" s="205">
        <v>1</v>
      </c>
      <c r="U56" s="249">
        <v>0</v>
      </c>
      <c r="V56" s="205">
        <v>0</v>
      </c>
      <c r="W56" s="205"/>
      <c r="X56" s="208"/>
      <c r="Y56" s="207">
        <v>0</v>
      </c>
      <c r="Z56" s="207">
        <v>0</v>
      </c>
      <c r="AA56" s="207">
        <v>0</v>
      </c>
      <c r="AB56" s="207">
        <v>0</v>
      </c>
      <c r="AC56" s="210"/>
      <c r="AD56" s="205"/>
      <c r="AE56" s="205"/>
      <c r="AF56" s="211"/>
      <c r="AG56" s="205"/>
      <c r="AH56" s="208"/>
      <c r="AI56" s="268"/>
      <c r="AK56" s="847"/>
      <c r="AL56" s="847"/>
      <c r="AM56" s="847"/>
      <c r="AN56" s="847"/>
      <c r="AO56" s="847"/>
      <c r="AP56" s="847"/>
      <c r="AQ56" s="847"/>
      <c r="AR56" s="847"/>
      <c r="AS56" s="847"/>
      <c r="AT56" s="847"/>
      <c r="AU56" s="847"/>
      <c r="AV56" s="847"/>
      <c r="AW56" s="847"/>
      <c r="AX56" s="847"/>
      <c r="AY56" s="847"/>
      <c r="AZ56" s="847"/>
      <c r="BA56" s="847"/>
      <c r="BB56" s="847"/>
      <c r="BC56" s="847"/>
      <c r="BD56" s="847"/>
      <c r="BE56" s="847"/>
      <c r="BF56" s="847"/>
      <c r="BG56" s="847"/>
      <c r="BH56" s="847"/>
      <c r="BI56" s="847"/>
      <c r="BJ56" s="847"/>
      <c r="BK56" s="847"/>
      <c r="BL56" s="847"/>
      <c r="BM56" s="847"/>
      <c r="BN56" s="847"/>
      <c r="BO56" s="847"/>
      <c r="BP56" s="847"/>
      <c r="BQ56" s="847"/>
      <c r="BR56" s="847"/>
      <c r="BS56" s="847"/>
      <c r="BT56" s="847"/>
      <c r="BU56" s="847"/>
      <c r="BV56" s="847"/>
      <c r="BW56" s="847"/>
      <c r="BX56" s="847"/>
      <c r="BY56" s="847"/>
      <c r="BZ56" s="847"/>
      <c r="CA56" s="847"/>
      <c r="CB56" s="847"/>
      <c r="CC56" s="847"/>
      <c r="CD56" s="847"/>
      <c r="CE56" s="847"/>
      <c r="CF56" s="847"/>
      <c r="CG56" s="847"/>
      <c r="CH56" s="847"/>
      <c r="CI56" s="847"/>
      <c r="CJ56" s="847"/>
      <c r="CK56" s="847"/>
      <c r="CL56" s="847"/>
      <c r="CM56" s="847"/>
      <c r="CN56" s="847"/>
      <c r="CO56" s="847"/>
      <c r="CP56" s="847"/>
      <c r="CQ56" s="847"/>
      <c r="CR56" s="847"/>
      <c r="CS56" s="847"/>
      <c r="CT56" s="847"/>
      <c r="CU56" s="847"/>
      <c r="CV56" s="847"/>
      <c r="CW56" s="847"/>
      <c r="CX56" s="847"/>
      <c r="CY56" s="847"/>
      <c r="CZ56" s="847"/>
      <c r="DA56" s="847"/>
      <c r="DB56" s="847"/>
      <c r="DC56" s="847"/>
      <c r="DD56" s="847"/>
      <c r="DE56" s="847"/>
      <c r="DF56" s="847"/>
      <c r="DG56" s="847"/>
      <c r="DH56" s="847"/>
      <c r="DI56" s="847"/>
      <c r="DJ56" s="847"/>
    </row>
    <row r="57" spans="1:114" ht="18.75" hidden="1">
      <c r="A57" s="19">
        <v>25</v>
      </c>
      <c r="B57" s="20" t="s">
        <v>67</v>
      </c>
      <c r="C57" s="48">
        <v>2</v>
      </c>
      <c r="D57" s="34"/>
      <c r="E57" s="56">
        <v>0</v>
      </c>
      <c r="F57" s="533" t="e">
        <f t="shared" ref="F57" si="69">E57/AI57*100</f>
        <v>#DIV/0!</v>
      </c>
      <c r="G57" s="56"/>
      <c r="H57" s="523" t="e">
        <f t="shared" ref="H57" si="70">G57/AI57*100</f>
        <v>#DIV/0!</v>
      </c>
      <c r="I57" s="56"/>
      <c r="J57" s="523" t="e">
        <f t="shared" ref="J57" si="71">I57/AI57*100</f>
        <v>#DIV/0!</v>
      </c>
      <c r="K57" s="34"/>
      <c r="L57" s="56"/>
      <c r="M57" s="44"/>
      <c r="N57" s="116"/>
      <c r="O57" s="34"/>
      <c r="P57" s="34"/>
      <c r="Q57" s="56">
        <v>0</v>
      </c>
      <c r="R57" s="34"/>
      <c r="S57" s="34"/>
      <c r="T57" s="34">
        <v>100</v>
      </c>
      <c r="U57" s="250"/>
      <c r="V57" s="34"/>
      <c r="W57" s="34"/>
      <c r="X57" s="45"/>
      <c r="Y57" s="69"/>
      <c r="Z57" s="69"/>
      <c r="AA57" s="69"/>
      <c r="AB57" s="69"/>
      <c r="AC57" s="59"/>
      <c r="AD57" s="34"/>
      <c r="AE57" s="34"/>
      <c r="AF57" s="21"/>
      <c r="AG57" s="34"/>
      <c r="AH57" s="45"/>
      <c r="AI57" s="269"/>
      <c r="AJ57" s="105"/>
      <c r="AK57" s="847"/>
      <c r="AL57" s="847"/>
      <c r="AM57" s="847"/>
      <c r="AN57" s="847"/>
      <c r="AO57" s="847"/>
      <c r="AP57" s="847"/>
      <c r="AQ57" s="847"/>
      <c r="AR57" s="847"/>
      <c r="AS57" s="847"/>
      <c r="AT57" s="847"/>
      <c r="AU57" s="847"/>
      <c r="AV57" s="847"/>
      <c r="AW57" s="847"/>
      <c r="AX57" s="847"/>
      <c r="AY57" s="847"/>
      <c r="AZ57" s="847"/>
      <c r="BA57" s="847"/>
      <c r="BB57" s="847"/>
      <c r="BC57" s="847"/>
      <c r="BD57" s="847"/>
      <c r="BE57" s="847"/>
      <c r="BF57" s="847"/>
      <c r="BG57" s="847"/>
      <c r="BH57" s="847"/>
      <c r="BI57" s="847"/>
      <c r="BJ57" s="847"/>
      <c r="BK57" s="847"/>
      <c r="BL57" s="847"/>
      <c r="BM57" s="847"/>
      <c r="BN57" s="847"/>
      <c r="BO57" s="847"/>
      <c r="BP57" s="847"/>
      <c r="BQ57" s="847"/>
      <c r="BR57" s="847"/>
      <c r="BS57" s="847"/>
      <c r="BT57" s="847"/>
      <c r="BU57" s="847"/>
      <c r="BV57" s="847"/>
      <c r="BW57" s="847"/>
      <c r="BX57" s="847"/>
      <c r="BY57" s="847"/>
      <c r="BZ57" s="847"/>
      <c r="CA57" s="847"/>
      <c r="CB57" s="847"/>
      <c r="CC57" s="847"/>
      <c r="CD57" s="847"/>
      <c r="CE57" s="847"/>
      <c r="CF57" s="847"/>
      <c r="CG57" s="847"/>
      <c r="CH57" s="847"/>
      <c r="CI57" s="847"/>
      <c r="CJ57" s="847"/>
      <c r="CK57" s="847"/>
      <c r="CL57" s="847"/>
      <c r="CM57" s="847"/>
      <c r="CN57" s="847"/>
      <c r="CO57" s="847"/>
      <c r="CP57" s="847"/>
      <c r="CQ57" s="847"/>
      <c r="CR57" s="847"/>
      <c r="CS57" s="847"/>
      <c r="CT57" s="847"/>
      <c r="CU57" s="847"/>
      <c r="CV57" s="847"/>
      <c r="CW57" s="847"/>
      <c r="CX57" s="847"/>
      <c r="CY57" s="847"/>
      <c r="CZ57" s="847"/>
      <c r="DA57" s="847"/>
      <c r="DB57" s="847"/>
      <c r="DC57" s="847"/>
      <c r="DD57" s="847"/>
      <c r="DE57" s="847"/>
      <c r="DF57" s="847"/>
      <c r="DG57" s="847"/>
      <c r="DH57" s="847"/>
      <c r="DI57" s="847"/>
      <c r="DJ57" s="847"/>
    </row>
    <row r="58" spans="1:114" s="27" customFormat="1" ht="15.75" hidden="1" customHeight="1" thickBot="1">
      <c r="A58" s="24"/>
      <c r="B58" s="25"/>
      <c r="C58" s="50"/>
      <c r="D58" s="36"/>
      <c r="E58" s="57">
        <v>10</v>
      </c>
      <c r="F58" s="207">
        <v>24</v>
      </c>
      <c r="G58" s="57"/>
      <c r="H58" s="207">
        <v>24</v>
      </c>
      <c r="I58" s="57"/>
      <c r="J58" s="207">
        <v>26</v>
      </c>
      <c r="K58" s="36"/>
      <c r="L58" s="57"/>
      <c r="M58" s="46"/>
      <c r="N58" s="117"/>
      <c r="O58" s="36"/>
      <c r="P58" s="36"/>
      <c r="Q58" s="57"/>
      <c r="R58" s="36"/>
      <c r="S58" s="36"/>
      <c r="T58" s="36">
        <v>10</v>
      </c>
      <c r="U58" s="253"/>
      <c r="V58" s="36"/>
      <c r="W58" s="36"/>
      <c r="X58" s="47"/>
      <c r="Y58" s="57"/>
      <c r="Z58" s="57"/>
      <c r="AA58" s="57"/>
      <c r="AB58" s="57"/>
      <c r="AC58" s="60"/>
      <c r="AD58" s="36"/>
      <c r="AE58" s="36"/>
      <c r="AF58" s="26"/>
      <c r="AG58" s="36"/>
      <c r="AH58" s="47"/>
      <c r="AI58" s="275"/>
      <c r="AJ58" s="101">
        <f>SUM(C58:AH58)</f>
        <v>94</v>
      </c>
      <c r="AK58" s="847"/>
      <c r="AL58" s="847"/>
      <c r="AM58" s="847"/>
      <c r="AN58" s="847"/>
      <c r="AO58" s="847"/>
      <c r="AP58" s="847"/>
      <c r="AQ58" s="847"/>
      <c r="AR58" s="847"/>
      <c r="AS58" s="847"/>
      <c r="AT58" s="847"/>
      <c r="AU58" s="847"/>
      <c r="AV58" s="847"/>
      <c r="AW58" s="847"/>
      <c r="AX58" s="847"/>
      <c r="AY58" s="847"/>
      <c r="AZ58" s="847"/>
      <c r="BA58" s="847"/>
      <c r="BB58" s="847"/>
      <c r="BC58" s="847"/>
      <c r="BD58" s="847"/>
      <c r="BE58" s="847"/>
      <c r="BF58" s="847"/>
      <c r="BG58" s="847"/>
      <c r="BH58" s="847"/>
      <c r="BI58" s="847"/>
      <c r="BJ58" s="847"/>
      <c r="BK58" s="847"/>
      <c r="BL58" s="847"/>
      <c r="BM58" s="847"/>
      <c r="BN58" s="847"/>
      <c r="BO58" s="847"/>
      <c r="BP58" s="847"/>
      <c r="BQ58" s="847"/>
      <c r="BR58" s="847"/>
      <c r="BS58" s="847"/>
      <c r="BT58" s="847"/>
      <c r="BU58" s="847"/>
      <c r="BV58" s="847"/>
      <c r="BW58" s="847"/>
      <c r="BX58" s="847"/>
      <c r="BY58" s="847"/>
      <c r="BZ58" s="847"/>
      <c r="CA58" s="847"/>
      <c r="CB58" s="847"/>
      <c r="CC58" s="847"/>
      <c r="CD58" s="847"/>
      <c r="CE58" s="847"/>
      <c r="CF58" s="847"/>
      <c r="CG58" s="847"/>
      <c r="CH58" s="847"/>
      <c r="CI58" s="847"/>
      <c r="CJ58" s="847"/>
      <c r="CK58" s="847"/>
      <c r="CL58" s="847"/>
      <c r="CM58" s="847"/>
      <c r="CN58" s="847"/>
      <c r="CO58" s="847"/>
      <c r="CP58" s="847"/>
      <c r="CQ58" s="847"/>
      <c r="CR58" s="847"/>
      <c r="CS58" s="847"/>
      <c r="CT58" s="847"/>
      <c r="CU58" s="847"/>
      <c r="CV58" s="847"/>
      <c r="CW58" s="847"/>
      <c r="CX58" s="847"/>
      <c r="CY58" s="847"/>
      <c r="CZ58" s="847"/>
      <c r="DA58" s="847"/>
      <c r="DB58" s="847"/>
      <c r="DC58" s="847"/>
      <c r="DD58" s="847"/>
      <c r="DE58" s="847"/>
      <c r="DF58" s="847"/>
      <c r="DG58" s="847"/>
      <c r="DH58" s="847"/>
      <c r="DI58" s="847"/>
      <c r="DJ58" s="847"/>
    </row>
    <row r="59" spans="1:114" ht="18.75" hidden="1">
      <c r="A59" s="19">
        <v>26</v>
      </c>
      <c r="B59" s="20" t="s">
        <v>16</v>
      </c>
      <c r="C59" s="48">
        <v>188</v>
      </c>
      <c r="D59" s="34"/>
      <c r="E59" s="56">
        <v>2</v>
      </c>
      <c r="F59" s="533" t="e">
        <f t="shared" ref="F59" si="72">E59/AI59*100</f>
        <v>#DIV/0!</v>
      </c>
      <c r="G59" s="56">
        <v>10</v>
      </c>
      <c r="H59" s="523" t="e">
        <f t="shared" ref="H59" si="73">G59/AI59*100</f>
        <v>#DIV/0!</v>
      </c>
      <c r="I59" s="56">
        <v>4</v>
      </c>
      <c r="J59" s="523" t="e">
        <f t="shared" ref="J59" si="74">I59/AI59*100</f>
        <v>#DIV/0!</v>
      </c>
      <c r="K59" s="244"/>
      <c r="L59" s="56">
        <v>0</v>
      </c>
      <c r="M59" s="44">
        <v>0</v>
      </c>
      <c r="N59" s="116"/>
      <c r="O59" s="34">
        <v>0</v>
      </c>
      <c r="P59" s="34"/>
      <c r="Q59" s="56">
        <v>0</v>
      </c>
      <c r="R59" s="40" t="s">
        <v>81</v>
      </c>
      <c r="S59" s="40" t="s">
        <v>81</v>
      </c>
      <c r="T59" s="40">
        <v>0</v>
      </c>
      <c r="U59" s="250">
        <v>0</v>
      </c>
      <c r="V59" s="40">
        <v>0</v>
      </c>
      <c r="W59" s="34"/>
      <c r="X59" s="45"/>
      <c r="Y59" s="69"/>
      <c r="Z59" s="69"/>
      <c r="AA59" s="69"/>
      <c r="AB59" s="69"/>
      <c r="AC59" s="59"/>
      <c r="AD59" s="34"/>
      <c r="AE59" s="34"/>
      <c r="AF59" s="21"/>
      <c r="AG59" s="34"/>
      <c r="AH59" s="45"/>
      <c r="AI59" s="267"/>
      <c r="AJ59" s="102"/>
      <c r="AK59" s="847"/>
      <c r="AL59" s="847"/>
      <c r="AM59" s="847"/>
      <c r="AN59" s="847"/>
      <c r="AO59" s="847"/>
      <c r="AP59" s="847"/>
      <c r="AQ59" s="847"/>
      <c r="AR59" s="847"/>
      <c r="AS59" s="847"/>
      <c r="AT59" s="847"/>
      <c r="AU59" s="847"/>
      <c r="AV59" s="847"/>
      <c r="AW59" s="847"/>
      <c r="AX59" s="847"/>
      <c r="AY59" s="847"/>
      <c r="AZ59" s="847"/>
      <c r="BA59" s="847"/>
      <c r="BB59" s="847"/>
      <c r="BC59" s="847"/>
      <c r="BD59" s="847"/>
      <c r="BE59" s="847"/>
      <c r="BF59" s="847"/>
      <c r="BG59" s="847"/>
      <c r="BH59" s="847"/>
      <c r="BI59" s="847"/>
      <c r="BJ59" s="847"/>
      <c r="BK59" s="847"/>
      <c r="BL59" s="847"/>
      <c r="BM59" s="847"/>
      <c r="BN59" s="847"/>
      <c r="BO59" s="847"/>
      <c r="BP59" s="847"/>
      <c r="BQ59" s="847"/>
      <c r="BR59" s="847"/>
      <c r="BS59" s="847"/>
      <c r="BT59" s="847"/>
      <c r="BU59" s="847"/>
      <c r="BV59" s="847"/>
      <c r="BW59" s="847"/>
      <c r="BX59" s="847"/>
      <c r="BY59" s="847"/>
      <c r="BZ59" s="847"/>
      <c r="CA59" s="847"/>
      <c r="CB59" s="847"/>
      <c r="CC59" s="847"/>
      <c r="CD59" s="847"/>
      <c r="CE59" s="847"/>
      <c r="CF59" s="847"/>
      <c r="CG59" s="847"/>
      <c r="CH59" s="847"/>
      <c r="CI59" s="847"/>
      <c r="CJ59" s="847"/>
      <c r="CK59" s="847"/>
      <c r="CL59" s="847"/>
      <c r="CM59" s="847"/>
      <c r="CN59" s="847"/>
      <c r="CO59" s="847"/>
      <c r="CP59" s="847"/>
      <c r="CQ59" s="847"/>
      <c r="CR59" s="847"/>
      <c r="CS59" s="847"/>
      <c r="CT59" s="847"/>
      <c r="CU59" s="847"/>
      <c r="CV59" s="847"/>
      <c r="CW59" s="847"/>
      <c r="CX59" s="847"/>
      <c r="CY59" s="847"/>
      <c r="CZ59" s="847"/>
      <c r="DA59" s="847"/>
      <c r="DB59" s="847"/>
      <c r="DC59" s="847"/>
      <c r="DD59" s="847"/>
      <c r="DE59" s="847"/>
      <c r="DF59" s="847"/>
      <c r="DG59" s="847"/>
      <c r="DH59" s="847"/>
      <c r="DI59" s="847"/>
      <c r="DJ59" s="847"/>
    </row>
    <row r="60" spans="1:114" s="27" customFormat="1" ht="19.5" hidden="1" thickBot="1">
      <c r="A60" s="203"/>
      <c r="B60" s="204"/>
      <c r="C60" s="214"/>
      <c r="D60" s="205"/>
      <c r="E60" s="207"/>
      <c r="F60" s="207">
        <v>25</v>
      </c>
      <c r="G60" s="207"/>
      <c r="H60" s="207">
        <v>25</v>
      </c>
      <c r="I60" s="207"/>
      <c r="J60" s="207">
        <v>27</v>
      </c>
      <c r="K60" s="215"/>
      <c r="L60" s="207">
        <v>10</v>
      </c>
      <c r="M60" s="206">
        <v>10</v>
      </c>
      <c r="N60" s="206"/>
      <c r="O60" s="205">
        <v>10</v>
      </c>
      <c r="P60" s="205"/>
      <c r="Q60" s="207">
        <v>0</v>
      </c>
      <c r="R60" s="215">
        <v>0</v>
      </c>
      <c r="S60" s="215">
        <v>0</v>
      </c>
      <c r="T60" s="215">
        <v>0</v>
      </c>
      <c r="U60" s="249">
        <v>0</v>
      </c>
      <c r="V60" s="215">
        <v>0</v>
      </c>
      <c r="W60" s="205"/>
      <c r="X60" s="208"/>
      <c r="Y60" s="207"/>
      <c r="Z60" s="207"/>
      <c r="AA60" s="207"/>
      <c r="AB60" s="207"/>
      <c r="AC60" s="210"/>
      <c r="AD60" s="205"/>
      <c r="AE60" s="205"/>
      <c r="AF60" s="211"/>
      <c r="AG60" s="205"/>
      <c r="AH60" s="208"/>
      <c r="AI60" s="268"/>
      <c r="AJ60" s="213">
        <f>SUM(C60:AH60)</f>
        <v>107</v>
      </c>
      <c r="AK60" s="847"/>
      <c r="AL60" s="847"/>
      <c r="AM60" s="847"/>
      <c r="AN60" s="847"/>
      <c r="AO60" s="847"/>
      <c r="AP60" s="847"/>
      <c r="AQ60" s="847"/>
      <c r="AR60" s="847"/>
      <c r="AS60" s="847"/>
      <c r="AT60" s="847"/>
      <c r="AU60" s="847"/>
      <c r="AV60" s="847"/>
      <c r="AW60" s="847"/>
      <c r="AX60" s="847"/>
      <c r="AY60" s="847"/>
      <c r="AZ60" s="847"/>
      <c r="BA60" s="847"/>
      <c r="BB60" s="847"/>
      <c r="BC60" s="847"/>
      <c r="BD60" s="847"/>
      <c r="BE60" s="847"/>
      <c r="BF60" s="847"/>
      <c r="BG60" s="847"/>
      <c r="BH60" s="847"/>
      <c r="BI60" s="847"/>
      <c r="BJ60" s="847"/>
      <c r="BK60" s="847"/>
      <c r="BL60" s="847"/>
      <c r="BM60" s="847"/>
      <c r="BN60" s="847"/>
      <c r="BO60" s="847"/>
      <c r="BP60" s="847"/>
      <c r="BQ60" s="847"/>
      <c r="BR60" s="847"/>
      <c r="BS60" s="847"/>
      <c r="BT60" s="847"/>
      <c r="BU60" s="847"/>
      <c r="BV60" s="847"/>
      <c r="BW60" s="847"/>
      <c r="BX60" s="847"/>
      <c r="BY60" s="847"/>
      <c r="BZ60" s="847"/>
      <c r="CA60" s="847"/>
      <c r="CB60" s="847"/>
      <c r="CC60" s="847"/>
      <c r="CD60" s="847"/>
      <c r="CE60" s="847"/>
      <c r="CF60" s="847"/>
      <c r="CG60" s="847"/>
      <c r="CH60" s="847"/>
      <c r="CI60" s="847"/>
      <c r="CJ60" s="847"/>
      <c r="CK60" s="847"/>
      <c r="CL60" s="847"/>
      <c r="CM60" s="847"/>
      <c r="CN60" s="847"/>
      <c r="CO60" s="847"/>
      <c r="CP60" s="847"/>
      <c r="CQ60" s="847"/>
      <c r="CR60" s="847"/>
      <c r="CS60" s="847"/>
      <c r="CT60" s="847"/>
      <c r="CU60" s="847"/>
      <c r="CV60" s="847"/>
      <c r="CW60" s="847"/>
      <c r="CX60" s="847"/>
      <c r="CY60" s="847"/>
      <c r="CZ60" s="847"/>
      <c r="DA60" s="847"/>
      <c r="DB60" s="847"/>
      <c r="DC60" s="847"/>
      <c r="DD60" s="847"/>
      <c r="DE60" s="847"/>
      <c r="DF60" s="847"/>
      <c r="DG60" s="847"/>
      <c r="DH60" s="847"/>
      <c r="DI60" s="847"/>
      <c r="DJ60" s="847"/>
    </row>
    <row r="61" spans="1:114" s="3" customFormat="1" ht="18.75" hidden="1">
      <c r="A61" s="19">
        <v>27</v>
      </c>
      <c r="B61" s="20" t="s">
        <v>68</v>
      </c>
      <c r="C61" s="48">
        <v>1</v>
      </c>
      <c r="D61" s="37"/>
      <c r="E61" s="58"/>
      <c r="F61" s="536"/>
      <c r="G61" s="58"/>
      <c r="H61" s="525"/>
      <c r="I61" s="58"/>
      <c r="J61" s="525"/>
      <c r="K61" s="37"/>
      <c r="L61" s="58"/>
      <c r="M61" s="110"/>
      <c r="N61" s="110"/>
      <c r="O61" s="37"/>
      <c r="P61" s="37"/>
      <c r="Q61" s="56">
        <v>0</v>
      </c>
      <c r="R61" s="40"/>
      <c r="S61" s="40"/>
      <c r="T61" s="40">
        <v>0</v>
      </c>
      <c r="U61" s="40"/>
      <c r="V61" s="40"/>
      <c r="W61" s="34"/>
      <c r="X61" s="49"/>
      <c r="Y61" s="69"/>
      <c r="Z61" s="69"/>
      <c r="AA61" s="69"/>
      <c r="AB61" s="69"/>
      <c r="AC61" s="59"/>
      <c r="AD61" s="40"/>
      <c r="AE61" s="40"/>
      <c r="AF61" s="21"/>
      <c r="AG61" s="40"/>
      <c r="AH61" s="49"/>
      <c r="AI61" s="262"/>
      <c r="AJ61" s="104"/>
      <c r="AK61" s="847"/>
      <c r="AL61" s="847"/>
      <c r="AM61" s="847"/>
      <c r="AN61" s="847"/>
      <c r="AO61" s="847"/>
      <c r="AP61" s="847"/>
      <c r="AQ61" s="847"/>
      <c r="AR61" s="847"/>
      <c r="AS61" s="847"/>
      <c r="AT61" s="847"/>
      <c r="AU61" s="847"/>
      <c r="AV61" s="847"/>
      <c r="AW61" s="847"/>
      <c r="AX61" s="847"/>
      <c r="AY61" s="847"/>
      <c r="AZ61" s="847"/>
      <c r="BA61" s="847"/>
      <c r="BB61" s="847"/>
      <c r="BC61" s="847"/>
      <c r="BD61" s="847"/>
      <c r="BE61" s="847"/>
      <c r="BF61" s="847"/>
      <c r="BG61" s="847"/>
      <c r="BH61" s="847"/>
      <c r="BI61" s="847"/>
      <c r="BJ61" s="847"/>
      <c r="BK61" s="847"/>
      <c r="BL61" s="847"/>
      <c r="BM61" s="847"/>
      <c r="BN61" s="847"/>
      <c r="BO61" s="847"/>
      <c r="BP61" s="847"/>
      <c r="BQ61" s="847"/>
      <c r="BR61" s="847"/>
      <c r="BS61" s="847"/>
      <c r="BT61" s="847"/>
      <c r="BU61" s="847"/>
      <c r="BV61" s="847"/>
      <c r="BW61" s="847"/>
      <c r="BX61" s="847"/>
      <c r="BY61" s="847"/>
      <c r="BZ61" s="847"/>
      <c r="CA61" s="847"/>
      <c r="CB61" s="847"/>
      <c r="CC61" s="847"/>
      <c r="CD61" s="847"/>
      <c r="CE61" s="847"/>
      <c r="CF61" s="847"/>
      <c r="CG61" s="847"/>
      <c r="CH61" s="847"/>
      <c r="CI61" s="847"/>
      <c r="CJ61" s="847"/>
      <c r="CK61" s="847"/>
      <c r="CL61" s="847"/>
      <c r="CM61" s="847"/>
      <c r="CN61" s="847"/>
      <c r="CO61" s="847"/>
      <c r="CP61" s="847"/>
      <c r="CQ61" s="847"/>
      <c r="CR61" s="847"/>
      <c r="CS61" s="847"/>
      <c r="CT61" s="847"/>
      <c r="CU61" s="847"/>
      <c r="CV61" s="847"/>
      <c r="CW61" s="847"/>
      <c r="CX61" s="847"/>
      <c r="CY61" s="847"/>
      <c r="CZ61" s="847"/>
      <c r="DA61" s="847"/>
      <c r="DB61" s="847"/>
      <c r="DC61" s="847"/>
      <c r="DD61" s="847"/>
      <c r="DE61" s="847"/>
      <c r="DF61" s="847"/>
      <c r="DG61" s="847"/>
      <c r="DH61" s="847"/>
      <c r="DI61" s="847"/>
      <c r="DJ61" s="847"/>
    </row>
    <row r="62" spans="1:114" s="31" customFormat="1" ht="17.25" hidden="1" customHeight="1" thickBot="1">
      <c r="A62" s="24"/>
      <c r="B62" s="25"/>
      <c r="C62" s="50"/>
      <c r="D62" s="38"/>
      <c r="E62" s="65"/>
      <c r="F62" s="537"/>
      <c r="G62" s="65"/>
      <c r="H62" s="526"/>
      <c r="I62" s="65"/>
      <c r="J62" s="526"/>
      <c r="K62" s="38"/>
      <c r="L62" s="65"/>
      <c r="M62" s="114"/>
      <c r="N62" s="114"/>
      <c r="O62" s="38"/>
      <c r="P62" s="38"/>
      <c r="Q62" s="57"/>
      <c r="R62" s="41"/>
      <c r="S62" s="41"/>
      <c r="T62" s="41"/>
      <c r="U62" s="41"/>
      <c r="V62" s="41"/>
      <c r="W62" s="36"/>
      <c r="X62" s="51"/>
      <c r="Y62" s="57"/>
      <c r="Z62" s="57"/>
      <c r="AA62" s="57"/>
      <c r="AB62" s="57"/>
      <c r="AC62" s="60"/>
      <c r="AD62" s="41"/>
      <c r="AE62" s="41"/>
      <c r="AF62" s="26"/>
      <c r="AG62" s="41"/>
      <c r="AH62" s="51"/>
      <c r="AI62" s="264"/>
      <c r="AJ62" s="101">
        <f>SUM(C62:AH62)</f>
        <v>0</v>
      </c>
      <c r="AK62" s="847"/>
      <c r="AL62" s="847"/>
      <c r="AM62" s="847"/>
      <c r="AN62" s="847"/>
      <c r="AO62" s="847"/>
      <c r="AP62" s="847"/>
      <c r="AQ62" s="847"/>
      <c r="AR62" s="847"/>
      <c r="AS62" s="847"/>
      <c r="AT62" s="847"/>
      <c r="AU62" s="847"/>
      <c r="AV62" s="847"/>
      <c r="AW62" s="847"/>
      <c r="AX62" s="847"/>
      <c r="AY62" s="847"/>
      <c r="AZ62" s="847"/>
      <c r="BA62" s="847"/>
      <c r="BB62" s="847"/>
      <c r="BC62" s="847"/>
      <c r="BD62" s="847"/>
      <c r="BE62" s="847"/>
      <c r="BF62" s="847"/>
      <c r="BG62" s="847"/>
      <c r="BH62" s="847"/>
      <c r="BI62" s="847"/>
      <c r="BJ62" s="847"/>
      <c r="BK62" s="847"/>
      <c r="BL62" s="847"/>
      <c r="BM62" s="847"/>
      <c r="BN62" s="847"/>
      <c r="BO62" s="847"/>
      <c r="BP62" s="847"/>
      <c r="BQ62" s="847"/>
      <c r="BR62" s="847"/>
      <c r="BS62" s="847"/>
      <c r="BT62" s="847"/>
      <c r="BU62" s="847"/>
      <c r="BV62" s="847"/>
      <c r="BW62" s="847"/>
      <c r="BX62" s="847"/>
      <c r="BY62" s="847"/>
      <c r="BZ62" s="847"/>
      <c r="CA62" s="847"/>
      <c r="CB62" s="847"/>
      <c r="CC62" s="847"/>
      <c r="CD62" s="847"/>
      <c r="CE62" s="847"/>
      <c r="CF62" s="847"/>
      <c r="CG62" s="847"/>
      <c r="CH62" s="847"/>
      <c r="CI62" s="847"/>
      <c r="CJ62" s="847"/>
      <c r="CK62" s="847"/>
      <c r="CL62" s="847"/>
      <c r="CM62" s="847"/>
      <c r="CN62" s="847"/>
      <c r="CO62" s="847"/>
      <c r="CP62" s="847"/>
      <c r="CQ62" s="847"/>
      <c r="CR62" s="847"/>
      <c r="CS62" s="847"/>
      <c r="CT62" s="847"/>
      <c r="CU62" s="847"/>
      <c r="CV62" s="847"/>
      <c r="CW62" s="847"/>
      <c r="CX62" s="847"/>
      <c r="CY62" s="847"/>
      <c r="CZ62" s="847"/>
      <c r="DA62" s="847"/>
      <c r="DB62" s="847"/>
      <c r="DC62" s="847"/>
      <c r="DD62" s="847"/>
      <c r="DE62" s="847"/>
      <c r="DF62" s="847"/>
      <c r="DG62" s="847"/>
      <c r="DH62" s="847"/>
      <c r="DI62" s="847"/>
      <c r="DJ62" s="847"/>
    </row>
    <row r="63" spans="1:114" ht="18.75" hidden="1">
      <c r="A63" s="19">
        <v>28</v>
      </c>
      <c r="B63" s="20" t="s">
        <v>69</v>
      </c>
      <c r="C63" s="48">
        <v>2</v>
      </c>
      <c r="D63" s="34"/>
      <c r="E63" s="56">
        <v>0</v>
      </c>
      <c r="F63" s="534"/>
      <c r="G63" s="56">
        <v>0</v>
      </c>
      <c r="H63" s="69"/>
      <c r="I63" s="56">
        <v>0</v>
      </c>
      <c r="J63" s="69"/>
      <c r="K63" s="34"/>
      <c r="L63" s="56">
        <v>0</v>
      </c>
      <c r="M63" s="44">
        <v>0</v>
      </c>
      <c r="N63" s="44"/>
      <c r="O63" s="34"/>
      <c r="P63" s="34"/>
      <c r="Q63" s="56">
        <v>2</v>
      </c>
      <c r="R63" s="34"/>
      <c r="S63" s="34"/>
      <c r="T63" s="34">
        <v>0</v>
      </c>
      <c r="U63" s="34"/>
      <c r="V63" s="34"/>
      <c r="W63" s="34"/>
      <c r="X63" s="45"/>
      <c r="Y63" s="69"/>
      <c r="Z63" s="69"/>
      <c r="AA63" s="69"/>
      <c r="AB63" s="69"/>
      <c r="AC63" s="59"/>
      <c r="AD63" s="34"/>
      <c r="AE63" s="34"/>
      <c r="AF63" s="21"/>
      <c r="AG63" s="34"/>
      <c r="AH63" s="45"/>
      <c r="AI63" s="261"/>
      <c r="AJ63" s="102"/>
      <c r="AK63" s="847"/>
      <c r="AL63" s="847"/>
      <c r="AM63" s="847"/>
      <c r="AN63" s="847"/>
      <c r="AO63" s="847"/>
      <c r="AP63" s="847"/>
      <c r="AQ63" s="847"/>
      <c r="AR63" s="847"/>
      <c r="AS63" s="847"/>
      <c r="AT63" s="847"/>
      <c r="AU63" s="847"/>
      <c r="AV63" s="847"/>
      <c r="AW63" s="847"/>
      <c r="AX63" s="847"/>
      <c r="AY63" s="847"/>
      <c r="AZ63" s="847"/>
      <c r="BA63" s="847"/>
      <c r="BB63" s="847"/>
      <c r="BC63" s="847"/>
      <c r="BD63" s="847"/>
      <c r="BE63" s="847"/>
      <c r="BF63" s="847"/>
      <c r="BG63" s="847"/>
      <c r="BH63" s="847"/>
      <c r="BI63" s="847"/>
      <c r="BJ63" s="847"/>
      <c r="BK63" s="847"/>
      <c r="BL63" s="847"/>
      <c r="BM63" s="847"/>
      <c r="BN63" s="847"/>
      <c r="BO63" s="847"/>
      <c r="BP63" s="847"/>
      <c r="BQ63" s="847"/>
      <c r="BR63" s="847"/>
      <c r="BS63" s="847"/>
      <c r="BT63" s="847"/>
      <c r="BU63" s="847"/>
      <c r="BV63" s="847"/>
      <c r="BW63" s="847"/>
      <c r="BX63" s="847"/>
      <c r="BY63" s="847"/>
      <c r="BZ63" s="847"/>
      <c r="CA63" s="847"/>
      <c r="CB63" s="847"/>
      <c r="CC63" s="847"/>
      <c r="CD63" s="847"/>
      <c r="CE63" s="847"/>
      <c r="CF63" s="847"/>
      <c r="CG63" s="847"/>
      <c r="CH63" s="847"/>
      <c r="CI63" s="847"/>
      <c r="CJ63" s="847"/>
      <c r="CK63" s="847"/>
      <c r="CL63" s="847"/>
      <c r="CM63" s="847"/>
      <c r="CN63" s="847"/>
      <c r="CO63" s="847"/>
      <c r="CP63" s="847"/>
      <c r="CQ63" s="847"/>
      <c r="CR63" s="847"/>
      <c r="CS63" s="847"/>
      <c r="CT63" s="847"/>
      <c r="CU63" s="847"/>
      <c r="CV63" s="847"/>
      <c r="CW63" s="847"/>
      <c r="CX63" s="847"/>
      <c r="CY63" s="847"/>
      <c r="CZ63" s="847"/>
      <c r="DA63" s="847"/>
      <c r="DB63" s="847"/>
      <c r="DC63" s="847"/>
      <c r="DD63" s="847"/>
      <c r="DE63" s="847"/>
      <c r="DF63" s="847"/>
      <c r="DG63" s="847"/>
      <c r="DH63" s="847"/>
      <c r="DI63" s="847"/>
      <c r="DJ63" s="847"/>
    </row>
    <row r="64" spans="1:114" s="27" customFormat="1" ht="16.5" hidden="1" customHeight="1" thickBot="1">
      <c r="A64" s="24"/>
      <c r="B64" s="25"/>
      <c r="C64" s="50"/>
      <c r="D64" s="36"/>
      <c r="E64" s="57">
        <v>10</v>
      </c>
      <c r="F64" s="535"/>
      <c r="G64" s="57">
        <v>10</v>
      </c>
      <c r="H64" s="524"/>
      <c r="I64" s="57">
        <v>10</v>
      </c>
      <c r="J64" s="524"/>
      <c r="K64" s="36"/>
      <c r="L64" s="57">
        <v>10</v>
      </c>
      <c r="M64" s="46">
        <v>10</v>
      </c>
      <c r="N64" s="46"/>
      <c r="O64" s="36"/>
      <c r="P64" s="36"/>
      <c r="Q64" s="57"/>
      <c r="R64" s="36"/>
      <c r="S64" s="36"/>
      <c r="T64" s="36"/>
      <c r="U64" s="36"/>
      <c r="V64" s="36"/>
      <c r="W64" s="36"/>
      <c r="X64" s="47"/>
      <c r="Y64" s="57"/>
      <c r="Z64" s="57"/>
      <c r="AA64" s="57"/>
      <c r="AB64" s="57"/>
      <c r="AC64" s="60"/>
      <c r="AD64" s="36"/>
      <c r="AE64" s="36"/>
      <c r="AF64" s="26"/>
      <c r="AG64" s="36"/>
      <c r="AH64" s="47"/>
      <c r="AI64" s="263"/>
      <c r="AJ64" s="103">
        <f>SUM(C64:AH64)</f>
        <v>50</v>
      </c>
      <c r="AK64" s="847"/>
      <c r="AL64" s="847"/>
      <c r="AM64" s="847"/>
      <c r="AN64" s="847"/>
      <c r="AO64" s="847"/>
      <c r="AP64" s="847"/>
      <c r="AQ64" s="847"/>
      <c r="AR64" s="847"/>
      <c r="AS64" s="847"/>
      <c r="AT64" s="847"/>
      <c r="AU64" s="847"/>
      <c r="AV64" s="847"/>
      <c r="AW64" s="847"/>
      <c r="AX64" s="847"/>
      <c r="AY64" s="847"/>
      <c r="AZ64" s="847"/>
      <c r="BA64" s="847"/>
      <c r="BB64" s="847"/>
      <c r="BC64" s="847"/>
      <c r="BD64" s="847"/>
      <c r="BE64" s="847"/>
      <c r="BF64" s="847"/>
      <c r="BG64" s="847"/>
      <c r="BH64" s="847"/>
      <c r="BI64" s="847"/>
      <c r="BJ64" s="847"/>
      <c r="BK64" s="847"/>
      <c r="BL64" s="847"/>
      <c r="BM64" s="847"/>
      <c r="BN64" s="847"/>
      <c r="BO64" s="847"/>
      <c r="BP64" s="847"/>
      <c r="BQ64" s="847"/>
      <c r="BR64" s="847"/>
      <c r="BS64" s="847"/>
      <c r="BT64" s="847"/>
      <c r="BU64" s="847"/>
      <c r="BV64" s="847"/>
      <c r="BW64" s="847"/>
      <c r="BX64" s="847"/>
      <c r="BY64" s="847"/>
      <c r="BZ64" s="847"/>
      <c r="CA64" s="847"/>
      <c r="CB64" s="847"/>
      <c r="CC64" s="847"/>
      <c r="CD64" s="847"/>
      <c r="CE64" s="847"/>
      <c r="CF64" s="847"/>
      <c r="CG64" s="847"/>
      <c r="CH64" s="847"/>
      <c r="CI64" s="847"/>
      <c r="CJ64" s="847"/>
      <c r="CK64" s="847"/>
      <c r="CL64" s="847"/>
      <c r="CM64" s="847"/>
      <c r="CN64" s="847"/>
      <c r="CO64" s="847"/>
      <c r="CP64" s="847"/>
      <c r="CQ64" s="847"/>
      <c r="CR64" s="847"/>
      <c r="CS64" s="847"/>
      <c r="CT64" s="847"/>
      <c r="CU64" s="847"/>
      <c r="CV64" s="847"/>
      <c r="CW64" s="847"/>
      <c r="CX64" s="847"/>
      <c r="CY64" s="847"/>
      <c r="CZ64" s="847"/>
      <c r="DA64" s="847"/>
      <c r="DB64" s="847"/>
      <c r="DC64" s="847"/>
      <c r="DD64" s="847"/>
      <c r="DE64" s="847"/>
      <c r="DF64" s="847"/>
      <c r="DG64" s="847"/>
      <c r="DH64" s="847"/>
      <c r="DI64" s="847"/>
      <c r="DJ64" s="847"/>
    </row>
    <row r="65" spans="1:114" ht="18.75" hidden="1">
      <c r="A65" s="19">
        <v>29</v>
      </c>
      <c r="B65" s="20" t="s">
        <v>70</v>
      </c>
      <c r="C65" s="48">
        <v>145</v>
      </c>
      <c r="D65" s="40"/>
      <c r="E65" s="56"/>
      <c r="F65" s="534"/>
      <c r="G65" s="56"/>
      <c r="H65" s="69"/>
      <c r="I65" s="56"/>
      <c r="J65" s="69"/>
      <c r="K65" s="40"/>
      <c r="L65" s="56"/>
      <c r="M65" s="40"/>
      <c r="N65" s="40"/>
      <c r="O65" s="40"/>
      <c r="P65" s="40"/>
      <c r="Q65" s="56">
        <v>0</v>
      </c>
      <c r="R65" s="40"/>
      <c r="S65" s="40"/>
      <c r="T65" s="40">
        <v>0</v>
      </c>
      <c r="U65" s="40"/>
      <c r="V65" s="40"/>
      <c r="W65" s="40"/>
      <c r="X65" s="49"/>
      <c r="Y65" s="69"/>
      <c r="Z65" s="69"/>
      <c r="AA65" s="69"/>
      <c r="AB65" s="69"/>
      <c r="AC65" s="59"/>
      <c r="AD65" s="40"/>
      <c r="AE65" s="40"/>
      <c r="AF65" s="21"/>
      <c r="AG65" s="40"/>
      <c r="AH65" s="49"/>
      <c r="AI65" s="262"/>
      <c r="AJ65" s="104"/>
      <c r="AK65" s="847"/>
      <c r="AL65" s="847"/>
      <c r="AM65" s="847"/>
      <c r="AN65" s="847"/>
      <c r="AO65" s="847"/>
      <c r="AP65" s="847"/>
      <c r="AQ65" s="847"/>
      <c r="AR65" s="847"/>
      <c r="AS65" s="847"/>
      <c r="AT65" s="847"/>
      <c r="AU65" s="847"/>
      <c r="AV65" s="847"/>
      <c r="AW65" s="847"/>
      <c r="AX65" s="847"/>
      <c r="AY65" s="847"/>
      <c r="AZ65" s="847"/>
      <c r="BA65" s="847"/>
      <c r="BB65" s="847"/>
      <c r="BC65" s="847"/>
      <c r="BD65" s="847"/>
      <c r="BE65" s="847"/>
      <c r="BF65" s="847"/>
      <c r="BG65" s="847"/>
      <c r="BH65" s="847"/>
      <c r="BI65" s="847"/>
      <c r="BJ65" s="847"/>
      <c r="BK65" s="847"/>
      <c r="BL65" s="847"/>
      <c r="BM65" s="847"/>
      <c r="BN65" s="847"/>
      <c r="BO65" s="847"/>
      <c r="BP65" s="847"/>
      <c r="BQ65" s="847"/>
      <c r="BR65" s="847"/>
      <c r="BS65" s="847"/>
      <c r="BT65" s="847"/>
      <c r="BU65" s="847"/>
      <c r="BV65" s="847"/>
      <c r="BW65" s="847"/>
      <c r="BX65" s="847"/>
      <c r="BY65" s="847"/>
      <c r="BZ65" s="847"/>
      <c r="CA65" s="847"/>
      <c r="CB65" s="847"/>
      <c r="CC65" s="847"/>
      <c r="CD65" s="847"/>
      <c r="CE65" s="847"/>
      <c r="CF65" s="847"/>
      <c r="CG65" s="847"/>
      <c r="CH65" s="847"/>
      <c r="CI65" s="847"/>
      <c r="CJ65" s="847"/>
      <c r="CK65" s="847"/>
      <c r="CL65" s="847"/>
      <c r="CM65" s="847"/>
      <c r="CN65" s="847"/>
      <c r="CO65" s="847"/>
      <c r="CP65" s="847"/>
      <c r="CQ65" s="847"/>
      <c r="CR65" s="847"/>
      <c r="CS65" s="847"/>
      <c r="CT65" s="847"/>
      <c r="CU65" s="847"/>
      <c r="CV65" s="847"/>
      <c r="CW65" s="847"/>
      <c r="CX65" s="847"/>
      <c r="CY65" s="847"/>
      <c r="CZ65" s="847"/>
      <c r="DA65" s="847"/>
      <c r="DB65" s="847"/>
      <c r="DC65" s="847"/>
      <c r="DD65" s="847"/>
      <c r="DE65" s="847"/>
      <c r="DF65" s="847"/>
      <c r="DG65" s="847"/>
      <c r="DH65" s="847"/>
      <c r="DI65" s="847"/>
      <c r="DJ65" s="847"/>
    </row>
    <row r="66" spans="1:114" s="31" customFormat="1" ht="16.5" hidden="1" customHeight="1" thickBot="1">
      <c r="A66" s="24"/>
      <c r="B66" s="25"/>
      <c r="C66" s="38"/>
      <c r="D66" s="43"/>
      <c r="E66" s="65"/>
      <c r="F66" s="537"/>
      <c r="G66" s="65"/>
      <c r="H66" s="526"/>
      <c r="I66" s="65"/>
      <c r="J66" s="526"/>
      <c r="K66" s="38"/>
      <c r="L66" s="65"/>
      <c r="M66" s="38"/>
      <c r="N66" s="38"/>
      <c r="O66" s="38"/>
      <c r="P66" s="38"/>
      <c r="Q66" s="57"/>
      <c r="R66" s="36"/>
      <c r="S66" s="36"/>
      <c r="T66" s="41"/>
      <c r="U66" s="41"/>
      <c r="V66" s="41"/>
      <c r="W66" s="36"/>
      <c r="X66" s="47"/>
      <c r="Y66" s="57"/>
      <c r="Z66" s="57"/>
      <c r="AA66" s="57"/>
      <c r="AB66" s="57"/>
      <c r="AC66" s="60"/>
      <c r="AD66" s="36"/>
      <c r="AE66" s="36"/>
      <c r="AF66" s="26"/>
      <c r="AG66" s="36"/>
      <c r="AH66" s="47"/>
      <c r="AI66" s="263"/>
      <c r="AJ66" s="103">
        <f>SUM(C66:AH66)</f>
        <v>0</v>
      </c>
      <c r="AK66" s="847"/>
      <c r="AL66" s="847"/>
      <c r="AM66" s="847"/>
      <c r="AN66" s="847"/>
      <c r="AO66" s="847"/>
      <c r="AP66" s="847"/>
      <c r="AQ66" s="847"/>
      <c r="AR66" s="847"/>
      <c r="AS66" s="847"/>
      <c r="AT66" s="847"/>
      <c r="AU66" s="847"/>
      <c r="AV66" s="847"/>
      <c r="AW66" s="847"/>
      <c r="AX66" s="847"/>
      <c r="AY66" s="847"/>
      <c r="AZ66" s="847"/>
      <c r="BA66" s="847"/>
      <c r="BB66" s="847"/>
      <c r="BC66" s="847"/>
      <c r="BD66" s="847"/>
      <c r="BE66" s="847"/>
      <c r="BF66" s="847"/>
      <c r="BG66" s="847"/>
      <c r="BH66" s="847"/>
      <c r="BI66" s="847"/>
      <c r="BJ66" s="847"/>
      <c r="BK66" s="847"/>
      <c r="BL66" s="847"/>
      <c r="BM66" s="847"/>
      <c r="BN66" s="847"/>
      <c r="BO66" s="847"/>
      <c r="BP66" s="847"/>
      <c r="BQ66" s="847"/>
      <c r="BR66" s="847"/>
      <c r="BS66" s="847"/>
      <c r="BT66" s="847"/>
      <c r="BU66" s="847"/>
      <c r="BV66" s="847"/>
      <c r="BW66" s="847"/>
      <c r="BX66" s="847"/>
      <c r="BY66" s="847"/>
      <c r="BZ66" s="847"/>
      <c r="CA66" s="847"/>
      <c r="CB66" s="847"/>
      <c r="CC66" s="847"/>
      <c r="CD66" s="847"/>
      <c r="CE66" s="847"/>
      <c r="CF66" s="847"/>
      <c r="CG66" s="847"/>
      <c r="CH66" s="847"/>
      <c r="CI66" s="847"/>
      <c r="CJ66" s="847"/>
      <c r="CK66" s="847"/>
      <c r="CL66" s="847"/>
      <c r="CM66" s="847"/>
      <c r="CN66" s="847"/>
      <c r="CO66" s="847"/>
      <c r="CP66" s="847"/>
      <c r="CQ66" s="847"/>
      <c r="CR66" s="847"/>
      <c r="CS66" s="847"/>
      <c r="CT66" s="847"/>
      <c r="CU66" s="847"/>
      <c r="CV66" s="847"/>
      <c r="CW66" s="847"/>
      <c r="CX66" s="847"/>
      <c r="CY66" s="847"/>
      <c r="CZ66" s="847"/>
      <c r="DA66" s="847"/>
      <c r="DB66" s="847"/>
      <c r="DC66" s="847"/>
      <c r="DD66" s="847"/>
      <c r="DE66" s="847"/>
      <c r="DF66" s="847"/>
      <c r="DG66" s="847"/>
      <c r="DH66" s="847"/>
      <c r="DI66" s="847"/>
      <c r="DJ66" s="847"/>
    </row>
    <row r="67" spans="1:114" s="4" customFormat="1" ht="12.75">
      <c r="A67" s="857"/>
      <c r="B67" s="858"/>
      <c r="C67" s="858"/>
      <c r="D67" s="858"/>
      <c r="E67" s="858"/>
      <c r="F67" s="858"/>
      <c r="G67" s="858"/>
      <c r="H67" s="858"/>
      <c r="I67" s="858"/>
      <c r="J67" s="858"/>
      <c r="K67" s="858"/>
      <c r="L67" s="858"/>
      <c r="M67" s="858"/>
      <c r="N67" s="858"/>
      <c r="O67" s="858"/>
      <c r="P67" s="858"/>
      <c r="Q67" s="858"/>
      <c r="R67" s="858"/>
      <c r="S67" s="858"/>
      <c r="T67" s="858"/>
      <c r="U67" s="858"/>
      <c r="V67" s="858"/>
      <c r="W67" s="858"/>
      <c r="X67" s="858"/>
      <c r="Y67" s="858"/>
      <c r="Z67" s="858"/>
      <c r="AA67" s="858"/>
      <c r="AB67" s="858"/>
      <c r="AC67" s="858"/>
      <c r="AD67" s="858"/>
      <c r="AE67" s="858"/>
      <c r="AF67" s="858"/>
      <c r="AG67" s="858"/>
      <c r="AH67" s="859"/>
      <c r="AI67" s="83"/>
      <c r="AJ67" s="83"/>
      <c r="AK67" s="848"/>
      <c r="AL67" s="848"/>
      <c r="AM67" s="848"/>
      <c r="AN67" s="848"/>
      <c r="AO67" s="848"/>
      <c r="AP67" s="848"/>
      <c r="AQ67" s="848"/>
      <c r="AR67" s="848"/>
      <c r="AS67" s="848"/>
      <c r="AT67" s="848"/>
      <c r="AU67" s="848"/>
      <c r="AV67" s="848"/>
      <c r="AW67" s="848"/>
      <c r="AX67" s="848"/>
      <c r="AY67" s="848"/>
      <c r="AZ67" s="848"/>
      <c r="BA67" s="848"/>
      <c r="BB67" s="848"/>
      <c r="BC67" s="848"/>
      <c r="BD67" s="848"/>
      <c r="BE67" s="848"/>
      <c r="BF67" s="848"/>
      <c r="BG67" s="848"/>
      <c r="BH67" s="848"/>
      <c r="BI67" s="848"/>
      <c r="BJ67" s="848"/>
      <c r="BK67" s="848"/>
      <c r="BL67" s="848"/>
      <c r="BM67" s="848"/>
      <c r="BN67" s="848"/>
      <c r="BO67" s="848"/>
      <c r="BP67" s="848"/>
      <c r="BQ67" s="848"/>
      <c r="BR67" s="848"/>
      <c r="BS67" s="848"/>
      <c r="BT67" s="848"/>
      <c r="BU67" s="848"/>
      <c r="BV67" s="848"/>
      <c r="BW67" s="848"/>
      <c r="BX67" s="848"/>
      <c r="BY67" s="848"/>
      <c r="BZ67" s="848"/>
      <c r="CA67" s="848"/>
      <c r="CB67" s="848"/>
      <c r="CC67" s="848"/>
      <c r="CD67" s="848"/>
      <c r="CE67" s="848"/>
      <c r="CF67" s="848"/>
      <c r="CG67" s="848"/>
      <c r="CH67" s="848"/>
      <c r="CI67" s="848"/>
      <c r="CJ67" s="848"/>
      <c r="CK67" s="848"/>
      <c r="CL67" s="848"/>
      <c r="CM67" s="848"/>
      <c r="CN67" s="848"/>
      <c r="CO67" s="848"/>
      <c r="CP67" s="848"/>
      <c r="CQ67" s="848"/>
      <c r="CR67" s="848"/>
      <c r="CS67" s="848"/>
      <c r="CT67" s="848"/>
      <c r="CU67" s="848"/>
      <c r="CV67" s="848"/>
      <c r="CW67" s="848"/>
      <c r="CX67" s="848"/>
      <c r="CY67" s="848"/>
      <c r="CZ67" s="848"/>
      <c r="DA67" s="848"/>
      <c r="DB67" s="848"/>
      <c r="DC67" s="848"/>
      <c r="DD67" s="848"/>
      <c r="DE67" s="848"/>
      <c r="DF67" s="848"/>
      <c r="DG67" s="848"/>
      <c r="DH67" s="848"/>
      <c r="DI67" s="848"/>
      <c r="DJ67" s="848"/>
    </row>
    <row r="68" spans="1:114" ht="12.75">
      <c r="A68" s="860"/>
      <c r="B68" s="858"/>
      <c r="C68" s="858"/>
      <c r="D68" s="858"/>
      <c r="E68" s="858"/>
      <c r="F68" s="858"/>
      <c r="G68" s="858"/>
      <c r="H68" s="858"/>
      <c r="I68" s="858"/>
      <c r="J68" s="858"/>
      <c r="K68" s="858"/>
      <c r="L68" s="858"/>
      <c r="M68" s="858"/>
      <c r="N68" s="858"/>
      <c r="O68" s="858"/>
      <c r="P68" s="858"/>
      <c r="Q68" s="858"/>
      <c r="R68" s="858"/>
      <c r="S68" s="858"/>
      <c r="T68" s="858"/>
      <c r="U68" s="858"/>
      <c r="V68" s="858"/>
      <c r="W68" s="858"/>
      <c r="X68" s="858"/>
      <c r="Y68" s="858"/>
      <c r="Z68" s="858"/>
      <c r="AA68" s="858"/>
      <c r="AB68" s="858"/>
      <c r="AC68" s="858"/>
      <c r="AD68" s="858"/>
      <c r="AE68" s="858"/>
      <c r="AF68" s="858"/>
      <c r="AG68" s="858"/>
      <c r="AH68" s="859"/>
      <c r="AI68" s="83"/>
      <c r="AJ68" s="83"/>
      <c r="AK68" s="848"/>
      <c r="AL68" s="848"/>
      <c r="AM68" s="848"/>
      <c r="AN68" s="848"/>
      <c r="AO68" s="848"/>
      <c r="AP68" s="848"/>
      <c r="AQ68" s="848"/>
      <c r="AR68" s="848"/>
      <c r="AS68" s="848"/>
      <c r="AT68" s="848"/>
      <c r="AU68" s="848"/>
      <c r="AV68" s="848"/>
      <c r="AW68" s="848"/>
      <c r="AX68" s="848"/>
      <c r="AY68" s="848"/>
      <c r="AZ68" s="848"/>
      <c r="BA68" s="848"/>
      <c r="BB68" s="848"/>
      <c r="BC68" s="848"/>
      <c r="BD68" s="848"/>
      <c r="BE68" s="848"/>
      <c r="BF68" s="848"/>
      <c r="BG68" s="848"/>
      <c r="BH68" s="848"/>
      <c r="BI68" s="848"/>
      <c r="BJ68" s="848"/>
      <c r="BK68" s="848"/>
      <c r="BL68" s="848"/>
      <c r="BM68" s="848"/>
      <c r="BN68" s="848"/>
      <c r="BO68" s="848"/>
      <c r="BP68" s="848"/>
      <c r="BQ68" s="848"/>
      <c r="BR68" s="848"/>
      <c r="BS68" s="848"/>
      <c r="BT68" s="848"/>
      <c r="BU68" s="848"/>
      <c r="BV68" s="848"/>
      <c r="BW68" s="848"/>
      <c r="BX68" s="848"/>
      <c r="BY68" s="848"/>
      <c r="BZ68" s="848"/>
      <c r="CA68" s="848"/>
      <c r="CB68" s="848"/>
      <c r="CC68" s="848"/>
      <c r="CD68" s="848"/>
      <c r="CE68" s="848"/>
      <c r="CF68" s="848"/>
      <c r="CG68" s="848"/>
      <c r="CH68" s="848"/>
      <c r="CI68" s="848"/>
      <c r="CJ68" s="848"/>
      <c r="CK68" s="848"/>
      <c r="CL68" s="848"/>
      <c r="CM68" s="848"/>
      <c r="CN68" s="848"/>
      <c r="CO68" s="848"/>
      <c r="CP68" s="848"/>
      <c r="CQ68" s="848"/>
      <c r="CR68" s="848"/>
      <c r="CS68" s="848"/>
      <c r="CT68" s="848"/>
      <c r="CU68" s="848"/>
      <c r="CV68" s="848"/>
      <c r="CW68" s="848"/>
      <c r="CX68" s="848"/>
      <c r="CY68" s="848"/>
      <c r="CZ68" s="848"/>
      <c r="DA68" s="848"/>
      <c r="DB68" s="848"/>
      <c r="DC68" s="848"/>
      <c r="DD68" s="848"/>
      <c r="DE68" s="848"/>
      <c r="DF68" s="848"/>
      <c r="DG68" s="848"/>
      <c r="DH68" s="848"/>
      <c r="DI68" s="848"/>
      <c r="DJ68" s="848"/>
    </row>
    <row r="69" spans="1:114" ht="12.75">
      <c r="A69" s="860"/>
      <c r="B69" s="858"/>
      <c r="C69" s="858"/>
      <c r="D69" s="858"/>
      <c r="E69" s="858"/>
      <c r="F69" s="858"/>
      <c r="G69" s="858"/>
      <c r="H69" s="858"/>
      <c r="I69" s="858"/>
      <c r="J69" s="858"/>
      <c r="K69" s="858"/>
      <c r="L69" s="858"/>
      <c r="M69" s="858"/>
      <c r="N69" s="858"/>
      <c r="O69" s="858"/>
      <c r="P69" s="858"/>
      <c r="Q69" s="858"/>
      <c r="R69" s="858"/>
      <c r="S69" s="858"/>
      <c r="T69" s="858"/>
      <c r="U69" s="858"/>
      <c r="V69" s="858"/>
      <c r="W69" s="858"/>
      <c r="X69" s="858"/>
      <c r="Y69" s="858"/>
      <c r="Z69" s="858"/>
      <c r="AA69" s="858"/>
      <c r="AB69" s="858"/>
      <c r="AC69" s="858"/>
      <c r="AD69" s="858"/>
      <c r="AE69" s="858"/>
      <c r="AF69" s="858"/>
      <c r="AG69" s="858"/>
      <c r="AH69" s="859"/>
      <c r="AI69" s="83"/>
      <c r="AJ69" s="83"/>
      <c r="AK69" s="848"/>
      <c r="AL69" s="848"/>
      <c r="AM69" s="848"/>
      <c r="AN69" s="848"/>
      <c r="AO69" s="848"/>
      <c r="AP69" s="848"/>
      <c r="AQ69" s="848"/>
      <c r="AR69" s="848"/>
      <c r="AS69" s="848"/>
      <c r="AT69" s="848"/>
      <c r="AU69" s="848"/>
      <c r="AV69" s="848"/>
      <c r="AW69" s="848"/>
      <c r="AX69" s="848"/>
      <c r="AY69" s="848"/>
      <c r="AZ69" s="848"/>
      <c r="BA69" s="848"/>
      <c r="BB69" s="848"/>
      <c r="BC69" s="848"/>
      <c r="BD69" s="848"/>
      <c r="BE69" s="848"/>
      <c r="BF69" s="848"/>
      <c r="BG69" s="848"/>
      <c r="BH69" s="848"/>
      <c r="BI69" s="848"/>
      <c r="BJ69" s="848"/>
      <c r="BK69" s="848"/>
      <c r="BL69" s="848"/>
      <c r="BM69" s="848"/>
      <c r="BN69" s="848"/>
      <c r="BO69" s="848"/>
      <c r="BP69" s="848"/>
      <c r="BQ69" s="848"/>
      <c r="BR69" s="848"/>
      <c r="BS69" s="848"/>
      <c r="BT69" s="848"/>
      <c r="BU69" s="848"/>
      <c r="BV69" s="848"/>
      <c r="BW69" s="848"/>
      <c r="BX69" s="848"/>
      <c r="BY69" s="848"/>
      <c r="BZ69" s="848"/>
      <c r="CA69" s="848"/>
      <c r="CB69" s="848"/>
      <c r="CC69" s="848"/>
      <c r="CD69" s="848"/>
      <c r="CE69" s="848"/>
      <c r="CF69" s="848"/>
      <c r="CG69" s="848"/>
      <c r="CH69" s="848"/>
      <c r="CI69" s="848"/>
      <c r="CJ69" s="848"/>
      <c r="CK69" s="848"/>
      <c r="CL69" s="848"/>
      <c r="CM69" s="848"/>
      <c r="CN69" s="848"/>
      <c r="CO69" s="848"/>
      <c r="CP69" s="848"/>
      <c r="CQ69" s="848"/>
      <c r="CR69" s="848"/>
      <c r="CS69" s="848"/>
      <c r="CT69" s="848"/>
      <c r="CU69" s="848"/>
      <c r="CV69" s="848"/>
      <c r="CW69" s="848"/>
      <c r="CX69" s="848"/>
      <c r="CY69" s="848"/>
      <c r="CZ69" s="848"/>
      <c r="DA69" s="848"/>
      <c r="DB69" s="848"/>
      <c r="DC69" s="848"/>
      <c r="DD69" s="848"/>
      <c r="DE69" s="848"/>
      <c r="DF69" s="848"/>
      <c r="DG69" s="848"/>
      <c r="DH69" s="848"/>
      <c r="DI69" s="848"/>
      <c r="DJ69" s="848"/>
    </row>
    <row r="70" spans="1:114" s="3" customFormat="1" ht="12.75">
      <c r="A70" s="860"/>
      <c r="B70" s="858"/>
      <c r="C70" s="858"/>
      <c r="D70" s="858"/>
      <c r="E70" s="858"/>
      <c r="F70" s="858"/>
      <c r="G70" s="858"/>
      <c r="H70" s="858"/>
      <c r="I70" s="858"/>
      <c r="J70" s="858"/>
      <c r="K70" s="858"/>
      <c r="L70" s="858"/>
      <c r="M70" s="858"/>
      <c r="N70" s="858"/>
      <c r="O70" s="858"/>
      <c r="P70" s="858"/>
      <c r="Q70" s="858"/>
      <c r="R70" s="858"/>
      <c r="S70" s="858"/>
      <c r="T70" s="858"/>
      <c r="U70" s="858"/>
      <c r="V70" s="858"/>
      <c r="W70" s="858"/>
      <c r="X70" s="858"/>
      <c r="Y70" s="858"/>
      <c r="Z70" s="858"/>
      <c r="AA70" s="858"/>
      <c r="AB70" s="858"/>
      <c r="AC70" s="858"/>
      <c r="AD70" s="858"/>
      <c r="AE70" s="858"/>
      <c r="AF70" s="858"/>
      <c r="AG70" s="858"/>
      <c r="AH70" s="859"/>
      <c r="AI70" s="83"/>
      <c r="AJ70" s="83"/>
      <c r="AK70" s="848"/>
      <c r="AL70" s="848"/>
      <c r="AM70" s="848"/>
      <c r="AN70" s="848"/>
      <c r="AO70" s="848"/>
      <c r="AP70" s="848"/>
      <c r="AQ70" s="848"/>
      <c r="AR70" s="848"/>
      <c r="AS70" s="848"/>
      <c r="AT70" s="848"/>
      <c r="AU70" s="848"/>
      <c r="AV70" s="848"/>
      <c r="AW70" s="848"/>
      <c r="AX70" s="848"/>
      <c r="AY70" s="848"/>
      <c r="AZ70" s="848"/>
      <c r="BA70" s="848"/>
      <c r="BB70" s="848"/>
      <c r="BC70" s="848"/>
      <c r="BD70" s="848"/>
      <c r="BE70" s="848"/>
      <c r="BF70" s="848"/>
      <c r="BG70" s="848"/>
      <c r="BH70" s="848"/>
      <c r="BI70" s="848"/>
      <c r="BJ70" s="848"/>
      <c r="BK70" s="848"/>
      <c r="BL70" s="848"/>
      <c r="BM70" s="848"/>
      <c r="BN70" s="848"/>
      <c r="BO70" s="848"/>
      <c r="BP70" s="848"/>
      <c r="BQ70" s="848"/>
      <c r="BR70" s="848"/>
      <c r="BS70" s="848"/>
      <c r="BT70" s="848"/>
      <c r="BU70" s="848"/>
      <c r="BV70" s="848"/>
      <c r="BW70" s="848"/>
      <c r="BX70" s="848"/>
      <c r="BY70" s="848"/>
      <c r="BZ70" s="848"/>
      <c r="CA70" s="848"/>
      <c r="CB70" s="848"/>
      <c r="CC70" s="848"/>
      <c r="CD70" s="848"/>
      <c r="CE70" s="848"/>
      <c r="CF70" s="848"/>
      <c r="CG70" s="848"/>
      <c r="CH70" s="848"/>
      <c r="CI70" s="848"/>
      <c r="CJ70" s="848"/>
      <c r="CK70" s="848"/>
      <c r="CL70" s="848"/>
      <c r="CM70" s="848"/>
      <c r="CN70" s="848"/>
      <c r="CO70" s="848"/>
      <c r="CP70" s="848"/>
      <c r="CQ70" s="848"/>
      <c r="CR70" s="848"/>
      <c r="CS70" s="848"/>
      <c r="CT70" s="848"/>
      <c r="CU70" s="848"/>
      <c r="CV70" s="848"/>
      <c r="CW70" s="848"/>
      <c r="CX70" s="848"/>
      <c r="CY70" s="848"/>
      <c r="CZ70" s="848"/>
      <c r="DA70" s="848"/>
      <c r="DB70" s="848"/>
      <c r="DC70" s="848"/>
      <c r="DD70" s="848"/>
      <c r="DE70" s="848"/>
      <c r="DF70" s="848"/>
      <c r="DG70" s="848"/>
      <c r="DH70" s="848"/>
      <c r="DI70" s="848"/>
      <c r="DJ70" s="848"/>
    </row>
    <row r="71" spans="1:114" s="4" customFormat="1" ht="12.75">
      <c r="A71" s="860"/>
      <c r="B71" s="858"/>
      <c r="C71" s="858"/>
      <c r="D71" s="858"/>
      <c r="E71" s="858"/>
      <c r="F71" s="858"/>
      <c r="G71" s="858"/>
      <c r="H71" s="858"/>
      <c r="I71" s="858"/>
      <c r="J71" s="858"/>
      <c r="K71" s="858"/>
      <c r="L71" s="858"/>
      <c r="M71" s="858"/>
      <c r="N71" s="858"/>
      <c r="O71" s="858"/>
      <c r="P71" s="858"/>
      <c r="Q71" s="858"/>
      <c r="R71" s="858"/>
      <c r="S71" s="858"/>
      <c r="T71" s="858"/>
      <c r="U71" s="858"/>
      <c r="V71" s="858"/>
      <c r="W71" s="858"/>
      <c r="X71" s="858"/>
      <c r="Y71" s="858"/>
      <c r="Z71" s="858"/>
      <c r="AA71" s="858"/>
      <c r="AB71" s="858"/>
      <c r="AC71" s="858"/>
      <c r="AD71" s="858"/>
      <c r="AE71" s="858"/>
      <c r="AF71" s="858"/>
      <c r="AG71" s="858"/>
      <c r="AH71" s="859"/>
      <c r="AI71" s="83"/>
      <c r="AJ71" s="83"/>
      <c r="AK71" s="848"/>
      <c r="AL71" s="848"/>
      <c r="AM71" s="848"/>
      <c r="AN71" s="848"/>
      <c r="AO71" s="848"/>
      <c r="AP71" s="848"/>
      <c r="AQ71" s="848"/>
      <c r="AR71" s="848"/>
      <c r="AS71" s="848"/>
      <c r="AT71" s="848"/>
      <c r="AU71" s="848"/>
      <c r="AV71" s="848"/>
      <c r="AW71" s="848"/>
      <c r="AX71" s="848"/>
      <c r="AY71" s="848"/>
      <c r="AZ71" s="848"/>
      <c r="BA71" s="848"/>
      <c r="BB71" s="848"/>
      <c r="BC71" s="848"/>
      <c r="BD71" s="848"/>
      <c r="BE71" s="848"/>
      <c r="BF71" s="848"/>
      <c r="BG71" s="848"/>
      <c r="BH71" s="848"/>
      <c r="BI71" s="848"/>
      <c r="BJ71" s="848"/>
      <c r="BK71" s="848"/>
      <c r="BL71" s="848"/>
      <c r="BM71" s="848"/>
      <c r="BN71" s="848"/>
      <c r="BO71" s="848"/>
      <c r="BP71" s="848"/>
      <c r="BQ71" s="848"/>
      <c r="BR71" s="848"/>
      <c r="BS71" s="848"/>
      <c r="BT71" s="848"/>
      <c r="BU71" s="848"/>
      <c r="BV71" s="848"/>
      <c r="BW71" s="848"/>
      <c r="BX71" s="848"/>
      <c r="BY71" s="848"/>
      <c r="BZ71" s="848"/>
      <c r="CA71" s="848"/>
      <c r="CB71" s="848"/>
      <c r="CC71" s="848"/>
      <c r="CD71" s="848"/>
      <c r="CE71" s="848"/>
      <c r="CF71" s="848"/>
      <c r="CG71" s="848"/>
      <c r="CH71" s="848"/>
      <c r="CI71" s="848"/>
      <c r="CJ71" s="848"/>
      <c r="CK71" s="848"/>
      <c r="CL71" s="848"/>
      <c r="CM71" s="848"/>
      <c r="CN71" s="848"/>
      <c r="CO71" s="848"/>
      <c r="CP71" s="848"/>
      <c r="CQ71" s="848"/>
      <c r="CR71" s="848"/>
      <c r="CS71" s="848"/>
      <c r="CT71" s="848"/>
      <c r="CU71" s="848"/>
      <c r="CV71" s="848"/>
      <c r="CW71" s="848"/>
      <c r="CX71" s="848"/>
      <c r="CY71" s="848"/>
      <c r="CZ71" s="848"/>
      <c r="DA71" s="848"/>
      <c r="DB71" s="848"/>
      <c r="DC71" s="848"/>
      <c r="DD71" s="848"/>
      <c r="DE71" s="848"/>
      <c r="DF71" s="848"/>
      <c r="DG71" s="848"/>
      <c r="DH71" s="848"/>
      <c r="DI71" s="848"/>
      <c r="DJ71" s="848"/>
    </row>
    <row r="72" spans="1:114" ht="12.75">
      <c r="A72" s="860"/>
      <c r="B72" s="858"/>
      <c r="C72" s="858"/>
      <c r="D72" s="858"/>
      <c r="E72" s="858"/>
      <c r="F72" s="858"/>
      <c r="G72" s="858"/>
      <c r="H72" s="858"/>
      <c r="I72" s="858"/>
      <c r="J72" s="858"/>
      <c r="K72" s="858"/>
      <c r="L72" s="858"/>
      <c r="M72" s="858"/>
      <c r="N72" s="858"/>
      <c r="O72" s="858"/>
      <c r="P72" s="858"/>
      <c r="Q72" s="858"/>
      <c r="R72" s="858"/>
      <c r="S72" s="858"/>
      <c r="T72" s="858"/>
      <c r="U72" s="858"/>
      <c r="V72" s="858"/>
      <c r="W72" s="858"/>
      <c r="X72" s="858"/>
      <c r="Y72" s="858"/>
      <c r="Z72" s="858"/>
      <c r="AA72" s="858"/>
      <c r="AB72" s="858"/>
      <c r="AC72" s="858"/>
      <c r="AD72" s="858"/>
      <c r="AE72" s="858"/>
      <c r="AF72" s="858"/>
      <c r="AG72" s="858"/>
      <c r="AH72" s="859"/>
      <c r="AI72" s="83"/>
      <c r="AJ72" s="83"/>
      <c r="AK72" s="848"/>
      <c r="AL72" s="848"/>
      <c r="AM72" s="848"/>
      <c r="AN72" s="848"/>
      <c r="AO72" s="848"/>
      <c r="AP72" s="848"/>
      <c r="AQ72" s="848"/>
      <c r="AR72" s="848"/>
      <c r="AS72" s="848"/>
      <c r="AT72" s="848"/>
      <c r="AU72" s="848"/>
      <c r="AV72" s="848"/>
      <c r="AW72" s="848"/>
      <c r="AX72" s="848"/>
      <c r="AY72" s="848"/>
      <c r="AZ72" s="848"/>
      <c r="BA72" s="848"/>
      <c r="BB72" s="848"/>
      <c r="BC72" s="848"/>
      <c r="BD72" s="848"/>
      <c r="BE72" s="848"/>
      <c r="BF72" s="848"/>
      <c r="BG72" s="848"/>
      <c r="BH72" s="848"/>
      <c r="BI72" s="848"/>
      <c r="BJ72" s="848"/>
      <c r="BK72" s="848"/>
      <c r="BL72" s="848"/>
      <c r="BM72" s="848"/>
      <c r="BN72" s="848"/>
      <c r="BO72" s="848"/>
      <c r="BP72" s="848"/>
      <c r="BQ72" s="848"/>
      <c r="BR72" s="848"/>
      <c r="BS72" s="848"/>
      <c r="BT72" s="848"/>
      <c r="BU72" s="848"/>
      <c r="BV72" s="848"/>
      <c r="BW72" s="848"/>
      <c r="BX72" s="848"/>
      <c r="BY72" s="848"/>
      <c r="BZ72" s="848"/>
      <c r="CA72" s="848"/>
      <c r="CB72" s="848"/>
      <c r="CC72" s="848"/>
      <c r="CD72" s="848"/>
      <c r="CE72" s="848"/>
      <c r="CF72" s="848"/>
      <c r="CG72" s="848"/>
      <c r="CH72" s="848"/>
      <c r="CI72" s="848"/>
      <c r="CJ72" s="848"/>
      <c r="CK72" s="848"/>
      <c r="CL72" s="848"/>
      <c r="CM72" s="848"/>
      <c r="CN72" s="848"/>
      <c r="CO72" s="848"/>
      <c r="CP72" s="848"/>
      <c r="CQ72" s="848"/>
      <c r="CR72" s="848"/>
      <c r="CS72" s="848"/>
      <c r="CT72" s="848"/>
      <c r="CU72" s="848"/>
      <c r="CV72" s="848"/>
      <c r="CW72" s="848"/>
      <c r="CX72" s="848"/>
      <c r="CY72" s="848"/>
      <c r="CZ72" s="848"/>
      <c r="DA72" s="848"/>
      <c r="DB72" s="848"/>
      <c r="DC72" s="848"/>
      <c r="DD72" s="848"/>
      <c r="DE72" s="848"/>
      <c r="DF72" s="848"/>
      <c r="DG72" s="848"/>
      <c r="DH72" s="848"/>
      <c r="DI72" s="848"/>
      <c r="DJ72" s="848"/>
    </row>
    <row r="73" spans="1:114" ht="12.75">
      <c r="A73" s="860"/>
      <c r="B73" s="858"/>
      <c r="C73" s="858"/>
      <c r="D73" s="858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858"/>
      <c r="P73" s="858"/>
      <c r="Q73" s="858"/>
      <c r="R73" s="858"/>
      <c r="S73" s="858"/>
      <c r="T73" s="858"/>
      <c r="U73" s="858"/>
      <c r="V73" s="858"/>
      <c r="W73" s="858"/>
      <c r="X73" s="858"/>
      <c r="Y73" s="858"/>
      <c r="Z73" s="858"/>
      <c r="AA73" s="858"/>
      <c r="AB73" s="858"/>
      <c r="AC73" s="858"/>
      <c r="AD73" s="858"/>
      <c r="AE73" s="858"/>
      <c r="AF73" s="858"/>
      <c r="AG73" s="858"/>
      <c r="AH73" s="859"/>
      <c r="AI73" s="83"/>
      <c r="AJ73" s="83"/>
      <c r="AK73" s="848"/>
      <c r="AL73" s="848"/>
      <c r="AM73" s="848"/>
      <c r="AN73" s="848"/>
      <c r="AO73" s="848"/>
      <c r="AP73" s="848"/>
      <c r="AQ73" s="848"/>
      <c r="AR73" s="848"/>
      <c r="AS73" s="848"/>
      <c r="AT73" s="848"/>
      <c r="AU73" s="848"/>
      <c r="AV73" s="848"/>
      <c r="AW73" s="848"/>
      <c r="AX73" s="848"/>
      <c r="AY73" s="848"/>
      <c r="AZ73" s="848"/>
      <c r="BA73" s="848"/>
      <c r="BB73" s="848"/>
      <c r="BC73" s="848"/>
      <c r="BD73" s="848"/>
      <c r="BE73" s="848"/>
      <c r="BF73" s="848"/>
      <c r="BG73" s="848"/>
      <c r="BH73" s="848"/>
      <c r="BI73" s="848"/>
      <c r="BJ73" s="848"/>
      <c r="BK73" s="848"/>
      <c r="BL73" s="848"/>
      <c r="BM73" s="848"/>
      <c r="BN73" s="848"/>
      <c r="BO73" s="848"/>
      <c r="BP73" s="848"/>
      <c r="BQ73" s="848"/>
      <c r="BR73" s="848"/>
      <c r="BS73" s="848"/>
      <c r="BT73" s="848"/>
      <c r="BU73" s="848"/>
      <c r="BV73" s="848"/>
      <c r="BW73" s="848"/>
      <c r="BX73" s="848"/>
      <c r="BY73" s="848"/>
      <c r="BZ73" s="848"/>
      <c r="CA73" s="848"/>
      <c r="CB73" s="848"/>
      <c r="CC73" s="848"/>
      <c r="CD73" s="848"/>
      <c r="CE73" s="848"/>
      <c r="CF73" s="848"/>
      <c r="CG73" s="848"/>
      <c r="CH73" s="848"/>
      <c r="CI73" s="848"/>
      <c r="CJ73" s="848"/>
      <c r="CK73" s="848"/>
      <c r="CL73" s="848"/>
      <c r="CM73" s="848"/>
      <c r="CN73" s="848"/>
      <c r="CO73" s="848"/>
      <c r="CP73" s="848"/>
      <c r="CQ73" s="848"/>
      <c r="CR73" s="848"/>
      <c r="CS73" s="848"/>
      <c r="CT73" s="848"/>
      <c r="CU73" s="848"/>
      <c r="CV73" s="848"/>
      <c r="CW73" s="848"/>
      <c r="CX73" s="848"/>
      <c r="CY73" s="848"/>
      <c r="CZ73" s="848"/>
      <c r="DA73" s="848"/>
      <c r="DB73" s="848"/>
      <c r="DC73" s="848"/>
      <c r="DD73" s="848"/>
      <c r="DE73" s="848"/>
      <c r="DF73" s="848"/>
      <c r="DG73" s="848"/>
      <c r="DH73" s="848"/>
      <c r="DI73" s="848"/>
      <c r="DJ73" s="848"/>
    </row>
    <row r="74" spans="1:114" s="3" customFormat="1" ht="12.75">
      <c r="A74" s="860"/>
      <c r="B74" s="858"/>
      <c r="C74" s="858"/>
      <c r="D74" s="858"/>
      <c r="E74" s="858"/>
      <c r="F74" s="858"/>
      <c r="G74" s="858"/>
      <c r="H74" s="858"/>
      <c r="I74" s="858"/>
      <c r="J74" s="858"/>
      <c r="K74" s="858"/>
      <c r="L74" s="858"/>
      <c r="M74" s="858"/>
      <c r="N74" s="858"/>
      <c r="O74" s="858"/>
      <c r="P74" s="858"/>
      <c r="Q74" s="858"/>
      <c r="R74" s="858"/>
      <c r="S74" s="858"/>
      <c r="T74" s="858"/>
      <c r="U74" s="858"/>
      <c r="V74" s="858"/>
      <c r="W74" s="858"/>
      <c r="X74" s="858"/>
      <c r="Y74" s="858"/>
      <c r="Z74" s="858"/>
      <c r="AA74" s="858"/>
      <c r="AB74" s="858"/>
      <c r="AC74" s="858"/>
      <c r="AD74" s="858"/>
      <c r="AE74" s="858"/>
      <c r="AF74" s="858"/>
      <c r="AG74" s="858"/>
      <c r="AH74" s="859"/>
      <c r="AI74" s="83"/>
      <c r="AJ74" s="83"/>
      <c r="AK74" s="848"/>
      <c r="AL74" s="848"/>
      <c r="AM74" s="848"/>
      <c r="AN74" s="848"/>
      <c r="AO74" s="848"/>
      <c r="AP74" s="848"/>
      <c r="AQ74" s="848"/>
      <c r="AR74" s="848"/>
      <c r="AS74" s="848"/>
      <c r="AT74" s="848"/>
      <c r="AU74" s="848"/>
      <c r="AV74" s="848"/>
      <c r="AW74" s="848"/>
      <c r="AX74" s="848"/>
      <c r="AY74" s="848"/>
      <c r="AZ74" s="848"/>
      <c r="BA74" s="848"/>
      <c r="BB74" s="848"/>
      <c r="BC74" s="848"/>
      <c r="BD74" s="848"/>
      <c r="BE74" s="848"/>
      <c r="BF74" s="848"/>
      <c r="BG74" s="848"/>
      <c r="BH74" s="848"/>
      <c r="BI74" s="848"/>
      <c r="BJ74" s="848"/>
      <c r="BK74" s="848"/>
      <c r="BL74" s="848"/>
      <c r="BM74" s="848"/>
      <c r="BN74" s="848"/>
      <c r="BO74" s="848"/>
      <c r="BP74" s="848"/>
      <c r="BQ74" s="848"/>
      <c r="BR74" s="848"/>
      <c r="BS74" s="848"/>
      <c r="BT74" s="848"/>
      <c r="BU74" s="848"/>
      <c r="BV74" s="848"/>
      <c r="BW74" s="848"/>
      <c r="BX74" s="848"/>
      <c r="BY74" s="848"/>
      <c r="BZ74" s="848"/>
      <c r="CA74" s="848"/>
      <c r="CB74" s="848"/>
      <c r="CC74" s="848"/>
      <c r="CD74" s="848"/>
      <c r="CE74" s="848"/>
      <c r="CF74" s="848"/>
      <c r="CG74" s="848"/>
      <c r="CH74" s="848"/>
      <c r="CI74" s="848"/>
      <c r="CJ74" s="848"/>
      <c r="CK74" s="848"/>
      <c r="CL74" s="848"/>
      <c r="CM74" s="848"/>
      <c r="CN74" s="848"/>
      <c r="CO74" s="848"/>
      <c r="CP74" s="848"/>
      <c r="CQ74" s="848"/>
      <c r="CR74" s="848"/>
      <c r="CS74" s="848"/>
      <c r="CT74" s="848"/>
      <c r="CU74" s="848"/>
      <c r="CV74" s="848"/>
      <c r="CW74" s="848"/>
      <c r="CX74" s="848"/>
      <c r="CY74" s="848"/>
      <c r="CZ74" s="848"/>
      <c r="DA74" s="848"/>
      <c r="DB74" s="848"/>
      <c r="DC74" s="848"/>
      <c r="DD74" s="848"/>
      <c r="DE74" s="848"/>
      <c r="DF74" s="848"/>
      <c r="DG74" s="848"/>
      <c r="DH74" s="848"/>
      <c r="DI74" s="848"/>
      <c r="DJ74" s="848"/>
    </row>
    <row r="75" spans="1:114" s="4" customFormat="1" ht="12.75">
      <c r="A75" s="860"/>
      <c r="B75" s="858"/>
      <c r="C75" s="858"/>
      <c r="D75" s="858"/>
      <c r="E75" s="858"/>
      <c r="F75" s="858"/>
      <c r="G75" s="858"/>
      <c r="H75" s="858"/>
      <c r="I75" s="858"/>
      <c r="J75" s="858"/>
      <c r="K75" s="858"/>
      <c r="L75" s="858"/>
      <c r="M75" s="858"/>
      <c r="N75" s="858"/>
      <c r="O75" s="858"/>
      <c r="P75" s="858"/>
      <c r="Q75" s="858"/>
      <c r="R75" s="858"/>
      <c r="S75" s="858"/>
      <c r="T75" s="858"/>
      <c r="U75" s="858"/>
      <c r="V75" s="858"/>
      <c r="W75" s="858"/>
      <c r="X75" s="858"/>
      <c r="Y75" s="858"/>
      <c r="Z75" s="858"/>
      <c r="AA75" s="858"/>
      <c r="AB75" s="858"/>
      <c r="AC75" s="858"/>
      <c r="AD75" s="858"/>
      <c r="AE75" s="858"/>
      <c r="AF75" s="858"/>
      <c r="AG75" s="858"/>
      <c r="AH75" s="859"/>
      <c r="AI75" s="83"/>
      <c r="AJ75" s="83"/>
      <c r="AK75" s="848"/>
      <c r="AL75" s="848"/>
      <c r="AM75" s="848"/>
      <c r="AN75" s="848"/>
      <c r="AO75" s="848"/>
      <c r="AP75" s="848"/>
      <c r="AQ75" s="848"/>
      <c r="AR75" s="848"/>
      <c r="AS75" s="848"/>
      <c r="AT75" s="848"/>
      <c r="AU75" s="848"/>
      <c r="AV75" s="848"/>
      <c r="AW75" s="848"/>
      <c r="AX75" s="848"/>
      <c r="AY75" s="848"/>
      <c r="AZ75" s="848"/>
      <c r="BA75" s="848"/>
      <c r="BB75" s="848"/>
      <c r="BC75" s="848"/>
      <c r="BD75" s="848"/>
      <c r="BE75" s="848"/>
      <c r="BF75" s="848"/>
      <c r="BG75" s="848"/>
      <c r="BH75" s="848"/>
      <c r="BI75" s="848"/>
      <c r="BJ75" s="848"/>
      <c r="BK75" s="848"/>
      <c r="BL75" s="848"/>
      <c r="BM75" s="848"/>
      <c r="BN75" s="848"/>
      <c r="BO75" s="848"/>
      <c r="BP75" s="848"/>
      <c r="BQ75" s="848"/>
      <c r="BR75" s="848"/>
      <c r="BS75" s="848"/>
      <c r="BT75" s="848"/>
      <c r="BU75" s="848"/>
      <c r="BV75" s="848"/>
      <c r="BW75" s="848"/>
      <c r="BX75" s="848"/>
      <c r="BY75" s="848"/>
      <c r="BZ75" s="848"/>
      <c r="CA75" s="848"/>
      <c r="CB75" s="848"/>
      <c r="CC75" s="848"/>
      <c r="CD75" s="848"/>
      <c r="CE75" s="848"/>
      <c r="CF75" s="848"/>
      <c r="CG75" s="848"/>
      <c r="CH75" s="848"/>
      <c r="CI75" s="848"/>
      <c r="CJ75" s="848"/>
      <c r="CK75" s="848"/>
      <c r="CL75" s="848"/>
      <c r="CM75" s="848"/>
      <c r="CN75" s="848"/>
      <c r="CO75" s="848"/>
      <c r="CP75" s="848"/>
      <c r="CQ75" s="848"/>
      <c r="CR75" s="848"/>
      <c r="CS75" s="848"/>
      <c r="CT75" s="848"/>
      <c r="CU75" s="848"/>
      <c r="CV75" s="848"/>
      <c r="CW75" s="848"/>
      <c r="CX75" s="848"/>
      <c r="CY75" s="848"/>
      <c r="CZ75" s="848"/>
      <c r="DA75" s="848"/>
      <c r="DB75" s="848"/>
      <c r="DC75" s="848"/>
      <c r="DD75" s="848"/>
      <c r="DE75" s="848"/>
      <c r="DF75" s="848"/>
      <c r="DG75" s="848"/>
      <c r="DH75" s="848"/>
      <c r="DI75" s="848"/>
      <c r="DJ75" s="848"/>
    </row>
    <row r="76" spans="1:114" ht="12.75">
      <c r="A76" s="860"/>
      <c r="B76" s="858"/>
      <c r="C76" s="858"/>
      <c r="D76" s="858"/>
      <c r="E76" s="858"/>
      <c r="F76" s="858"/>
      <c r="G76" s="858"/>
      <c r="H76" s="858"/>
      <c r="I76" s="858"/>
      <c r="J76" s="858"/>
      <c r="K76" s="858"/>
      <c r="L76" s="858"/>
      <c r="M76" s="858"/>
      <c r="N76" s="858"/>
      <c r="O76" s="858"/>
      <c r="P76" s="858"/>
      <c r="Q76" s="858"/>
      <c r="R76" s="858"/>
      <c r="S76" s="858"/>
      <c r="T76" s="858"/>
      <c r="U76" s="858"/>
      <c r="V76" s="858"/>
      <c r="W76" s="858"/>
      <c r="X76" s="858"/>
      <c r="Y76" s="858"/>
      <c r="Z76" s="858"/>
      <c r="AA76" s="858"/>
      <c r="AB76" s="858"/>
      <c r="AC76" s="858"/>
      <c r="AD76" s="858"/>
      <c r="AE76" s="858"/>
      <c r="AF76" s="858"/>
      <c r="AG76" s="858"/>
      <c r="AH76" s="859"/>
      <c r="AI76" s="83"/>
      <c r="AJ76" s="83"/>
      <c r="AK76" s="848"/>
      <c r="AL76" s="848"/>
      <c r="AM76" s="848"/>
      <c r="AN76" s="848"/>
      <c r="AO76" s="848"/>
      <c r="AP76" s="848"/>
      <c r="AQ76" s="848"/>
      <c r="AR76" s="848"/>
      <c r="AS76" s="848"/>
      <c r="AT76" s="848"/>
      <c r="AU76" s="848"/>
      <c r="AV76" s="848"/>
      <c r="AW76" s="848"/>
      <c r="AX76" s="848"/>
      <c r="AY76" s="848"/>
      <c r="AZ76" s="848"/>
      <c r="BA76" s="848"/>
      <c r="BB76" s="848"/>
      <c r="BC76" s="848"/>
      <c r="BD76" s="848"/>
      <c r="BE76" s="848"/>
      <c r="BF76" s="848"/>
      <c r="BG76" s="848"/>
      <c r="BH76" s="848"/>
      <c r="BI76" s="848"/>
      <c r="BJ76" s="848"/>
      <c r="BK76" s="848"/>
      <c r="BL76" s="848"/>
      <c r="BM76" s="848"/>
      <c r="BN76" s="848"/>
      <c r="BO76" s="848"/>
      <c r="BP76" s="848"/>
      <c r="BQ76" s="848"/>
      <c r="BR76" s="848"/>
      <c r="BS76" s="848"/>
      <c r="BT76" s="848"/>
      <c r="BU76" s="848"/>
      <c r="BV76" s="848"/>
      <c r="BW76" s="848"/>
      <c r="BX76" s="848"/>
      <c r="BY76" s="848"/>
      <c r="BZ76" s="848"/>
      <c r="CA76" s="848"/>
      <c r="CB76" s="848"/>
      <c r="CC76" s="848"/>
      <c r="CD76" s="848"/>
      <c r="CE76" s="848"/>
      <c r="CF76" s="848"/>
      <c r="CG76" s="848"/>
      <c r="CH76" s="848"/>
      <c r="CI76" s="848"/>
      <c r="CJ76" s="848"/>
      <c r="CK76" s="848"/>
      <c r="CL76" s="848"/>
      <c r="CM76" s="848"/>
      <c r="CN76" s="848"/>
      <c r="CO76" s="848"/>
      <c r="CP76" s="848"/>
      <c r="CQ76" s="848"/>
      <c r="CR76" s="848"/>
      <c r="CS76" s="848"/>
      <c r="CT76" s="848"/>
      <c r="CU76" s="848"/>
      <c r="CV76" s="848"/>
      <c r="CW76" s="848"/>
      <c r="CX76" s="848"/>
      <c r="CY76" s="848"/>
      <c r="CZ76" s="848"/>
      <c r="DA76" s="848"/>
      <c r="DB76" s="848"/>
      <c r="DC76" s="848"/>
      <c r="DD76" s="848"/>
      <c r="DE76" s="848"/>
      <c r="DF76" s="848"/>
      <c r="DG76" s="848"/>
      <c r="DH76" s="848"/>
      <c r="DI76" s="848"/>
      <c r="DJ76" s="848"/>
    </row>
    <row r="77" spans="1:114" ht="12.75">
      <c r="A77" s="860"/>
      <c r="B77" s="858"/>
      <c r="C77" s="858"/>
      <c r="D77" s="858"/>
      <c r="E77" s="858"/>
      <c r="F77" s="858"/>
      <c r="G77" s="858"/>
      <c r="H77" s="858"/>
      <c r="I77" s="858"/>
      <c r="J77" s="858"/>
      <c r="K77" s="858"/>
      <c r="L77" s="858"/>
      <c r="M77" s="858"/>
      <c r="N77" s="858"/>
      <c r="O77" s="858"/>
      <c r="P77" s="858"/>
      <c r="Q77" s="858"/>
      <c r="R77" s="858"/>
      <c r="S77" s="858"/>
      <c r="T77" s="858"/>
      <c r="U77" s="858"/>
      <c r="V77" s="858"/>
      <c r="W77" s="858"/>
      <c r="X77" s="858"/>
      <c r="Y77" s="858"/>
      <c r="Z77" s="858"/>
      <c r="AA77" s="858"/>
      <c r="AB77" s="858"/>
      <c r="AC77" s="858"/>
      <c r="AD77" s="858"/>
      <c r="AE77" s="858"/>
      <c r="AF77" s="858"/>
      <c r="AG77" s="858"/>
      <c r="AH77" s="859"/>
      <c r="AI77" s="83"/>
      <c r="AJ77" s="83"/>
      <c r="AK77" s="848"/>
      <c r="AL77" s="848"/>
      <c r="AM77" s="848"/>
      <c r="AN77" s="848"/>
      <c r="AO77" s="848"/>
      <c r="AP77" s="848"/>
      <c r="AQ77" s="848"/>
      <c r="AR77" s="848"/>
      <c r="AS77" s="848"/>
      <c r="AT77" s="848"/>
      <c r="AU77" s="848"/>
      <c r="AV77" s="848"/>
      <c r="AW77" s="848"/>
      <c r="AX77" s="848"/>
      <c r="AY77" s="848"/>
      <c r="AZ77" s="848"/>
      <c r="BA77" s="848"/>
      <c r="BB77" s="848"/>
      <c r="BC77" s="848"/>
      <c r="BD77" s="848"/>
      <c r="BE77" s="848"/>
      <c r="BF77" s="848"/>
      <c r="BG77" s="848"/>
      <c r="BH77" s="848"/>
      <c r="BI77" s="848"/>
      <c r="BJ77" s="848"/>
      <c r="BK77" s="848"/>
      <c r="BL77" s="848"/>
      <c r="BM77" s="848"/>
      <c r="BN77" s="848"/>
      <c r="BO77" s="848"/>
      <c r="BP77" s="848"/>
      <c r="BQ77" s="848"/>
      <c r="BR77" s="848"/>
      <c r="BS77" s="848"/>
      <c r="BT77" s="848"/>
      <c r="BU77" s="848"/>
      <c r="BV77" s="848"/>
      <c r="BW77" s="848"/>
      <c r="BX77" s="848"/>
      <c r="BY77" s="848"/>
      <c r="BZ77" s="848"/>
      <c r="CA77" s="848"/>
      <c r="CB77" s="848"/>
      <c r="CC77" s="848"/>
      <c r="CD77" s="848"/>
      <c r="CE77" s="848"/>
      <c r="CF77" s="848"/>
      <c r="CG77" s="848"/>
      <c r="CH77" s="848"/>
      <c r="CI77" s="848"/>
      <c r="CJ77" s="848"/>
      <c r="CK77" s="848"/>
      <c r="CL77" s="848"/>
      <c r="CM77" s="848"/>
      <c r="CN77" s="848"/>
      <c r="CO77" s="848"/>
      <c r="CP77" s="848"/>
      <c r="CQ77" s="848"/>
      <c r="CR77" s="848"/>
      <c r="CS77" s="848"/>
      <c r="CT77" s="848"/>
      <c r="CU77" s="848"/>
      <c r="CV77" s="848"/>
      <c r="CW77" s="848"/>
      <c r="CX77" s="848"/>
      <c r="CY77" s="848"/>
      <c r="CZ77" s="848"/>
      <c r="DA77" s="848"/>
      <c r="DB77" s="848"/>
      <c r="DC77" s="848"/>
      <c r="DD77" s="848"/>
      <c r="DE77" s="848"/>
      <c r="DF77" s="848"/>
      <c r="DG77" s="848"/>
      <c r="DH77" s="848"/>
      <c r="DI77" s="848"/>
      <c r="DJ77" s="848"/>
    </row>
    <row r="78" spans="1:114" ht="12.75">
      <c r="A78" s="860"/>
      <c r="B78" s="858"/>
      <c r="C78" s="858"/>
      <c r="D78" s="858"/>
      <c r="E78" s="858"/>
      <c r="F78" s="858"/>
      <c r="G78" s="858"/>
      <c r="H78" s="858"/>
      <c r="I78" s="858"/>
      <c r="J78" s="858"/>
      <c r="K78" s="858"/>
      <c r="L78" s="858"/>
      <c r="M78" s="858"/>
      <c r="N78" s="858"/>
      <c r="O78" s="858"/>
      <c r="P78" s="858"/>
      <c r="Q78" s="858"/>
      <c r="R78" s="858"/>
      <c r="S78" s="858"/>
      <c r="T78" s="858"/>
      <c r="U78" s="858"/>
      <c r="V78" s="858"/>
      <c r="W78" s="858"/>
      <c r="X78" s="858"/>
      <c r="Y78" s="858"/>
      <c r="Z78" s="858"/>
      <c r="AA78" s="858"/>
      <c r="AB78" s="858"/>
      <c r="AC78" s="858"/>
      <c r="AD78" s="858"/>
      <c r="AE78" s="858"/>
      <c r="AF78" s="858"/>
      <c r="AG78" s="858"/>
      <c r="AH78" s="859"/>
      <c r="AI78" s="83"/>
      <c r="AJ78" s="83"/>
      <c r="AK78" s="848"/>
      <c r="AL78" s="848"/>
      <c r="AM78" s="848"/>
      <c r="AN78" s="848"/>
      <c r="AO78" s="848"/>
      <c r="AP78" s="848"/>
      <c r="AQ78" s="848"/>
      <c r="AR78" s="848"/>
      <c r="AS78" s="848"/>
      <c r="AT78" s="848"/>
      <c r="AU78" s="848"/>
      <c r="AV78" s="848"/>
      <c r="AW78" s="848"/>
      <c r="AX78" s="848"/>
      <c r="AY78" s="848"/>
      <c r="AZ78" s="848"/>
      <c r="BA78" s="848"/>
      <c r="BB78" s="848"/>
      <c r="BC78" s="848"/>
      <c r="BD78" s="848"/>
      <c r="BE78" s="848"/>
      <c r="BF78" s="848"/>
      <c r="BG78" s="848"/>
      <c r="BH78" s="848"/>
      <c r="BI78" s="848"/>
      <c r="BJ78" s="848"/>
      <c r="BK78" s="848"/>
      <c r="BL78" s="848"/>
      <c r="BM78" s="848"/>
      <c r="BN78" s="848"/>
      <c r="BO78" s="848"/>
      <c r="BP78" s="848"/>
      <c r="BQ78" s="848"/>
      <c r="BR78" s="848"/>
      <c r="BS78" s="848"/>
      <c r="BT78" s="848"/>
      <c r="BU78" s="848"/>
      <c r="BV78" s="848"/>
      <c r="BW78" s="848"/>
      <c r="BX78" s="848"/>
      <c r="BY78" s="848"/>
      <c r="BZ78" s="848"/>
      <c r="CA78" s="848"/>
      <c r="CB78" s="848"/>
      <c r="CC78" s="848"/>
      <c r="CD78" s="848"/>
      <c r="CE78" s="848"/>
      <c r="CF78" s="848"/>
      <c r="CG78" s="848"/>
      <c r="CH78" s="848"/>
      <c r="CI78" s="848"/>
      <c r="CJ78" s="848"/>
      <c r="CK78" s="848"/>
      <c r="CL78" s="848"/>
      <c r="CM78" s="848"/>
      <c r="CN78" s="848"/>
      <c r="CO78" s="848"/>
      <c r="CP78" s="848"/>
      <c r="CQ78" s="848"/>
      <c r="CR78" s="848"/>
      <c r="CS78" s="848"/>
      <c r="CT78" s="848"/>
      <c r="CU78" s="848"/>
      <c r="CV78" s="848"/>
      <c r="CW78" s="848"/>
      <c r="CX78" s="848"/>
      <c r="CY78" s="848"/>
      <c r="CZ78" s="848"/>
      <c r="DA78" s="848"/>
      <c r="DB78" s="848"/>
      <c r="DC78" s="848"/>
      <c r="DD78" s="848"/>
      <c r="DE78" s="848"/>
      <c r="DF78" s="848"/>
      <c r="DG78" s="848"/>
      <c r="DH78" s="848"/>
      <c r="DI78" s="848"/>
      <c r="DJ78" s="848"/>
    </row>
    <row r="79" spans="1:114" s="3" customFormat="1" ht="12.75">
      <c r="A79" s="860"/>
      <c r="B79" s="858"/>
      <c r="C79" s="858"/>
      <c r="D79" s="858"/>
      <c r="E79" s="858"/>
      <c r="F79" s="858"/>
      <c r="G79" s="858"/>
      <c r="H79" s="858"/>
      <c r="I79" s="858"/>
      <c r="J79" s="858"/>
      <c r="K79" s="858"/>
      <c r="L79" s="858"/>
      <c r="M79" s="858"/>
      <c r="N79" s="858"/>
      <c r="O79" s="858"/>
      <c r="P79" s="858"/>
      <c r="Q79" s="858"/>
      <c r="R79" s="858"/>
      <c r="S79" s="858"/>
      <c r="T79" s="858"/>
      <c r="U79" s="858"/>
      <c r="V79" s="858"/>
      <c r="W79" s="858"/>
      <c r="X79" s="858"/>
      <c r="Y79" s="858"/>
      <c r="Z79" s="858"/>
      <c r="AA79" s="858"/>
      <c r="AB79" s="858"/>
      <c r="AC79" s="858"/>
      <c r="AD79" s="858"/>
      <c r="AE79" s="858"/>
      <c r="AF79" s="858"/>
      <c r="AG79" s="858"/>
      <c r="AH79" s="859"/>
      <c r="AI79" s="83"/>
      <c r="AJ79" s="83"/>
      <c r="AK79" s="848"/>
      <c r="AL79" s="848"/>
      <c r="AM79" s="848"/>
      <c r="AN79" s="848"/>
      <c r="AO79" s="848"/>
      <c r="AP79" s="848"/>
      <c r="AQ79" s="848"/>
      <c r="AR79" s="848"/>
      <c r="AS79" s="848"/>
      <c r="AT79" s="848"/>
      <c r="AU79" s="848"/>
      <c r="AV79" s="848"/>
      <c r="AW79" s="848"/>
      <c r="AX79" s="848"/>
      <c r="AY79" s="848"/>
      <c r="AZ79" s="848"/>
      <c r="BA79" s="848"/>
      <c r="BB79" s="848"/>
      <c r="BC79" s="848"/>
      <c r="BD79" s="848"/>
      <c r="BE79" s="848"/>
      <c r="BF79" s="848"/>
      <c r="BG79" s="848"/>
      <c r="BH79" s="848"/>
      <c r="BI79" s="848"/>
      <c r="BJ79" s="848"/>
      <c r="BK79" s="848"/>
      <c r="BL79" s="848"/>
      <c r="BM79" s="848"/>
      <c r="BN79" s="848"/>
      <c r="BO79" s="848"/>
      <c r="BP79" s="848"/>
      <c r="BQ79" s="848"/>
      <c r="BR79" s="848"/>
      <c r="BS79" s="848"/>
      <c r="BT79" s="848"/>
      <c r="BU79" s="848"/>
      <c r="BV79" s="848"/>
      <c r="BW79" s="848"/>
      <c r="BX79" s="848"/>
      <c r="BY79" s="848"/>
      <c r="BZ79" s="848"/>
      <c r="CA79" s="848"/>
      <c r="CB79" s="848"/>
      <c r="CC79" s="848"/>
      <c r="CD79" s="848"/>
      <c r="CE79" s="848"/>
      <c r="CF79" s="848"/>
      <c r="CG79" s="848"/>
      <c r="CH79" s="848"/>
      <c r="CI79" s="848"/>
      <c r="CJ79" s="848"/>
      <c r="CK79" s="848"/>
      <c r="CL79" s="848"/>
      <c r="CM79" s="848"/>
      <c r="CN79" s="848"/>
      <c r="CO79" s="848"/>
      <c r="CP79" s="848"/>
      <c r="CQ79" s="848"/>
      <c r="CR79" s="848"/>
      <c r="CS79" s="848"/>
      <c r="CT79" s="848"/>
      <c r="CU79" s="848"/>
      <c r="CV79" s="848"/>
      <c r="CW79" s="848"/>
      <c r="CX79" s="848"/>
      <c r="CY79" s="848"/>
      <c r="CZ79" s="848"/>
      <c r="DA79" s="848"/>
      <c r="DB79" s="848"/>
      <c r="DC79" s="848"/>
      <c r="DD79" s="848"/>
      <c r="DE79" s="848"/>
      <c r="DF79" s="848"/>
      <c r="DG79" s="848"/>
      <c r="DH79" s="848"/>
      <c r="DI79" s="848"/>
      <c r="DJ79" s="848"/>
    </row>
    <row r="80" spans="1:114" ht="12.75">
      <c r="A80" s="860"/>
      <c r="B80" s="858"/>
      <c r="C80" s="858"/>
      <c r="D80" s="858"/>
      <c r="E80" s="858"/>
      <c r="F80" s="858"/>
      <c r="G80" s="858"/>
      <c r="H80" s="858"/>
      <c r="I80" s="858"/>
      <c r="J80" s="858"/>
      <c r="K80" s="858"/>
      <c r="L80" s="858"/>
      <c r="M80" s="858"/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58"/>
      <c r="Y80" s="858"/>
      <c r="Z80" s="858"/>
      <c r="AA80" s="858"/>
      <c r="AB80" s="858"/>
      <c r="AC80" s="858"/>
      <c r="AD80" s="858"/>
      <c r="AE80" s="858"/>
      <c r="AF80" s="858"/>
      <c r="AG80" s="858"/>
      <c r="AH80" s="859"/>
      <c r="AI80" s="83"/>
      <c r="AJ80" s="83"/>
      <c r="AK80" s="848"/>
      <c r="AL80" s="848"/>
      <c r="AM80" s="848"/>
      <c r="AN80" s="848"/>
      <c r="AO80" s="848"/>
      <c r="AP80" s="848"/>
      <c r="AQ80" s="848"/>
      <c r="AR80" s="848"/>
      <c r="AS80" s="848"/>
      <c r="AT80" s="848"/>
      <c r="AU80" s="848"/>
      <c r="AV80" s="848"/>
      <c r="AW80" s="848"/>
      <c r="AX80" s="848"/>
      <c r="AY80" s="848"/>
      <c r="AZ80" s="848"/>
      <c r="BA80" s="848"/>
      <c r="BB80" s="848"/>
      <c r="BC80" s="848"/>
      <c r="BD80" s="848"/>
      <c r="BE80" s="848"/>
      <c r="BF80" s="848"/>
      <c r="BG80" s="848"/>
      <c r="BH80" s="848"/>
      <c r="BI80" s="848"/>
      <c r="BJ80" s="848"/>
      <c r="BK80" s="848"/>
      <c r="BL80" s="848"/>
      <c r="BM80" s="848"/>
      <c r="BN80" s="848"/>
      <c r="BO80" s="848"/>
      <c r="BP80" s="848"/>
      <c r="BQ80" s="848"/>
      <c r="BR80" s="848"/>
      <c r="BS80" s="848"/>
      <c r="BT80" s="848"/>
      <c r="BU80" s="848"/>
      <c r="BV80" s="848"/>
      <c r="BW80" s="848"/>
      <c r="BX80" s="848"/>
      <c r="BY80" s="848"/>
      <c r="BZ80" s="848"/>
      <c r="CA80" s="848"/>
      <c r="CB80" s="848"/>
      <c r="CC80" s="848"/>
      <c r="CD80" s="848"/>
      <c r="CE80" s="848"/>
      <c r="CF80" s="848"/>
      <c r="CG80" s="848"/>
      <c r="CH80" s="848"/>
      <c r="CI80" s="848"/>
      <c r="CJ80" s="848"/>
      <c r="CK80" s="848"/>
      <c r="CL80" s="848"/>
      <c r="CM80" s="848"/>
      <c r="CN80" s="848"/>
      <c r="CO80" s="848"/>
      <c r="CP80" s="848"/>
      <c r="CQ80" s="848"/>
      <c r="CR80" s="848"/>
      <c r="CS80" s="848"/>
      <c r="CT80" s="848"/>
      <c r="CU80" s="848"/>
      <c r="CV80" s="848"/>
      <c r="CW80" s="848"/>
      <c r="CX80" s="848"/>
      <c r="CY80" s="848"/>
      <c r="CZ80" s="848"/>
      <c r="DA80" s="848"/>
      <c r="DB80" s="848"/>
      <c r="DC80" s="848"/>
      <c r="DD80" s="848"/>
      <c r="DE80" s="848"/>
      <c r="DF80" s="848"/>
      <c r="DG80" s="848"/>
      <c r="DH80" s="848"/>
      <c r="DI80" s="848"/>
      <c r="DJ80" s="848"/>
    </row>
    <row r="81" spans="1:114" ht="12.75">
      <c r="A81" s="860"/>
      <c r="B81" s="858"/>
      <c r="C81" s="858"/>
      <c r="D81" s="858"/>
      <c r="E81" s="858"/>
      <c r="F81" s="858"/>
      <c r="G81" s="858"/>
      <c r="H81" s="858"/>
      <c r="I81" s="858"/>
      <c r="J81" s="858"/>
      <c r="K81" s="858"/>
      <c r="L81" s="858"/>
      <c r="M81" s="858"/>
      <c r="N81" s="858"/>
      <c r="O81" s="858"/>
      <c r="P81" s="858"/>
      <c r="Q81" s="858"/>
      <c r="R81" s="858"/>
      <c r="S81" s="858"/>
      <c r="T81" s="858"/>
      <c r="U81" s="858"/>
      <c r="V81" s="858"/>
      <c r="W81" s="858"/>
      <c r="X81" s="858"/>
      <c r="Y81" s="858"/>
      <c r="Z81" s="858"/>
      <c r="AA81" s="858"/>
      <c r="AB81" s="858"/>
      <c r="AC81" s="858"/>
      <c r="AD81" s="858"/>
      <c r="AE81" s="858"/>
      <c r="AF81" s="858"/>
      <c r="AG81" s="858"/>
      <c r="AH81" s="859"/>
      <c r="AI81" s="83"/>
      <c r="AJ81" s="83"/>
      <c r="AK81" s="848"/>
      <c r="AL81" s="848"/>
      <c r="AM81" s="848"/>
      <c r="AN81" s="848"/>
      <c r="AO81" s="848"/>
      <c r="AP81" s="848"/>
      <c r="AQ81" s="848"/>
      <c r="AR81" s="848"/>
      <c r="AS81" s="848"/>
      <c r="AT81" s="848"/>
      <c r="AU81" s="848"/>
      <c r="AV81" s="848"/>
      <c r="AW81" s="848"/>
      <c r="AX81" s="848"/>
      <c r="AY81" s="848"/>
      <c r="AZ81" s="848"/>
      <c r="BA81" s="848"/>
      <c r="BB81" s="848"/>
      <c r="BC81" s="848"/>
      <c r="BD81" s="848"/>
      <c r="BE81" s="848"/>
      <c r="BF81" s="848"/>
      <c r="BG81" s="848"/>
      <c r="BH81" s="848"/>
      <c r="BI81" s="848"/>
      <c r="BJ81" s="848"/>
      <c r="BK81" s="848"/>
      <c r="BL81" s="848"/>
      <c r="BM81" s="848"/>
      <c r="BN81" s="848"/>
      <c r="BO81" s="848"/>
      <c r="BP81" s="848"/>
      <c r="BQ81" s="848"/>
      <c r="BR81" s="848"/>
      <c r="BS81" s="848"/>
      <c r="BT81" s="848"/>
      <c r="BU81" s="848"/>
      <c r="BV81" s="848"/>
      <c r="BW81" s="848"/>
      <c r="BX81" s="848"/>
      <c r="BY81" s="848"/>
      <c r="BZ81" s="848"/>
      <c r="CA81" s="848"/>
      <c r="CB81" s="848"/>
      <c r="CC81" s="848"/>
      <c r="CD81" s="848"/>
      <c r="CE81" s="848"/>
      <c r="CF81" s="848"/>
      <c r="CG81" s="848"/>
      <c r="CH81" s="848"/>
      <c r="CI81" s="848"/>
      <c r="CJ81" s="848"/>
      <c r="CK81" s="848"/>
      <c r="CL81" s="848"/>
      <c r="CM81" s="848"/>
      <c r="CN81" s="848"/>
      <c r="CO81" s="848"/>
      <c r="CP81" s="848"/>
      <c r="CQ81" s="848"/>
      <c r="CR81" s="848"/>
      <c r="CS81" s="848"/>
      <c r="CT81" s="848"/>
      <c r="CU81" s="848"/>
      <c r="CV81" s="848"/>
      <c r="CW81" s="848"/>
      <c r="CX81" s="848"/>
      <c r="CY81" s="848"/>
      <c r="CZ81" s="848"/>
      <c r="DA81" s="848"/>
      <c r="DB81" s="848"/>
      <c r="DC81" s="848"/>
      <c r="DD81" s="848"/>
      <c r="DE81" s="848"/>
      <c r="DF81" s="848"/>
      <c r="DG81" s="848"/>
      <c r="DH81" s="848"/>
      <c r="DI81" s="848"/>
      <c r="DJ81" s="848"/>
    </row>
    <row r="82" spans="1:114" ht="12.75">
      <c r="A82" s="860"/>
      <c r="B82" s="858"/>
      <c r="C82" s="858"/>
      <c r="D82" s="858"/>
      <c r="E82" s="858"/>
      <c r="F82" s="858"/>
      <c r="G82" s="858"/>
      <c r="H82" s="858"/>
      <c r="I82" s="858"/>
      <c r="J82" s="858"/>
      <c r="K82" s="858"/>
      <c r="L82" s="858"/>
      <c r="M82" s="858"/>
      <c r="N82" s="858"/>
      <c r="O82" s="858"/>
      <c r="P82" s="858"/>
      <c r="Q82" s="858"/>
      <c r="R82" s="858"/>
      <c r="S82" s="858"/>
      <c r="T82" s="858"/>
      <c r="U82" s="858"/>
      <c r="V82" s="858"/>
      <c r="W82" s="858"/>
      <c r="X82" s="858"/>
      <c r="Y82" s="858"/>
      <c r="Z82" s="858"/>
      <c r="AA82" s="858"/>
      <c r="AB82" s="858"/>
      <c r="AC82" s="858"/>
      <c r="AD82" s="858"/>
      <c r="AE82" s="858"/>
      <c r="AF82" s="858"/>
      <c r="AG82" s="858"/>
      <c r="AH82" s="859"/>
      <c r="AI82" s="83"/>
      <c r="AJ82" s="83"/>
      <c r="AK82" s="848"/>
      <c r="AL82" s="848"/>
      <c r="AM82" s="848"/>
      <c r="AN82" s="848"/>
      <c r="AO82" s="848"/>
      <c r="AP82" s="848"/>
      <c r="AQ82" s="848"/>
      <c r="AR82" s="848"/>
      <c r="AS82" s="848"/>
      <c r="AT82" s="848"/>
      <c r="AU82" s="848"/>
      <c r="AV82" s="848"/>
      <c r="AW82" s="848"/>
      <c r="AX82" s="848"/>
      <c r="AY82" s="848"/>
      <c r="AZ82" s="848"/>
      <c r="BA82" s="848"/>
      <c r="BB82" s="848"/>
      <c r="BC82" s="848"/>
      <c r="BD82" s="848"/>
      <c r="BE82" s="848"/>
      <c r="BF82" s="848"/>
      <c r="BG82" s="848"/>
      <c r="BH82" s="848"/>
      <c r="BI82" s="848"/>
      <c r="BJ82" s="848"/>
      <c r="BK82" s="848"/>
      <c r="BL82" s="848"/>
      <c r="BM82" s="848"/>
      <c r="BN82" s="848"/>
      <c r="BO82" s="848"/>
      <c r="BP82" s="848"/>
      <c r="BQ82" s="848"/>
      <c r="BR82" s="848"/>
      <c r="BS82" s="848"/>
      <c r="BT82" s="848"/>
      <c r="BU82" s="848"/>
      <c r="BV82" s="848"/>
      <c r="BW82" s="848"/>
      <c r="BX82" s="848"/>
      <c r="BY82" s="848"/>
      <c r="BZ82" s="848"/>
      <c r="CA82" s="848"/>
      <c r="CB82" s="848"/>
      <c r="CC82" s="848"/>
      <c r="CD82" s="848"/>
      <c r="CE82" s="848"/>
      <c r="CF82" s="848"/>
      <c r="CG82" s="848"/>
      <c r="CH82" s="848"/>
      <c r="CI82" s="848"/>
      <c r="CJ82" s="848"/>
      <c r="CK82" s="848"/>
      <c r="CL82" s="848"/>
      <c r="CM82" s="848"/>
      <c r="CN82" s="848"/>
      <c r="CO82" s="848"/>
      <c r="CP82" s="848"/>
      <c r="CQ82" s="848"/>
      <c r="CR82" s="848"/>
      <c r="CS82" s="848"/>
      <c r="CT82" s="848"/>
      <c r="CU82" s="848"/>
      <c r="CV82" s="848"/>
      <c r="CW82" s="848"/>
      <c r="CX82" s="848"/>
      <c r="CY82" s="848"/>
      <c r="CZ82" s="848"/>
      <c r="DA82" s="848"/>
      <c r="DB82" s="848"/>
      <c r="DC82" s="848"/>
      <c r="DD82" s="848"/>
      <c r="DE82" s="848"/>
      <c r="DF82" s="848"/>
      <c r="DG82" s="848"/>
      <c r="DH82" s="848"/>
      <c r="DI82" s="848"/>
      <c r="DJ82" s="848"/>
    </row>
    <row r="83" spans="1:114" s="3" customFormat="1" ht="12.75">
      <c r="A83" s="860"/>
      <c r="B83" s="858"/>
      <c r="C83" s="858"/>
      <c r="D83" s="858"/>
      <c r="E83" s="858"/>
      <c r="F83" s="858"/>
      <c r="G83" s="858"/>
      <c r="H83" s="858"/>
      <c r="I83" s="858"/>
      <c r="J83" s="858"/>
      <c r="K83" s="858"/>
      <c r="L83" s="858"/>
      <c r="M83" s="858"/>
      <c r="N83" s="858"/>
      <c r="O83" s="858"/>
      <c r="P83" s="858"/>
      <c r="Q83" s="858"/>
      <c r="R83" s="858"/>
      <c r="S83" s="858"/>
      <c r="T83" s="858"/>
      <c r="U83" s="858"/>
      <c r="V83" s="858"/>
      <c r="W83" s="858"/>
      <c r="X83" s="858"/>
      <c r="Y83" s="858"/>
      <c r="Z83" s="858"/>
      <c r="AA83" s="858"/>
      <c r="AB83" s="858"/>
      <c r="AC83" s="858"/>
      <c r="AD83" s="858"/>
      <c r="AE83" s="858"/>
      <c r="AF83" s="858"/>
      <c r="AG83" s="858"/>
      <c r="AH83" s="859"/>
      <c r="AI83" s="83"/>
      <c r="AJ83" s="83"/>
      <c r="AK83" s="848"/>
      <c r="AL83" s="848"/>
      <c r="AM83" s="848"/>
      <c r="AN83" s="848"/>
      <c r="AO83" s="848"/>
      <c r="AP83" s="848"/>
      <c r="AQ83" s="848"/>
      <c r="AR83" s="848"/>
      <c r="AS83" s="848"/>
      <c r="AT83" s="848"/>
      <c r="AU83" s="848"/>
      <c r="AV83" s="848"/>
      <c r="AW83" s="848"/>
      <c r="AX83" s="848"/>
      <c r="AY83" s="848"/>
      <c r="AZ83" s="848"/>
      <c r="BA83" s="848"/>
      <c r="BB83" s="848"/>
      <c r="BC83" s="848"/>
      <c r="BD83" s="848"/>
      <c r="BE83" s="848"/>
      <c r="BF83" s="848"/>
      <c r="BG83" s="848"/>
      <c r="BH83" s="848"/>
      <c r="BI83" s="848"/>
      <c r="BJ83" s="848"/>
      <c r="BK83" s="848"/>
      <c r="BL83" s="848"/>
      <c r="BM83" s="848"/>
      <c r="BN83" s="848"/>
      <c r="BO83" s="848"/>
      <c r="BP83" s="848"/>
      <c r="BQ83" s="848"/>
      <c r="BR83" s="848"/>
      <c r="BS83" s="848"/>
      <c r="BT83" s="848"/>
      <c r="BU83" s="848"/>
      <c r="BV83" s="848"/>
      <c r="BW83" s="848"/>
      <c r="BX83" s="848"/>
      <c r="BY83" s="848"/>
      <c r="BZ83" s="848"/>
      <c r="CA83" s="848"/>
      <c r="CB83" s="848"/>
      <c r="CC83" s="848"/>
      <c r="CD83" s="848"/>
      <c r="CE83" s="848"/>
      <c r="CF83" s="848"/>
      <c r="CG83" s="848"/>
      <c r="CH83" s="848"/>
      <c r="CI83" s="848"/>
      <c r="CJ83" s="848"/>
      <c r="CK83" s="848"/>
      <c r="CL83" s="848"/>
      <c r="CM83" s="848"/>
      <c r="CN83" s="848"/>
      <c r="CO83" s="848"/>
      <c r="CP83" s="848"/>
      <c r="CQ83" s="848"/>
      <c r="CR83" s="848"/>
      <c r="CS83" s="848"/>
      <c r="CT83" s="848"/>
      <c r="CU83" s="848"/>
      <c r="CV83" s="848"/>
      <c r="CW83" s="848"/>
      <c r="CX83" s="848"/>
      <c r="CY83" s="848"/>
      <c r="CZ83" s="848"/>
      <c r="DA83" s="848"/>
      <c r="DB83" s="848"/>
      <c r="DC83" s="848"/>
      <c r="DD83" s="848"/>
      <c r="DE83" s="848"/>
      <c r="DF83" s="848"/>
      <c r="DG83" s="848"/>
      <c r="DH83" s="848"/>
      <c r="DI83" s="848"/>
      <c r="DJ83" s="848"/>
    </row>
    <row r="84" spans="1:114" ht="12.75">
      <c r="A84" s="860"/>
      <c r="B84" s="858"/>
      <c r="C84" s="858"/>
      <c r="D84" s="858"/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8"/>
      <c r="R84" s="858"/>
      <c r="S84" s="858"/>
      <c r="T84" s="858"/>
      <c r="U84" s="858"/>
      <c r="V84" s="858"/>
      <c r="W84" s="858"/>
      <c r="X84" s="858"/>
      <c r="Y84" s="858"/>
      <c r="Z84" s="858"/>
      <c r="AA84" s="858"/>
      <c r="AB84" s="858"/>
      <c r="AC84" s="858"/>
      <c r="AD84" s="858"/>
      <c r="AE84" s="858"/>
      <c r="AF84" s="858"/>
      <c r="AG84" s="858"/>
      <c r="AH84" s="859"/>
      <c r="AI84" s="83"/>
      <c r="AJ84" s="83"/>
      <c r="AK84" s="848"/>
      <c r="AL84" s="848"/>
      <c r="AM84" s="848"/>
      <c r="AN84" s="848"/>
      <c r="AO84" s="848"/>
      <c r="AP84" s="848"/>
      <c r="AQ84" s="848"/>
      <c r="AR84" s="848"/>
      <c r="AS84" s="848"/>
      <c r="AT84" s="848"/>
      <c r="AU84" s="848"/>
      <c r="AV84" s="848"/>
      <c r="AW84" s="848"/>
      <c r="AX84" s="848"/>
      <c r="AY84" s="848"/>
      <c r="AZ84" s="848"/>
      <c r="BA84" s="848"/>
      <c r="BB84" s="848"/>
      <c r="BC84" s="848"/>
      <c r="BD84" s="848"/>
      <c r="BE84" s="848"/>
      <c r="BF84" s="848"/>
      <c r="BG84" s="848"/>
      <c r="BH84" s="848"/>
      <c r="BI84" s="848"/>
      <c r="BJ84" s="848"/>
      <c r="BK84" s="848"/>
      <c r="BL84" s="848"/>
      <c r="BM84" s="848"/>
      <c r="BN84" s="848"/>
      <c r="BO84" s="848"/>
      <c r="BP84" s="848"/>
      <c r="BQ84" s="848"/>
      <c r="BR84" s="848"/>
      <c r="BS84" s="848"/>
      <c r="BT84" s="848"/>
      <c r="BU84" s="848"/>
      <c r="BV84" s="848"/>
      <c r="BW84" s="848"/>
      <c r="BX84" s="848"/>
      <c r="BY84" s="848"/>
      <c r="BZ84" s="848"/>
      <c r="CA84" s="848"/>
      <c r="CB84" s="848"/>
      <c r="CC84" s="848"/>
      <c r="CD84" s="848"/>
      <c r="CE84" s="848"/>
      <c r="CF84" s="848"/>
      <c r="CG84" s="848"/>
      <c r="CH84" s="848"/>
      <c r="CI84" s="848"/>
      <c r="CJ84" s="848"/>
      <c r="CK84" s="848"/>
      <c r="CL84" s="848"/>
      <c r="CM84" s="848"/>
      <c r="CN84" s="848"/>
      <c r="CO84" s="848"/>
      <c r="CP84" s="848"/>
      <c r="CQ84" s="848"/>
      <c r="CR84" s="848"/>
      <c r="CS84" s="848"/>
      <c r="CT84" s="848"/>
      <c r="CU84" s="848"/>
      <c r="CV84" s="848"/>
      <c r="CW84" s="848"/>
      <c r="CX84" s="848"/>
      <c r="CY84" s="848"/>
      <c r="CZ84" s="848"/>
      <c r="DA84" s="848"/>
      <c r="DB84" s="848"/>
      <c r="DC84" s="848"/>
      <c r="DD84" s="848"/>
      <c r="DE84" s="848"/>
      <c r="DF84" s="848"/>
      <c r="DG84" s="848"/>
      <c r="DH84" s="848"/>
      <c r="DI84" s="848"/>
      <c r="DJ84" s="848"/>
    </row>
    <row r="85" spans="1:114" ht="12.75">
      <c r="A85" s="860"/>
      <c r="B85" s="858"/>
      <c r="C85" s="858"/>
      <c r="D85" s="858"/>
      <c r="E85" s="858"/>
      <c r="F85" s="858"/>
      <c r="G85" s="858"/>
      <c r="H85" s="858"/>
      <c r="I85" s="858"/>
      <c r="J85" s="858"/>
      <c r="K85" s="858"/>
      <c r="L85" s="858"/>
      <c r="M85" s="858"/>
      <c r="N85" s="858"/>
      <c r="O85" s="858"/>
      <c r="P85" s="858"/>
      <c r="Q85" s="858"/>
      <c r="R85" s="858"/>
      <c r="S85" s="858"/>
      <c r="T85" s="858"/>
      <c r="U85" s="858"/>
      <c r="V85" s="858"/>
      <c r="W85" s="858"/>
      <c r="X85" s="858"/>
      <c r="Y85" s="858"/>
      <c r="Z85" s="858"/>
      <c r="AA85" s="858"/>
      <c r="AB85" s="858"/>
      <c r="AC85" s="858"/>
      <c r="AD85" s="858"/>
      <c r="AE85" s="858"/>
      <c r="AF85" s="858"/>
      <c r="AG85" s="858"/>
      <c r="AH85" s="859"/>
      <c r="AI85" s="83"/>
      <c r="AJ85" s="83"/>
      <c r="AK85" s="848"/>
      <c r="AL85" s="848"/>
      <c r="AM85" s="848"/>
      <c r="AN85" s="848"/>
      <c r="AO85" s="848"/>
      <c r="AP85" s="848"/>
      <c r="AQ85" s="848"/>
      <c r="AR85" s="848"/>
      <c r="AS85" s="848"/>
      <c r="AT85" s="848"/>
      <c r="AU85" s="848"/>
      <c r="AV85" s="848"/>
      <c r="AW85" s="848"/>
      <c r="AX85" s="848"/>
      <c r="AY85" s="848"/>
      <c r="AZ85" s="848"/>
      <c r="BA85" s="848"/>
      <c r="BB85" s="848"/>
      <c r="BC85" s="848"/>
      <c r="BD85" s="848"/>
      <c r="BE85" s="848"/>
      <c r="BF85" s="848"/>
      <c r="BG85" s="848"/>
      <c r="BH85" s="848"/>
      <c r="BI85" s="848"/>
      <c r="BJ85" s="848"/>
      <c r="BK85" s="848"/>
      <c r="BL85" s="848"/>
      <c r="BM85" s="848"/>
      <c r="BN85" s="848"/>
      <c r="BO85" s="848"/>
      <c r="BP85" s="848"/>
      <c r="BQ85" s="848"/>
      <c r="BR85" s="848"/>
      <c r="BS85" s="848"/>
      <c r="BT85" s="848"/>
      <c r="BU85" s="848"/>
      <c r="BV85" s="848"/>
      <c r="BW85" s="848"/>
      <c r="BX85" s="848"/>
      <c r="BY85" s="848"/>
      <c r="BZ85" s="848"/>
      <c r="CA85" s="848"/>
      <c r="CB85" s="848"/>
      <c r="CC85" s="848"/>
      <c r="CD85" s="848"/>
      <c r="CE85" s="848"/>
      <c r="CF85" s="848"/>
      <c r="CG85" s="848"/>
      <c r="CH85" s="848"/>
      <c r="CI85" s="848"/>
      <c r="CJ85" s="848"/>
      <c r="CK85" s="848"/>
      <c r="CL85" s="848"/>
      <c r="CM85" s="848"/>
      <c r="CN85" s="848"/>
      <c r="CO85" s="848"/>
      <c r="CP85" s="848"/>
      <c r="CQ85" s="848"/>
      <c r="CR85" s="848"/>
      <c r="CS85" s="848"/>
      <c r="CT85" s="848"/>
      <c r="CU85" s="848"/>
      <c r="CV85" s="848"/>
      <c r="CW85" s="848"/>
      <c r="CX85" s="848"/>
      <c r="CY85" s="848"/>
      <c r="CZ85" s="848"/>
      <c r="DA85" s="848"/>
      <c r="DB85" s="848"/>
      <c r="DC85" s="848"/>
      <c r="DD85" s="848"/>
      <c r="DE85" s="848"/>
      <c r="DF85" s="848"/>
      <c r="DG85" s="848"/>
      <c r="DH85" s="848"/>
      <c r="DI85" s="848"/>
      <c r="DJ85" s="848"/>
    </row>
    <row r="86" spans="1:114" ht="12.75">
      <c r="A86" s="860"/>
      <c r="B86" s="858"/>
      <c r="C86" s="858"/>
      <c r="D86" s="858"/>
      <c r="E86" s="858"/>
      <c r="F86" s="858"/>
      <c r="G86" s="858"/>
      <c r="H86" s="858"/>
      <c r="I86" s="858"/>
      <c r="J86" s="858"/>
      <c r="K86" s="858"/>
      <c r="L86" s="858"/>
      <c r="M86" s="858"/>
      <c r="N86" s="858"/>
      <c r="O86" s="858"/>
      <c r="P86" s="858"/>
      <c r="Q86" s="858"/>
      <c r="R86" s="858"/>
      <c r="S86" s="858"/>
      <c r="T86" s="858"/>
      <c r="U86" s="858"/>
      <c r="V86" s="858"/>
      <c r="W86" s="858"/>
      <c r="X86" s="858"/>
      <c r="Y86" s="858"/>
      <c r="Z86" s="858"/>
      <c r="AA86" s="858"/>
      <c r="AB86" s="858"/>
      <c r="AC86" s="858"/>
      <c r="AD86" s="858"/>
      <c r="AE86" s="858"/>
      <c r="AF86" s="858"/>
      <c r="AG86" s="858"/>
      <c r="AH86" s="859"/>
      <c r="AI86" s="83"/>
      <c r="AJ86" s="83"/>
      <c r="AK86" s="848"/>
      <c r="AL86" s="848"/>
      <c r="AM86" s="848"/>
      <c r="AN86" s="848"/>
      <c r="AO86" s="848"/>
      <c r="AP86" s="848"/>
      <c r="AQ86" s="848"/>
      <c r="AR86" s="848"/>
      <c r="AS86" s="848"/>
      <c r="AT86" s="848"/>
      <c r="AU86" s="848"/>
      <c r="AV86" s="848"/>
      <c r="AW86" s="848"/>
      <c r="AX86" s="848"/>
      <c r="AY86" s="848"/>
      <c r="AZ86" s="848"/>
      <c r="BA86" s="848"/>
      <c r="BB86" s="848"/>
      <c r="BC86" s="848"/>
      <c r="BD86" s="848"/>
      <c r="BE86" s="848"/>
      <c r="BF86" s="848"/>
      <c r="BG86" s="848"/>
      <c r="BH86" s="848"/>
      <c r="BI86" s="848"/>
      <c r="BJ86" s="848"/>
      <c r="BK86" s="848"/>
      <c r="BL86" s="848"/>
      <c r="BM86" s="848"/>
      <c r="BN86" s="848"/>
      <c r="BO86" s="848"/>
      <c r="BP86" s="848"/>
      <c r="BQ86" s="848"/>
      <c r="BR86" s="848"/>
      <c r="BS86" s="848"/>
      <c r="BT86" s="848"/>
      <c r="BU86" s="848"/>
      <c r="BV86" s="848"/>
      <c r="BW86" s="848"/>
      <c r="BX86" s="848"/>
      <c r="BY86" s="848"/>
      <c r="BZ86" s="848"/>
      <c r="CA86" s="848"/>
      <c r="CB86" s="848"/>
      <c r="CC86" s="848"/>
      <c r="CD86" s="848"/>
      <c r="CE86" s="848"/>
      <c r="CF86" s="848"/>
      <c r="CG86" s="848"/>
      <c r="CH86" s="848"/>
      <c r="CI86" s="848"/>
      <c r="CJ86" s="848"/>
      <c r="CK86" s="848"/>
      <c r="CL86" s="848"/>
      <c r="CM86" s="848"/>
      <c r="CN86" s="848"/>
      <c r="CO86" s="848"/>
      <c r="CP86" s="848"/>
      <c r="CQ86" s="848"/>
      <c r="CR86" s="848"/>
      <c r="CS86" s="848"/>
      <c r="CT86" s="848"/>
      <c r="CU86" s="848"/>
      <c r="CV86" s="848"/>
      <c r="CW86" s="848"/>
      <c r="CX86" s="848"/>
      <c r="CY86" s="848"/>
      <c r="CZ86" s="848"/>
      <c r="DA86" s="848"/>
      <c r="DB86" s="848"/>
      <c r="DC86" s="848"/>
      <c r="DD86" s="848"/>
      <c r="DE86" s="848"/>
      <c r="DF86" s="848"/>
      <c r="DG86" s="848"/>
      <c r="DH86" s="848"/>
      <c r="DI86" s="848"/>
      <c r="DJ86" s="848"/>
    </row>
    <row r="87" spans="1:114" s="3" customFormat="1" ht="12.75">
      <c r="A87" s="860"/>
      <c r="B87" s="858"/>
      <c r="C87" s="858"/>
      <c r="D87" s="858"/>
      <c r="E87" s="858"/>
      <c r="F87" s="858"/>
      <c r="G87" s="858"/>
      <c r="H87" s="858"/>
      <c r="I87" s="858"/>
      <c r="J87" s="858"/>
      <c r="K87" s="858"/>
      <c r="L87" s="858"/>
      <c r="M87" s="858"/>
      <c r="N87" s="858"/>
      <c r="O87" s="858"/>
      <c r="P87" s="858"/>
      <c r="Q87" s="858"/>
      <c r="R87" s="858"/>
      <c r="S87" s="858"/>
      <c r="T87" s="858"/>
      <c r="U87" s="858"/>
      <c r="V87" s="858"/>
      <c r="W87" s="858"/>
      <c r="X87" s="858"/>
      <c r="Y87" s="858"/>
      <c r="Z87" s="858"/>
      <c r="AA87" s="858"/>
      <c r="AB87" s="858"/>
      <c r="AC87" s="858"/>
      <c r="AD87" s="858"/>
      <c r="AE87" s="858"/>
      <c r="AF87" s="858"/>
      <c r="AG87" s="858"/>
      <c r="AH87" s="859"/>
      <c r="AI87" s="83"/>
      <c r="AJ87" s="83"/>
      <c r="AK87" s="848"/>
      <c r="AL87" s="848"/>
      <c r="AM87" s="848"/>
      <c r="AN87" s="848"/>
      <c r="AO87" s="848"/>
      <c r="AP87" s="848"/>
      <c r="AQ87" s="848"/>
      <c r="AR87" s="848"/>
      <c r="AS87" s="848"/>
      <c r="AT87" s="848"/>
      <c r="AU87" s="848"/>
      <c r="AV87" s="848"/>
      <c r="AW87" s="848"/>
      <c r="AX87" s="848"/>
      <c r="AY87" s="848"/>
      <c r="AZ87" s="848"/>
      <c r="BA87" s="848"/>
      <c r="BB87" s="848"/>
      <c r="BC87" s="848"/>
      <c r="BD87" s="848"/>
      <c r="BE87" s="848"/>
      <c r="BF87" s="848"/>
      <c r="BG87" s="848"/>
      <c r="BH87" s="848"/>
      <c r="BI87" s="848"/>
      <c r="BJ87" s="848"/>
      <c r="BK87" s="848"/>
      <c r="BL87" s="848"/>
      <c r="BM87" s="848"/>
      <c r="BN87" s="848"/>
      <c r="BO87" s="848"/>
      <c r="BP87" s="848"/>
      <c r="BQ87" s="848"/>
      <c r="BR87" s="848"/>
      <c r="BS87" s="848"/>
      <c r="BT87" s="848"/>
      <c r="BU87" s="848"/>
      <c r="BV87" s="848"/>
      <c r="BW87" s="848"/>
      <c r="BX87" s="848"/>
      <c r="BY87" s="848"/>
      <c r="BZ87" s="848"/>
      <c r="CA87" s="848"/>
      <c r="CB87" s="848"/>
      <c r="CC87" s="848"/>
      <c r="CD87" s="848"/>
      <c r="CE87" s="848"/>
      <c r="CF87" s="848"/>
      <c r="CG87" s="848"/>
      <c r="CH87" s="848"/>
      <c r="CI87" s="848"/>
      <c r="CJ87" s="848"/>
      <c r="CK87" s="848"/>
      <c r="CL87" s="848"/>
      <c r="CM87" s="848"/>
      <c r="CN87" s="848"/>
      <c r="CO87" s="848"/>
      <c r="CP87" s="848"/>
      <c r="CQ87" s="848"/>
      <c r="CR87" s="848"/>
      <c r="CS87" s="848"/>
      <c r="CT87" s="848"/>
      <c r="CU87" s="848"/>
      <c r="CV87" s="848"/>
      <c r="CW87" s="848"/>
      <c r="CX87" s="848"/>
      <c r="CY87" s="848"/>
      <c r="CZ87" s="848"/>
      <c r="DA87" s="848"/>
      <c r="DB87" s="848"/>
      <c r="DC87" s="848"/>
      <c r="DD87" s="848"/>
      <c r="DE87" s="848"/>
      <c r="DF87" s="848"/>
      <c r="DG87" s="848"/>
      <c r="DH87" s="848"/>
      <c r="DI87" s="848"/>
      <c r="DJ87" s="848"/>
    </row>
    <row r="88" spans="1:114" s="4" customFormat="1" ht="12.75">
      <c r="A88" s="860"/>
      <c r="B88" s="858"/>
      <c r="C88" s="858"/>
      <c r="D88" s="858"/>
      <c r="E88" s="858"/>
      <c r="F88" s="858"/>
      <c r="G88" s="858"/>
      <c r="H88" s="858"/>
      <c r="I88" s="858"/>
      <c r="J88" s="858"/>
      <c r="K88" s="858"/>
      <c r="L88" s="858"/>
      <c r="M88" s="858"/>
      <c r="N88" s="858"/>
      <c r="O88" s="858"/>
      <c r="P88" s="858"/>
      <c r="Q88" s="858"/>
      <c r="R88" s="858"/>
      <c r="S88" s="858"/>
      <c r="T88" s="858"/>
      <c r="U88" s="858"/>
      <c r="V88" s="858"/>
      <c r="W88" s="858"/>
      <c r="X88" s="858"/>
      <c r="Y88" s="858"/>
      <c r="Z88" s="858"/>
      <c r="AA88" s="858"/>
      <c r="AB88" s="858"/>
      <c r="AC88" s="858"/>
      <c r="AD88" s="858"/>
      <c r="AE88" s="858"/>
      <c r="AF88" s="858"/>
      <c r="AG88" s="858"/>
      <c r="AH88" s="859"/>
      <c r="AI88" s="83"/>
      <c r="AJ88" s="83"/>
      <c r="AK88" s="848"/>
      <c r="AL88" s="848"/>
      <c r="AM88" s="848"/>
      <c r="AN88" s="848"/>
      <c r="AO88" s="848"/>
      <c r="AP88" s="848"/>
      <c r="AQ88" s="848"/>
      <c r="AR88" s="848"/>
      <c r="AS88" s="848"/>
      <c r="AT88" s="848"/>
      <c r="AU88" s="848"/>
      <c r="AV88" s="848"/>
      <c r="AW88" s="848"/>
      <c r="AX88" s="848"/>
      <c r="AY88" s="848"/>
      <c r="AZ88" s="848"/>
      <c r="BA88" s="848"/>
      <c r="BB88" s="848"/>
      <c r="BC88" s="848"/>
      <c r="BD88" s="848"/>
      <c r="BE88" s="848"/>
      <c r="BF88" s="848"/>
      <c r="BG88" s="848"/>
      <c r="BH88" s="848"/>
      <c r="BI88" s="848"/>
      <c r="BJ88" s="848"/>
      <c r="BK88" s="848"/>
      <c r="BL88" s="848"/>
      <c r="BM88" s="848"/>
      <c r="BN88" s="848"/>
      <c r="BO88" s="848"/>
      <c r="BP88" s="848"/>
      <c r="BQ88" s="848"/>
      <c r="BR88" s="848"/>
      <c r="BS88" s="848"/>
      <c r="BT88" s="848"/>
      <c r="BU88" s="848"/>
      <c r="BV88" s="848"/>
      <c r="BW88" s="848"/>
      <c r="BX88" s="848"/>
      <c r="BY88" s="848"/>
      <c r="BZ88" s="848"/>
      <c r="CA88" s="848"/>
      <c r="CB88" s="848"/>
      <c r="CC88" s="848"/>
      <c r="CD88" s="848"/>
      <c r="CE88" s="848"/>
      <c r="CF88" s="848"/>
      <c r="CG88" s="848"/>
      <c r="CH88" s="848"/>
      <c r="CI88" s="848"/>
      <c r="CJ88" s="848"/>
      <c r="CK88" s="848"/>
      <c r="CL88" s="848"/>
      <c r="CM88" s="848"/>
      <c r="CN88" s="848"/>
      <c r="CO88" s="848"/>
      <c r="CP88" s="848"/>
      <c r="CQ88" s="848"/>
      <c r="CR88" s="848"/>
      <c r="CS88" s="848"/>
      <c r="CT88" s="848"/>
      <c r="CU88" s="848"/>
      <c r="CV88" s="848"/>
      <c r="CW88" s="848"/>
      <c r="CX88" s="848"/>
      <c r="CY88" s="848"/>
      <c r="CZ88" s="848"/>
      <c r="DA88" s="848"/>
      <c r="DB88" s="848"/>
      <c r="DC88" s="848"/>
      <c r="DD88" s="848"/>
      <c r="DE88" s="848"/>
      <c r="DF88" s="848"/>
      <c r="DG88" s="848"/>
      <c r="DH88" s="848"/>
      <c r="DI88" s="848"/>
      <c r="DJ88" s="848"/>
    </row>
    <row r="89" spans="1:114" ht="12.75">
      <c r="A89" s="860"/>
      <c r="B89" s="858"/>
      <c r="C89" s="858"/>
      <c r="D89" s="858"/>
      <c r="E89" s="858"/>
      <c r="F89" s="858"/>
      <c r="G89" s="858"/>
      <c r="H89" s="858"/>
      <c r="I89" s="858"/>
      <c r="J89" s="858"/>
      <c r="K89" s="858"/>
      <c r="L89" s="858"/>
      <c r="M89" s="858"/>
      <c r="N89" s="858"/>
      <c r="O89" s="858"/>
      <c r="P89" s="858"/>
      <c r="Q89" s="858"/>
      <c r="R89" s="858"/>
      <c r="S89" s="858"/>
      <c r="T89" s="858"/>
      <c r="U89" s="858"/>
      <c r="V89" s="858"/>
      <c r="W89" s="858"/>
      <c r="X89" s="858"/>
      <c r="Y89" s="858"/>
      <c r="Z89" s="858"/>
      <c r="AA89" s="858"/>
      <c r="AB89" s="858"/>
      <c r="AC89" s="858"/>
      <c r="AD89" s="858"/>
      <c r="AE89" s="858"/>
      <c r="AF89" s="858"/>
      <c r="AG89" s="858"/>
      <c r="AH89" s="859"/>
      <c r="AI89" s="83"/>
      <c r="AJ89" s="83"/>
      <c r="AK89" s="848"/>
      <c r="AL89" s="848"/>
      <c r="AM89" s="848"/>
      <c r="AN89" s="848"/>
      <c r="AO89" s="848"/>
      <c r="AP89" s="848"/>
      <c r="AQ89" s="848"/>
      <c r="AR89" s="848"/>
      <c r="AS89" s="848"/>
      <c r="AT89" s="848"/>
      <c r="AU89" s="848"/>
      <c r="AV89" s="848"/>
      <c r="AW89" s="848"/>
      <c r="AX89" s="848"/>
      <c r="AY89" s="848"/>
      <c r="AZ89" s="848"/>
      <c r="BA89" s="848"/>
      <c r="BB89" s="848"/>
      <c r="BC89" s="848"/>
      <c r="BD89" s="848"/>
      <c r="BE89" s="848"/>
      <c r="BF89" s="848"/>
      <c r="BG89" s="848"/>
      <c r="BH89" s="848"/>
      <c r="BI89" s="848"/>
      <c r="BJ89" s="848"/>
      <c r="BK89" s="848"/>
      <c r="BL89" s="848"/>
      <c r="BM89" s="848"/>
      <c r="BN89" s="848"/>
      <c r="BO89" s="848"/>
      <c r="BP89" s="848"/>
      <c r="BQ89" s="848"/>
      <c r="BR89" s="848"/>
      <c r="BS89" s="848"/>
      <c r="BT89" s="848"/>
      <c r="BU89" s="848"/>
      <c r="BV89" s="848"/>
      <c r="BW89" s="848"/>
      <c r="BX89" s="848"/>
      <c r="BY89" s="848"/>
      <c r="BZ89" s="848"/>
      <c r="CA89" s="848"/>
      <c r="CB89" s="848"/>
      <c r="CC89" s="848"/>
      <c r="CD89" s="848"/>
      <c r="CE89" s="848"/>
      <c r="CF89" s="848"/>
      <c r="CG89" s="848"/>
      <c r="CH89" s="848"/>
      <c r="CI89" s="848"/>
      <c r="CJ89" s="848"/>
      <c r="CK89" s="848"/>
      <c r="CL89" s="848"/>
      <c r="CM89" s="848"/>
      <c r="CN89" s="848"/>
      <c r="CO89" s="848"/>
      <c r="CP89" s="848"/>
      <c r="CQ89" s="848"/>
      <c r="CR89" s="848"/>
      <c r="CS89" s="848"/>
      <c r="CT89" s="848"/>
      <c r="CU89" s="848"/>
      <c r="CV89" s="848"/>
      <c r="CW89" s="848"/>
      <c r="CX89" s="848"/>
      <c r="CY89" s="848"/>
      <c r="CZ89" s="848"/>
      <c r="DA89" s="848"/>
      <c r="DB89" s="848"/>
      <c r="DC89" s="848"/>
      <c r="DD89" s="848"/>
      <c r="DE89" s="848"/>
      <c r="DF89" s="848"/>
      <c r="DG89" s="848"/>
      <c r="DH89" s="848"/>
      <c r="DI89" s="848"/>
      <c r="DJ89" s="848"/>
    </row>
    <row r="90" spans="1:114" ht="12.75">
      <c r="A90" s="860"/>
      <c r="B90" s="858"/>
      <c r="C90" s="858"/>
      <c r="D90" s="858"/>
      <c r="E90" s="858"/>
      <c r="F90" s="858"/>
      <c r="G90" s="858"/>
      <c r="H90" s="858"/>
      <c r="I90" s="858"/>
      <c r="J90" s="858"/>
      <c r="K90" s="858"/>
      <c r="L90" s="858"/>
      <c r="M90" s="858"/>
      <c r="N90" s="858"/>
      <c r="O90" s="858"/>
      <c r="P90" s="858"/>
      <c r="Q90" s="858"/>
      <c r="R90" s="858"/>
      <c r="S90" s="858"/>
      <c r="T90" s="858"/>
      <c r="U90" s="858"/>
      <c r="V90" s="858"/>
      <c r="W90" s="858"/>
      <c r="X90" s="858"/>
      <c r="Y90" s="858"/>
      <c r="Z90" s="858"/>
      <c r="AA90" s="858"/>
      <c r="AB90" s="858"/>
      <c r="AC90" s="858"/>
      <c r="AD90" s="858"/>
      <c r="AE90" s="858"/>
      <c r="AF90" s="858"/>
      <c r="AG90" s="858"/>
      <c r="AH90" s="859"/>
      <c r="AI90" s="83"/>
      <c r="AJ90" s="83"/>
      <c r="AK90" s="848"/>
      <c r="AL90" s="848"/>
      <c r="AM90" s="848"/>
      <c r="AN90" s="848"/>
      <c r="AO90" s="848"/>
      <c r="AP90" s="848"/>
      <c r="AQ90" s="848"/>
      <c r="AR90" s="848"/>
      <c r="AS90" s="848"/>
      <c r="AT90" s="848"/>
      <c r="AU90" s="848"/>
      <c r="AV90" s="848"/>
      <c r="AW90" s="848"/>
      <c r="AX90" s="848"/>
      <c r="AY90" s="848"/>
      <c r="AZ90" s="848"/>
      <c r="BA90" s="848"/>
      <c r="BB90" s="848"/>
      <c r="BC90" s="848"/>
      <c r="BD90" s="848"/>
      <c r="BE90" s="848"/>
      <c r="BF90" s="848"/>
      <c r="BG90" s="848"/>
      <c r="BH90" s="848"/>
      <c r="BI90" s="848"/>
      <c r="BJ90" s="848"/>
      <c r="BK90" s="848"/>
      <c r="BL90" s="848"/>
      <c r="BM90" s="848"/>
      <c r="BN90" s="848"/>
      <c r="BO90" s="848"/>
      <c r="BP90" s="848"/>
      <c r="BQ90" s="848"/>
      <c r="BR90" s="848"/>
      <c r="BS90" s="848"/>
      <c r="BT90" s="848"/>
      <c r="BU90" s="848"/>
      <c r="BV90" s="848"/>
      <c r="BW90" s="848"/>
      <c r="BX90" s="848"/>
      <c r="BY90" s="848"/>
      <c r="BZ90" s="848"/>
      <c r="CA90" s="848"/>
      <c r="CB90" s="848"/>
      <c r="CC90" s="848"/>
      <c r="CD90" s="848"/>
      <c r="CE90" s="848"/>
      <c r="CF90" s="848"/>
      <c r="CG90" s="848"/>
      <c r="CH90" s="848"/>
      <c r="CI90" s="848"/>
      <c r="CJ90" s="848"/>
      <c r="CK90" s="848"/>
      <c r="CL90" s="848"/>
      <c r="CM90" s="848"/>
      <c r="CN90" s="848"/>
      <c r="CO90" s="848"/>
      <c r="CP90" s="848"/>
      <c r="CQ90" s="848"/>
      <c r="CR90" s="848"/>
      <c r="CS90" s="848"/>
      <c r="CT90" s="848"/>
      <c r="CU90" s="848"/>
      <c r="CV90" s="848"/>
      <c r="CW90" s="848"/>
      <c r="CX90" s="848"/>
      <c r="CY90" s="848"/>
      <c r="CZ90" s="848"/>
      <c r="DA90" s="848"/>
      <c r="DB90" s="848"/>
      <c r="DC90" s="848"/>
      <c r="DD90" s="848"/>
      <c r="DE90" s="848"/>
      <c r="DF90" s="848"/>
      <c r="DG90" s="848"/>
      <c r="DH90" s="848"/>
      <c r="DI90" s="848"/>
      <c r="DJ90" s="848"/>
    </row>
    <row r="91" spans="1:114" s="3" customFormat="1" ht="12.75">
      <c r="A91" s="860"/>
      <c r="B91" s="858"/>
      <c r="C91" s="858"/>
      <c r="D91" s="858"/>
      <c r="E91" s="858"/>
      <c r="F91" s="858"/>
      <c r="G91" s="858"/>
      <c r="H91" s="858"/>
      <c r="I91" s="858"/>
      <c r="J91" s="858"/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858"/>
      <c r="X91" s="858"/>
      <c r="Y91" s="858"/>
      <c r="Z91" s="858"/>
      <c r="AA91" s="858"/>
      <c r="AB91" s="858"/>
      <c r="AC91" s="858"/>
      <c r="AD91" s="858"/>
      <c r="AE91" s="858"/>
      <c r="AF91" s="858"/>
      <c r="AG91" s="858"/>
      <c r="AH91" s="859"/>
      <c r="AI91" s="83"/>
      <c r="AJ91" s="83"/>
      <c r="AK91" s="848"/>
      <c r="AL91" s="848"/>
      <c r="AM91" s="848"/>
      <c r="AN91" s="848"/>
      <c r="AO91" s="848"/>
      <c r="AP91" s="848"/>
      <c r="AQ91" s="848"/>
      <c r="AR91" s="848"/>
      <c r="AS91" s="848"/>
      <c r="AT91" s="848"/>
      <c r="AU91" s="848"/>
      <c r="AV91" s="848"/>
      <c r="AW91" s="848"/>
      <c r="AX91" s="848"/>
      <c r="AY91" s="848"/>
      <c r="AZ91" s="848"/>
      <c r="BA91" s="848"/>
      <c r="BB91" s="848"/>
      <c r="BC91" s="848"/>
      <c r="BD91" s="848"/>
      <c r="BE91" s="848"/>
      <c r="BF91" s="848"/>
      <c r="BG91" s="848"/>
      <c r="BH91" s="848"/>
      <c r="BI91" s="848"/>
      <c r="BJ91" s="848"/>
      <c r="BK91" s="848"/>
      <c r="BL91" s="848"/>
      <c r="BM91" s="848"/>
      <c r="BN91" s="848"/>
      <c r="BO91" s="848"/>
      <c r="BP91" s="848"/>
      <c r="BQ91" s="848"/>
      <c r="BR91" s="848"/>
      <c r="BS91" s="848"/>
      <c r="BT91" s="848"/>
      <c r="BU91" s="848"/>
      <c r="BV91" s="848"/>
      <c r="BW91" s="848"/>
      <c r="BX91" s="848"/>
      <c r="BY91" s="848"/>
      <c r="BZ91" s="848"/>
      <c r="CA91" s="848"/>
      <c r="CB91" s="848"/>
      <c r="CC91" s="848"/>
      <c r="CD91" s="848"/>
      <c r="CE91" s="848"/>
      <c r="CF91" s="848"/>
      <c r="CG91" s="848"/>
      <c r="CH91" s="848"/>
      <c r="CI91" s="848"/>
      <c r="CJ91" s="848"/>
      <c r="CK91" s="848"/>
      <c r="CL91" s="848"/>
      <c r="CM91" s="848"/>
      <c r="CN91" s="848"/>
      <c r="CO91" s="848"/>
      <c r="CP91" s="848"/>
      <c r="CQ91" s="848"/>
      <c r="CR91" s="848"/>
      <c r="CS91" s="848"/>
      <c r="CT91" s="848"/>
      <c r="CU91" s="848"/>
      <c r="CV91" s="848"/>
      <c r="CW91" s="848"/>
      <c r="CX91" s="848"/>
      <c r="CY91" s="848"/>
      <c r="CZ91" s="848"/>
      <c r="DA91" s="848"/>
      <c r="DB91" s="848"/>
      <c r="DC91" s="848"/>
      <c r="DD91" s="848"/>
      <c r="DE91" s="848"/>
      <c r="DF91" s="848"/>
      <c r="DG91" s="848"/>
      <c r="DH91" s="848"/>
      <c r="DI91" s="848"/>
      <c r="DJ91" s="848"/>
    </row>
    <row r="92" spans="1:114" s="4" customFormat="1" ht="12.75">
      <c r="A92" s="860"/>
      <c r="B92" s="858"/>
      <c r="C92" s="858"/>
      <c r="D92" s="858"/>
      <c r="E92" s="858"/>
      <c r="F92" s="858"/>
      <c r="G92" s="858"/>
      <c r="H92" s="858"/>
      <c r="I92" s="858"/>
      <c r="J92" s="858"/>
      <c r="K92" s="858"/>
      <c r="L92" s="858"/>
      <c r="M92" s="858"/>
      <c r="N92" s="858"/>
      <c r="O92" s="858"/>
      <c r="P92" s="858"/>
      <c r="Q92" s="858"/>
      <c r="R92" s="858"/>
      <c r="S92" s="858"/>
      <c r="T92" s="858"/>
      <c r="U92" s="858"/>
      <c r="V92" s="858"/>
      <c r="W92" s="858"/>
      <c r="X92" s="858"/>
      <c r="Y92" s="858"/>
      <c r="Z92" s="858"/>
      <c r="AA92" s="858"/>
      <c r="AB92" s="858"/>
      <c r="AC92" s="858"/>
      <c r="AD92" s="858"/>
      <c r="AE92" s="858"/>
      <c r="AF92" s="858"/>
      <c r="AG92" s="858"/>
      <c r="AH92" s="859"/>
      <c r="AI92" s="83"/>
      <c r="AJ92" s="83"/>
      <c r="AK92" s="848"/>
      <c r="AL92" s="848"/>
      <c r="AM92" s="848"/>
      <c r="AN92" s="848"/>
      <c r="AO92" s="848"/>
      <c r="AP92" s="848"/>
      <c r="AQ92" s="848"/>
      <c r="AR92" s="848"/>
      <c r="AS92" s="848"/>
      <c r="AT92" s="848"/>
      <c r="AU92" s="848"/>
      <c r="AV92" s="848"/>
      <c r="AW92" s="848"/>
      <c r="AX92" s="848"/>
      <c r="AY92" s="848"/>
      <c r="AZ92" s="848"/>
      <c r="BA92" s="848"/>
      <c r="BB92" s="848"/>
      <c r="BC92" s="848"/>
      <c r="BD92" s="848"/>
      <c r="BE92" s="848"/>
      <c r="BF92" s="848"/>
      <c r="BG92" s="848"/>
      <c r="BH92" s="848"/>
      <c r="BI92" s="848"/>
      <c r="BJ92" s="848"/>
      <c r="BK92" s="848"/>
      <c r="BL92" s="848"/>
      <c r="BM92" s="848"/>
      <c r="BN92" s="848"/>
      <c r="BO92" s="848"/>
      <c r="BP92" s="848"/>
      <c r="BQ92" s="848"/>
      <c r="BR92" s="848"/>
      <c r="BS92" s="848"/>
      <c r="BT92" s="848"/>
      <c r="BU92" s="848"/>
      <c r="BV92" s="848"/>
      <c r="BW92" s="848"/>
      <c r="BX92" s="848"/>
      <c r="BY92" s="848"/>
      <c r="BZ92" s="848"/>
      <c r="CA92" s="848"/>
      <c r="CB92" s="848"/>
      <c r="CC92" s="848"/>
      <c r="CD92" s="848"/>
      <c r="CE92" s="848"/>
      <c r="CF92" s="848"/>
      <c r="CG92" s="848"/>
      <c r="CH92" s="848"/>
      <c r="CI92" s="848"/>
      <c r="CJ92" s="848"/>
      <c r="CK92" s="848"/>
      <c r="CL92" s="848"/>
      <c r="CM92" s="848"/>
      <c r="CN92" s="848"/>
      <c r="CO92" s="848"/>
      <c r="CP92" s="848"/>
      <c r="CQ92" s="848"/>
      <c r="CR92" s="848"/>
      <c r="CS92" s="848"/>
      <c r="CT92" s="848"/>
      <c r="CU92" s="848"/>
      <c r="CV92" s="848"/>
      <c r="CW92" s="848"/>
      <c r="CX92" s="848"/>
      <c r="CY92" s="848"/>
      <c r="CZ92" s="848"/>
      <c r="DA92" s="848"/>
      <c r="DB92" s="848"/>
      <c r="DC92" s="848"/>
      <c r="DD92" s="848"/>
      <c r="DE92" s="848"/>
      <c r="DF92" s="848"/>
      <c r="DG92" s="848"/>
      <c r="DH92" s="848"/>
      <c r="DI92" s="848"/>
      <c r="DJ92" s="848"/>
    </row>
    <row r="93" spans="1:114" ht="12.75">
      <c r="A93" s="860"/>
      <c r="B93" s="858"/>
      <c r="C93" s="858"/>
      <c r="D93" s="858"/>
      <c r="E93" s="858"/>
      <c r="F93" s="858"/>
      <c r="G93" s="858"/>
      <c r="H93" s="858"/>
      <c r="I93" s="858"/>
      <c r="J93" s="858"/>
      <c r="K93" s="858"/>
      <c r="L93" s="858"/>
      <c r="M93" s="858"/>
      <c r="N93" s="858"/>
      <c r="O93" s="858"/>
      <c r="P93" s="858"/>
      <c r="Q93" s="858"/>
      <c r="R93" s="858"/>
      <c r="S93" s="858"/>
      <c r="T93" s="858"/>
      <c r="U93" s="858"/>
      <c r="V93" s="858"/>
      <c r="W93" s="858"/>
      <c r="X93" s="858"/>
      <c r="Y93" s="858"/>
      <c r="Z93" s="858"/>
      <c r="AA93" s="858"/>
      <c r="AB93" s="858"/>
      <c r="AC93" s="858"/>
      <c r="AD93" s="858"/>
      <c r="AE93" s="858"/>
      <c r="AF93" s="858"/>
      <c r="AG93" s="858"/>
      <c r="AH93" s="859"/>
      <c r="AI93" s="83"/>
      <c r="AJ93" s="83"/>
      <c r="AK93" s="848"/>
      <c r="AL93" s="848"/>
      <c r="AM93" s="848"/>
      <c r="AN93" s="848"/>
      <c r="AO93" s="848"/>
      <c r="AP93" s="848"/>
      <c r="AQ93" s="848"/>
      <c r="AR93" s="848"/>
      <c r="AS93" s="848"/>
      <c r="AT93" s="848"/>
      <c r="AU93" s="848"/>
      <c r="AV93" s="848"/>
      <c r="AW93" s="848"/>
      <c r="AX93" s="848"/>
      <c r="AY93" s="848"/>
      <c r="AZ93" s="848"/>
      <c r="BA93" s="848"/>
      <c r="BB93" s="848"/>
      <c r="BC93" s="848"/>
      <c r="BD93" s="848"/>
      <c r="BE93" s="848"/>
      <c r="BF93" s="848"/>
      <c r="BG93" s="848"/>
      <c r="BH93" s="848"/>
      <c r="BI93" s="848"/>
      <c r="BJ93" s="848"/>
      <c r="BK93" s="848"/>
      <c r="BL93" s="848"/>
      <c r="BM93" s="848"/>
      <c r="BN93" s="848"/>
      <c r="BO93" s="848"/>
      <c r="BP93" s="848"/>
      <c r="BQ93" s="848"/>
      <c r="BR93" s="848"/>
      <c r="BS93" s="848"/>
      <c r="BT93" s="848"/>
      <c r="BU93" s="848"/>
      <c r="BV93" s="848"/>
      <c r="BW93" s="848"/>
      <c r="BX93" s="848"/>
      <c r="BY93" s="848"/>
      <c r="BZ93" s="848"/>
      <c r="CA93" s="848"/>
      <c r="CB93" s="848"/>
      <c r="CC93" s="848"/>
      <c r="CD93" s="848"/>
      <c r="CE93" s="848"/>
      <c r="CF93" s="848"/>
      <c r="CG93" s="848"/>
      <c r="CH93" s="848"/>
      <c r="CI93" s="848"/>
      <c r="CJ93" s="848"/>
      <c r="CK93" s="848"/>
      <c r="CL93" s="848"/>
      <c r="CM93" s="848"/>
      <c r="CN93" s="848"/>
      <c r="CO93" s="848"/>
      <c r="CP93" s="848"/>
      <c r="CQ93" s="848"/>
      <c r="CR93" s="848"/>
      <c r="CS93" s="848"/>
      <c r="CT93" s="848"/>
      <c r="CU93" s="848"/>
      <c r="CV93" s="848"/>
      <c r="CW93" s="848"/>
      <c r="CX93" s="848"/>
      <c r="CY93" s="848"/>
      <c r="CZ93" s="848"/>
      <c r="DA93" s="848"/>
      <c r="DB93" s="848"/>
      <c r="DC93" s="848"/>
      <c r="DD93" s="848"/>
      <c r="DE93" s="848"/>
      <c r="DF93" s="848"/>
      <c r="DG93" s="848"/>
      <c r="DH93" s="848"/>
      <c r="DI93" s="848"/>
      <c r="DJ93" s="848"/>
    </row>
    <row r="94" spans="1:114" ht="12.75">
      <c r="A94" s="860"/>
      <c r="B94" s="858"/>
      <c r="C94" s="858"/>
      <c r="D94" s="858"/>
      <c r="E94" s="858"/>
      <c r="F94" s="858"/>
      <c r="G94" s="858"/>
      <c r="H94" s="858"/>
      <c r="I94" s="858"/>
      <c r="J94" s="858"/>
      <c r="K94" s="858"/>
      <c r="L94" s="858"/>
      <c r="M94" s="858"/>
      <c r="N94" s="858"/>
      <c r="O94" s="858"/>
      <c r="P94" s="858"/>
      <c r="Q94" s="858"/>
      <c r="R94" s="858"/>
      <c r="S94" s="858"/>
      <c r="T94" s="858"/>
      <c r="U94" s="858"/>
      <c r="V94" s="858"/>
      <c r="W94" s="858"/>
      <c r="X94" s="858"/>
      <c r="Y94" s="858"/>
      <c r="Z94" s="858"/>
      <c r="AA94" s="858"/>
      <c r="AB94" s="858"/>
      <c r="AC94" s="858"/>
      <c r="AD94" s="858"/>
      <c r="AE94" s="858"/>
      <c r="AF94" s="858"/>
      <c r="AG94" s="858"/>
      <c r="AH94" s="859"/>
      <c r="AI94" s="83"/>
      <c r="AJ94" s="83"/>
      <c r="AK94" s="848"/>
      <c r="AL94" s="848"/>
      <c r="AM94" s="848"/>
      <c r="AN94" s="848"/>
      <c r="AO94" s="848"/>
      <c r="AP94" s="848"/>
      <c r="AQ94" s="848"/>
      <c r="AR94" s="848"/>
      <c r="AS94" s="848"/>
      <c r="AT94" s="848"/>
      <c r="AU94" s="848"/>
      <c r="AV94" s="848"/>
      <c r="AW94" s="848"/>
      <c r="AX94" s="848"/>
      <c r="AY94" s="848"/>
      <c r="AZ94" s="848"/>
      <c r="BA94" s="848"/>
      <c r="BB94" s="848"/>
      <c r="BC94" s="848"/>
      <c r="BD94" s="848"/>
      <c r="BE94" s="848"/>
      <c r="BF94" s="848"/>
      <c r="BG94" s="848"/>
      <c r="BH94" s="848"/>
      <c r="BI94" s="848"/>
      <c r="BJ94" s="848"/>
      <c r="BK94" s="848"/>
      <c r="BL94" s="848"/>
      <c r="BM94" s="848"/>
      <c r="BN94" s="848"/>
      <c r="BO94" s="848"/>
      <c r="BP94" s="848"/>
      <c r="BQ94" s="848"/>
      <c r="BR94" s="848"/>
      <c r="BS94" s="848"/>
      <c r="BT94" s="848"/>
      <c r="BU94" s="848"/>
      <c r="BV94" s="848"/>
      <c r="BW94" s="848"/>
      <c r="BX94" s="848"/>
      <c r="BY94" s="848"/>
      <c r="BZ94" s="848"/>
      <c r="CA94" s="848"/>
      <c r="CB94" s="848"/>
      <c r="CC94" s="848"/>
      <c r="CD94" s="848"/>
      <c r="CE94" s="848"/>
      <c r="CF94" s="848"/>
      <c r="CG94" s="848"/>
      <c r="CH94" s="848"/>
      <c r="CI94" s="848"/>
      <c r="CJ94" s="848"/>
      <c r="CK94" s="848"/>
      <c r="CL94" s="848"/>
      <c r="CM94" s="848"/>
      <c r="CN94" s="848"/>
      <c r="CO94" s="848"/>
      <c r="CP94" s="848"/>
      <c r="CQ94" s="848"/>
      <c r="CR94" s="848"/>
      <c r="CS94" s="848"/>
      <c r="CT94" s="848"/>
      <c r="CU94" s="848"/>
      <c r="CV94" s="848"/>
      <c r="CW94" s="848"/>
      <c r="CX94" s="848"/>
      <c r="CY94" s="848"/>
      <c r="CZ94" s="848"/>
      <c r="DA94" s="848"/>
      <c r="DB94" s="848"/>
      <c r="DC94" s="848"/>
      <c r="DD94" s="848"/>
      <c r="DE94" s="848"/>
      <c r="DF94" s="848"/>
      <c r="DG94" s="848"/>
      <c r="DH94" s="848"/>
      <c r="DI94" s="848"/>
      <c r="DJ94" s="848"/>
    </row>
    <row r="95" spans="1:114" s="3" customFormat="1" ht="12.75">
      <c r="A95" s="860"/>
      <c r="B95" s="858"/>
      <c r="C95" s="858"/>
      <c r="D95" s="858"/>
      <c r="E95" s="858"/>
      <c r="F95" s="858"/>
      <c r="G95" s="858"/>
      <c r="H95" s="858"/>
      <c r="I95" s="858"/>
      <c r="J95" s="858"/>
      <c r="K95" s="858"/>
      <c r="L95" s="858"/>
      <c r="M95" s="858"/>
      <c r="N95" s="858"/>
      <c r="O95" s="858"/>
      <c r="P95" s="858"/>
      <c r="Q95" s="858"/>
      <c r="R95" s="858"/>
      <c r="S95" s="858"/>
      <c r="T95" s="858"/>
      <c r="U95" s="858"/>
      <c r="V95" s="858"/>
      <c r="W95" s="858"/>
      <c r="X95" s="858"/>
      <c r="Y95" s="858"/>
      <c r="Z95" s="858"/>
      <c r="AA95" s="858"/>
      <c r="AB95" s="858"/>
      <c r="AC95" s="858"/>
      <c r="AD95" s="858"/>
      <c r="AE95" s="858"/>
      <c r="AF95" s="858"/>
      <c r="AG95" s="858"/>
      <c r="AH95" s="859"/>
      <c r="AI95" s="83"/>
      <c r="AJ95" s="83"/>
      <c r="AK95" s="848"/>
      <c r="AL95" s="848"/>
      <c r="AM95" s="848"/>
      <c r="AN95" s="848"/>
      <c r="AO95" s="848"/>
      <c r="AP95" s="848"/>
      <c r="AQ95" s="848"/>
      <c r="AR95" s="848"/>
      <c r="AS95" s="848"/>
      <c r="AT95" s="848"/>
      <c r="AU95" s="848"/>
      <c r="AV95" s="848"/>
      <c r="AW95" s="848"/>
      <c r="AX95" s="848"/>
      <c r="AY95" s="848"/>
      <c r="AZ95" s="848"/>
      <c r="BA95" s="848"/>
      <c r="BB95" s="848"/>
      <c r="BC95" s="848"/>
      <c r="BD95" s="848"/>
      <c r="BE95" s="848"/>
      <c r="BF95" s="848"/>
      <c r="BG95" s="848"/>
      <c r="BH95" s="848"/>
      <c r="BI95" s="848"/>
      <c r="BJ95" s="848"/>
      <c r="BK95" s="848"/>
      <c r="BL95" s="848"/>
      <c r="BM95" s="848"/>
      <c r="BN95" s="848"/>
      <c r="BO95" s="848"/>
      <c r="BP95" s="848"/>
      <c r="BQ95" s="848"/>
      <c r="BR95" s="848"/>
      <c r="BS95" s="848"/>
      <c r="BT95" s="848"/>
      <c r="BU95" s="848"/>
      <c r="BV95" s="848"/>
      <c r="BW95" s="848"/>
      <c r="BX95" s="848"/>
      <c r="BY95" s="848"/>
      <c r="BZ95" s="848"/>
      <c r="CA95" s="848"/>
      <c r="CB95" s="848"/>
      <c r="CC95" s="848"/>
      <c r="CD95" s="848"/>
      <c r="CE95" s="848"/>
      <c r="CF95" s="848"/>
      <c r="CG95" s="848"/>
      <c r="CH95" s="848"/>
      <c r="CI95" s="848"/>
      <c r="CJ95" s="848"/>
      <c r="CK95" s="848"/>
      <c r="CL95" s="848"/>
      <c r="CM95" s="848"/>
      <c r="CN95" s="848"/>
      <c r="CO95" s="848"/>
      <c r="CP95" s="848"/>
      <c r="CQ95" s="848"/>
      <c r="CR95" s="848"/>
      <c r="CS95" s="848"/>
      <c r="CT95" s="848"/>
      <c r="CU95" s="848"/>
      <c r="CV95" s="848"/>
      <c r="CW95" s="848"/>
      <c r="CX95" s="848"/>
      <c r="CY95" s="848"/>
      <c r="CZ95" s="848"/>
      <c r="DA95" s="848"/>
      <c r="DB95" s="848"/>
      <c r="DC95" s="848"/>
      <c r="DD95" s="848"/>
      <c r="DE95" s="848"/>
      <c r="DF95" s="848"/>
      <c r="DG95" s="848"/>
      <c r="DH95" s="848"/>
      <c r="DI95" s="848"/>
      <c r="DJ95" s="848"/>
    </row>
    <row r="96" spans="1:114" s="4" customFormat="1" ht="12.75">
      <c r="A96" s="860"/>
      <c r="B96" s="858"/>
      <c r="C96" s="858"/>
      <c r="D96" s="858"/>
      <c r="E96" s="858"/>
      <c r="F96" s="858"/>
      <c r="G96" s="858"/>
      <c r="H96" s="858"/>
      <c r="I96" s="858"/>
      <c r="J96" s="858"/>
      <c r="K96" s="858"/>
      <c r="L96" s="858"/>
      <c r="M96" s="858"/>
      <c r="N96" s="858"/>
      <c r="O96" s="858"/>
      <c r="P96" s="858"/>
      <c r="Q96" s="858"/>
      <c r="R96" s="858"/>
      <c r="S96" s="858"/>
      <c r="T96" s="858"/>
      <c r="U96" s="858"/>
      <c r="V96" s="858"/>
      <c r="W96" s="858"/>
      <c r="X96" s="858"/>
      <c r="Y96" s="858"/>
      <c r="Z96" s="858"/>
      <c r="AA96" s="858"/>
      <c r="AB96" s="858"/>
      <c r="AC96" s="858"/>
      <c r="AD96" s="858"/>
      <c r="AE96" s="858"/>
      <c r="AF96" s="858"/>
      <c r="AG96" s="858"/>
      <c r="AH96" s="859"/>
      <c r="AI96" s="83"/>
      <c r="AJ96" s="83"/>
      <c r="AK96" s="848"/>
      <c r="AL96" s="848"/>
      <c r="AM96" s="848"/>
      <c r="AN96" s="848"/>
      <c r="AO96" s="848"/>
      <c r="AP96" s="848"/>
      <c r="AQ96" s="848"/>
      <c r="AR96" s="848"/>
      <c r="AS96" s="848"/>
      <c r="AT96" s="848"/>
      <c r="AU96" s="848"/>
      <c r="AV96" s="848"/>
      <c r="AW96" s="848"/>
      <c r="AX96" s="848"/>
      <c r="AY96" s="848"/>
      <c r="AZ96" s="848"/>
      <c r="BA96" s="848"/>
      <c r="BB96" s="848"/>
      <c r="BC96" s="848"/>
      <c r="BD96" s="848"/>
      <c r="BE96" s="848"/>
      <c r="BF96" s="848"/>
      <c r="BG96" s="848"/>
      <c r="BH96" s="848"/>
      <c r="BI96" s="848"/>
      <c r="BJ96" s="848"/>
      <c r="BK96" s="848"/>
      <c r="BL96" s="848"/>
      <c r="BM96" s="848"/>
      <c r="BN96" s="848"/>
      <c r="BO96" s="848"/>
      <c r="BP96" s="848"/>
      <c r="BQ96" s="848"/>
      <c r="BR96" s="848"/>
      <c r="BS96" s="848"/>
      <c r="BT96" s="848"/>
      <c r="BU96" s="848"/>
      <c r="BV96" s="848"/>
      <c r="BW96" s="848"/>
      <c r="BX96" s="848"/>
      <c r="BY96" s="848"/>
      <c r="BZ96" s="848"/>
      <c r="CA96" s="848"/>
      <c r="CB96" s="848"/>
      <c r="CC96" s="848"/>
      <c r="CD96" s="848"/>
      <c r="CE96" s="848"/>
      <c r="CF96" s="848"/>
      <c r="CG96" s="848"/>
      <c r="CH96" s="848"/>
      <c r="CI96" s="848"/>
      <c r="CJ96" s="848"/>
      <c r="CK96" s="848"/>
      <c r="CL96" s="848"/>
      <c r="CM96" s="848"/>
      <c r="CN96" s="848"/>
      <c r="CO96" s="848"/>
      <c r="CP96" s="848"/>
      <c r="CQ96" s="848"/>
      <c r="CR96" s="848"/>
      <c r="CS96" s="848"/>
      <c r="CT96" s="848"/>
      <c r="CU96" s="848"/>
      <c r="CV96" s="848"/>
      <c r="CW96" s="848"/>
      <c r="CX96" s="848"/>
      <c r="CY96" s="848"/>
      <c r="CZ96" s="848"/>
      <c r="DA96" s="848"/>
      <c r="DB96" s="848"/>
      <c r="DC96" s="848"/>
      <c r="DD96" s="848"/>
      <c r="DE96" s="848"/>
      <c r="DF96" s="848"/>
      <c r="DG96" s="848"/>
      <c r="DH96" s="848"/>
      <c r="DI96" s="848"/>
      <c r="DJ96" s="848"/>
    </row>
    <row r="97" spans="1:114" ht="12.75">
      <c r="A97" s="860"/>
      <c r="B97" s="858"/>
      <c r="C97" s="858"/>
      <c r="D97" s="858"/>
      <c r="E97" s="858"/>
      <c r="F97" s="858"/>
      <c r="G97" s="858"/>
      <c r="H97" s="858"/>
      <c r="I97" s="858"/>
      <c r="J97" s="858"/>
      <c r="K97" s="858"/>
      <c r="L97" s="858"/>
      <c r="M97" s="858"/>
      <c r="N97" s="858"/>
      <c r="O97" s="858"/>
      <c r="P97" s="858"/>
      <c r="Q97" s="858"/>
      <c r="R97" s="858"/>
      <c r="S97" s="858"/>
      <c r="T97" s="858"/>
      <c r="U97" s="858"/>
      <c r="V97" s="858"/>
      <c r="W97" s="858"/>
      <c r="X97" s="858"/>
      <c r="Y97" s="858"/>
      <c r="Z97" s="858"/>
      <c r="AA97" s="858"/>
      <c r="AB97" s="858"/>
      <c r="AC97" s="858"/>
      <c r="AD97" s="858"/>
      <c r="AE97" s="858"/>
      <c r="AF97" s="858"/>
      <c r="AG97" s="858"/>
      <c r="AH97" s="859"/>
      <c r="AI97" s="83"/>
      <c r="AJ97" s="83"/>
      <c r="AK97" s="848"/>
      <c r="AL97" s="848"/>
      <c r="AM97" s="848"/>
      <c r="AN97" s="848"/>
      <c r="AO97" s="848"/>
      <c r="AP97" s="848"/>
      <c r="AQ97" s="848"/>
      <c r="AR97" s="848"/>
      <c r="AS97" s="848"/>
      <c r="AT97" s="848"/>
      <c r="AU97" s="848"/>
      <c r="AV97" s="848"/>
      <c r="AW97" s="848"/>
      <c r="AX97" s="848"/>
      <c r="AY97" s="848"/>
      <c r="AZ97" s="848"/>
      <c r="BA97" s="848"/>
      <c r="BB97" s="848"/>
      <c r="BC97" s="848"/>
      <c r="BD97" s="848"/>
      <c r="BE97" s="848"/>
      <c r="BF97" s="848"/>
      <c r="BG97" s="848"/>
      <c r="BH97" s="848"/>
      <c r="BI97" s="848"/>
      <c r="BJ97" s="848"/>
      <c r="BK97" s="848"/>
      <c r="BL97" s="848"/>
      <c r="BM97" s="848"/>
      <c r="BN97" s="848"/>
      <c r="BO97" s="848"/>
      <c r="BP97" s="848"/>
      <c r="BQ97" s="848"/>
      <c r="BR97" s="848"/>
      <c r="BS97" s="848"/>
      <c r="BT97" s="848"/>
      <c r="BU97" s="848"/>
      <c r="BV97" s="848"/>
      <c r="BW97" s="848"/>
      <c r="BX97" s="848"/>
      <c r="BY97" s="848"/>
      <c r="BZ97" s="848"/>
      <c r="CA97" s="848"/>
      <c r="CB97" s="848"/>
      <c r="CC97" s="848"/>
      <c r="CD97" s="848"/>
      <c r="CE97" s="848"/>
      <c r="CF97" s="848"/>
      <c r="CG97" s="848"/>
      <c r="CH97" s="848"/>
      <c r="CI97" s="848"/>
      <c r="CJ97" s="848"/>
      <c r="CK97" s="848"/>
      <c r="CL97" s="848"/>
      <c r="CM97" s="848"/>
      <c r="CN97" s="848"/>
      <c r="CO97" s="848"/>
      <c r="CP97" s="848"/>
      <c r="CQ97" s="848"/>
      <c r="CR97" s="848"/>
      <c r="CS97" s="848"/>
      <c r="CT97" s="848"/>
      <c r="CU97" s="848"/>
      <c r="CV97" s="848"/>
      <c r="CW97" s="848"/>
      <c r="CX97" s="848"/>
      <c r="CY97" s="848"/>
      <c r="CZ97" s="848"/>
      <c r="DA97" s="848"/>
      <c r="DB97" s="848"/>
      <c r="DC97" s="848"/>
      <c r="DD97" s="848"/>
      <c r="DE97" s="848"/>
      <c r="DF97" s="848"/>
      <c r="DG97" s="848"/>
      <c r="DH97" s="848"/>
      <c r="DI97" s="848"/>
      <c r="DJ97" s="848"/>
    </row>
    <row r="98" spans="1:114" ht="12.75">
      <c r="A98" s="860"/>
      <c r="B98" s="858"/>
      <c r="C98" s="858"/>
      <c r="D98" s="858"/>
      <c r="E98" s="858"/>
      <c r="F98" s="858"/>
      <c r="G98" s="858"/>
      <c r="H98" s="858"/>
      <c r="I98" s="858"/>
      <c r="J98" s="858"/>
      <c r="K98" s="858"/>
      <c r="L98" s="858"/>
      <c r="M98" s="858"/>
      <c r="N98" s="858"/>
      <c r="O98" s="858"/>
      <c r="P98" s="858"/>
      <c r="Q98" s="858"/>
      <c r="R98" s="858"/>
      <c r="S98" s="858"/>
      <c r="T98" s="858"/>
      <c r="U98" s="858"/>
      <c r="V98" s="858"/>
      <c r="W98" s="858"/>
      <c r="X98" s="858"/>
      <c r="Y98" s="858"/>
      <c r="Z98" s="858"/>
      <c r="AA98" s="858"/>
      <c r="AB98" s="858"/>
      <c r="AC98" s="858"/>
      <c r="AD98" s="858"/>
      <c r="AE98" s="858"/>
      <c r="AF98" s="858"/>
      <c r="AG98" s="858"/>
      <c r="AH98" s="859"/>
      <c r="AI98" s="83"/>
      <c r="AJ98" s="83"/>
      <c r="AK98" s="848"/>
      <c r="AL98" s="848"/>
      <c r="AM98" s="848"/>
      <c r="AN98" s="848"/>
      <c r="AO98" s="848"/>
      <c r="AP98" s="848"/>
      <c r="AQ98" s="848"/>
      <c r="AR98" s="848"/>
      <c r="AS98" s="848"/>
      <c r="AT98" s="848"/>
      <c r="AU98" s="848"/>
      <c r="AV98" s="848"/>
      <c r="AW98" s="848"/>
      <c r="AX98" s="848"/>
      <c r="AY98" s="848"/>
      <c r="AZ98" s="848"/>
      <c r="BA98" s="848"/>
      <c r="BB98" s="848"/>
      <c r="BC98" s="848"/>
      <c r="BD98" s="848"/>
      <c r="BE98" s="848"/>
      <c r="BF98" s="848"/>
      <c r="BG98" s="848"/>
      <c r="BH98" s="848"/>
      <c r="BI98" s="848"/>
      <c r="BJ98" s="848"/>
      <c r="BK98" s="848"/>
      <c r="BL98" s="848"/>
      <c r="BM98" s="848"/>
      <c r="BN98" s="848"/>
      <c r="BO98" s="848"/>
      <c r="BP98" s="848"/>
      <c r="BQ98" s="848"/>
      <c r="BR98" s="848"/>
      <c r="BS98" s="848"/>
      <c r="BT98" s="848"/>
      <c r="BU98" s="848"/>
      <c r="BV98" s="848"/>
      <c r="BW98" s="848"/>
      <c r="BX98" s="848"/>
      <c r="BY98" s="848"/>
      <c r="BZ98" s="848"/>
      <c r="CA98" s="848"/>
      <c r="CB98" s="848"/>
      <c r="CC98" s="848"/>
      <c r="CD98" s="848"/>
      <c r="CE98" s="848"/>
      <c r="CF98" s="848"/>
      <c r="CG98" s="848"/>
      <c r="CH98" s="848"/>
      <c r="CI98" s="848"/>
      <c r="CJ98" s="848"/>
      <c r="CK98" s="848"/>
      <c r="CL98" s="848"/>
      <c r="CM98" s="848"/>
      <c r="CN98" s="848"/>
      <c r="CO98" s="848"/>
      <c r="CP98" s="848"/>
      <c r="CQ98" s="848"/>
      <c r="CR98" s="848"/>
      <c r="CS98" s="848"/>
      <c r="CT98" s="848"/>
      <c r="CU98" s="848"/>
      <c r="CV98" s="848"/>
      <c r="CW98" s="848"/>
      <c r="CX98" s="848"/>
      <c r="CY98" s="848"/>
      <c r="CZ98" s="848"/>
      <c r="DA98" s="848"/>
      <c r="DB98" s="848"/>
      <c r="DC98" s="848"/>
      <c r="DD98" s="848"/>
      <c r="DE98" s="848"/>
      <c r="DF98" s="848"/>
      <c r="DG98" s="848"/>
      <c r="DH98" s="848"/>
      <c r="DI98" s="848"/>
      <c r="DJ98" s="848"/>
    </row>
    <row r="99" spans="1:114" s="3" customFormat="1" ht="12.75">
      <c r="A99" s="860"/>
      <c r="B99" s="858"/>
      <c r="C99" s="858"/>
      <c r="D99" s="858"/>
      <c r="E99" s="858"/>
      <c r="F99" s="858"/>
      <c r="G99" s="858"/>
      <c r="H99" s="858"/>
      <c r="I99" s="858"/>
      <c r="J99" s="858"/>
      <c r="K99" s="858"/>
      <c r="L99" s="858"/>
      <c r="M99" s="858"/>
      <c r="N99" s="858"/>
      <c r="O99" s="858"/>
      <c r="P99" s="858"/>
      <c r="Q99" s="858"/>
      <c r="R99" s="858"/>
      <c r="S99" s="858"/>
      <c r="T99" s="858"/>
      <c r="U99" s="858"/>
      <c r="V99" s="858"/>
      <c r="W99" s="858"/>
      <c r="X99" s="858"/>
      <c r="Y99" s="858"/>
      <c r="Z99" s="858"/>
      <c r="AA99" s="858"/>
      <c r="AB99" s="858"/>
      <c r="AC99" s="858"/>
      <c r="AD99" s="858"/>
      <c r="AE99" s="858"/>
      <c r="AF99" s="858"/>
      <c r="AG99" s="858"/>
      <c r="AH99" s="859"/>
      <c r="AI99" s="83"/>
      <c r="AJ99" s="83"/>
      <c r="AK99" s="848"/>
      <c r="AL99" s="848"/>
      <c r="AM99" s="848"/>
      <c r="AN99" s="848"/>
      <c r="AO99" s="848"/>
      <c r="AP99" s="848"/>
      <c r="AQ99" s="848"/>
      <c r="AR99" s="848"/>
      <c r="AS99" s="848"/>
      <c r="AT99" s="848"/>
      <c r="AU99" s="848"/>
      <c r="AV99" s="848"/>
      <c r="AW99" s="848"/>
      <c r="AX99" s="848"/>
      <c r="AY99" s="848"/>
      <c r="AZ99" s="848"/>
      <c r="BA99" s="848"/>
      <c r="BB99" s="848"/>
      <c r="BC99" s="848"/>
      <c r="BD99" s="848"/>
      <c r="BE99" s="848"/>
      <c r="BF99" s="848"/>
      <c r="BG99" s="848"/>
      <c r="BH99" s="848"/>
      <c r="BI99" s="848"/>
      <c r="BJ99" s="848"/>
      <c r="BK99" s="848"/>
      <c r="BL99" s="848"/>
      <c r="BM99" s="848"/>
      <c r="BN99" s="848"/>
      <c r="BO99" s="848"/>
      <c r="BP99" s="848"/>
      <c r="BQ99" s="848"/>
      <c r="BR99" s="848"/>
      <c r="BS99" s="848"/>
      <c r="BT99" s="848"/>
      <c r="BU99" s="848"/>
      <c r="BV99" s="848"/>
      <c r="BW99" s="848"/>
      <c r="BX99" s="848"/>
      <c r="BY99" s="848"/>
      <c r="BZ99" s="848"/>
      <c r="CA99" s="848"/>
      <c r="CB99" s="848"/>
      <c r="CC99" s="848"/>
      <c r="CD99" s="848"/>
      <c r="CE99" s="848"/>
      <c r="CF99" s="848"/>
      <c r="CG99" s="848"/>
      <c r="CH99" s="848"/>
      <c r="CI99" s="848"/>
      <c r="CJ99" s="848"/>
      <c r="CK99" s="848"/>
      <c r="CL99" s="848"/>
      <c r="CM99" s="848"/>
      <c r="CN99" s="848"/>
      <c r="CO99" s="848"/>
      <c r="CP99" s="848"/>
      <c r="CQ99" s="848"/>
      <c r="CR99" s="848"/>
      <c r="CS99" s="848"/>
      <c r="CT99" s="848"/>
      <c r="CU99" s="848"/>
      <c r="CV99" s="848"/>
      <c r="CW99" s="848"/>
      <c r="CX99" s="848"/>
      <c r="CY99" s="848"/>
      <c r="CZ99" s="848"/>
      <c r="DA99" s="848"/>
      <c r="DB99" s="848"/>
      <c r="DC99" s="848"/>
      <c r="DD99" s="848"/>
      <c r="DE99" s="848"/>
      <c r="DF99" s="848"/>
      <c r="DG99" s="848"/>
      <c r="DH99" s="848"/>
      <c r="DI99" s="848"/>
      <c r="DJ99" s="848"/>
    </row>
    <row r="100" spans="1:114" s="2" customFormat="1">
      <c r="A100" s="14"/>
      <c r="B100" s="15"/>
      <c r="C100" s="16"/>
      <c r="D100" s="16"/>
      <c r="E100" s="14"/>
      <c r="F100" s="538"/>
      <c r="G100" s="14"/>
      <c r="H100" s="527"/>
      <c r="I100" s="14"/>
      <c r="J100" s="527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3" spans="1:114" s="3" customFormat="1">
      <c r="A103" s="17"/>
      <c r="B103" s="10"/>
      <c r="C103" s="18"/>
      <c r="D103" s="18"/>
      <c r="E103" s="17"/>
      <c r="F103" s="539"/>
      <c r="G103" s="17"/>
      <c r="H103" s="528"/>
      <c r="I103" s="17"/>
      <c r="J103" s="528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1:114" s="2" customFormat="1">
      <c r="A104" s="14"/>
      <c r="B104" s="15"/>
      <c r="C104" s="16"/>
      <c r="D104" s="16"/>
      <c r="E104" s="14"/>
      <c r="F104" s="538"/>
      <c r="G104" s="14"/>
      <c r="H104" s="527"/>
      <c r="I104" s="14"/>
      <c r="J104" s="527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</row>
    <row r="107" spans="1:114" s="3" customFormat="1">
      <c r="A107" s="17"/>
      <c r="B107" s="10"/>
      <c r="C107" s="18"/>
      <c r="D107" s="18"/>
      <c r="E107" s="17"/>
      <c r="F107" s="539"/>
      <c r="G107" s="17"/>
      <c r="H107" s="528"/>
      <c r="I107" s="17"/>
      <c r="J107" s="528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</row>
    <row r="108" spans="1:114" s="2" customFormat="1">
      <c r="A108" s="14"/>
      <c r="B108" s="15"/>
      <c r="C108" s="16"/>
      <c r="D108" s="16"/>
      <c r="E108" s="14"/>
      <c r="F108" s="538"/>
      <c r="G108" s="14"/>
      <c r="H108" s="527"/>
      <c r="I108" s="14"/>
      <c r="J108" s="527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</row>
    <row r="111" spans="1:114" s="3" customFormat="1">
      <c r="A111" s="17"/>
      <c r="B111" s="10"/>
      <c r="C111" s="18"/>
      <c r="D111" s="18"/>
      <c r="E111" s="17"/>
      <c r="F111" s="539"/>
      <c r="G111" s="17"/>
      <c r="H111" s="528"/>
      <c r="I111" s="17"/>
      <c r="J111" s="528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114" s="2" customFormat="1">
      <c r="A112" s="14"/>
      <c r="B112" s="15"/>
      <c r="C112" s="16"/>
      <c r="D112" s="16"/>
      <c r="E112" s="14"/>
      <c r="F112" s="538"/>
      <c r="G112" s="14"/>
      <c r="H112" s="527"/>
      <c r="I112" s="14"/>
      <c r="J112" s="527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5" spans="1:36" s="3" customFormat="1">
      <c r="A115" s="17"/>
      <c r="B115" s="10"/>
      <c r="C115" s="18"/>
      <c r="D115" s="18"/>
      <c r="E115" s="17"/>
      <c r="F115" s="539"/>
      <c r="G115" s="17"/>
      <c r="H115" s="528"/>
      <c r="I115" s="17"/>
      <c r="J115" s="528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</row>
    <row r="116" spans="1:36" s="2" customFormat="1">
      <c r="A116" s="14"/>
      <c r="B116" s="15"/>
      <c r="C116" s="16"/>
      <c r="D116" s="16"/>
      <c r="E116" s="14"/>
      <c r="F116" s="538"/>
      <c r="G116" s="14"/>
      <c r="H116" s="527"/>
      <c r="I116" s="14"/>
      <c r="J116" s="527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9" spans="1:36" s="3" customFormat="1">
      <c r="A119" s="17"/>
      <c r="B119" s="10"/>
      <c r="C119" s="18"/>
      <c r="D119" s="18"/>
      <c r="E119" s="17"/>
      <c r="F119" s="539"/>
      <c r="G119" s="17"/>
      <c r="H119" s="528"/>
      <c r="I119" s="17"/>
      <c r="J119" s="528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1:36" s="2" customFormat="1">
      <c r="A120" s="14"/>
      <c r="B120" s="15"/>
      <c r="C120" s="16"/>
      <c r="D120" s="16"/>
      <c r="E120" s="14"/>
      <c r="F120" s="538"/>
      <c r="G120" s="14"/>
      <c r="H120" s="527"/>
      <c r="I120" s="14"/>
      <c r="J120" s="527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3" spans="1:36" s="3" customFormat="1">
      <c r="A123" s="17"/>
      <c r="B123" s="10"/>
      <c r="C123" s="18"/>
      <c r="D123" s="18"/>
      <c r="E123" s="17"/>
      <c r="F123" s="539"/>
      <c r="G123" s="17"/>
      <c r="H123" s="528"/>
      <c r="I123" s="17"/>
      <c r="J123" s="528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1:36" s="2" customFormat="1">
      <c r="A124" s="14"/>
      <c r="B124" s="15"/>
      <c r="C124" s="16"/>
      <c r="D124" s="16"/>
      <c r="E124" s="14"/>
      <c r="F124" s="538"/>
      <c r="G124" s="14"/>
      <c r="H124" s="527"/>
      <c r="I124" s="14"/>
      <c r="J124" s="527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7" spans="1:36" s="3" customFormat="1">
      <c r="A127" s="17"/>
      <c r="B127" s="10"/>
      <c r="C127" s="18"/>
      <c r="D127" s="18"/>
      <c r="E127" s="17"/>
      <c r="F127" s="539"/>
      <c r="G127" s="17"/>
      <c r="H127" s="528"/>
      <c r="I127" s="17"/>
      <c r="J127" s="528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1:36" s="2" customFormat="1">
      <c r="A128" s="14"/>
      <c r="B128" s="15"/>
      <c r="C128" s="16"/>
      <c r="D128" s="16"/>
      <c r="E128" s="14"/>
      <c r="F128" s="538"/>
      <c r="G128" s="14"/>
      <c r="H128" s="527"/>
      <c r="I128" s="14"/>
      <c r="J128" s="527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</row>
    <row r="131" spans="1:36" s="3" customFormat="1">
      <c r="A131" s="17"/>
      <c r="B131" s="10"/>
      <c r="C131" s="18"/>
      <c r="D131" s="18"/>
      <c r="E131" s="17"/>
      <c r="F131" s="539"/>
      <c r="G131" s="17"/>
      <c r="H131" s="528"/>
      <c r="I131" s="17"/>
      <c r="J131" s="528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1:36" s="2" customFormat="1">
      <c r="A132" s="14"/>
      <c r="B132" s="15"/>
      <c r="C132" s="16"/>
      <c r="D132" s="16"/>
      <c r="E132" s="14"/>
      <c r="F132" s="538"/>
      <c r="G132" s="14"/>
      <c r="H132" s="527"/>
      <c r="I132" s="14"/>
      <c r="J132" s="527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</row>
    <row r="135" spans="1:36" s="3" customFormat="1">
      <c r="A135" s="17"/>
      <c r="B135" s="10"/>
      <c r="C135" s="18"/>
      <c r="D135" s="18"/>
      <c r="E135" s="17"/>
      <c r="F135" s="539"/>
      <c r="G135" s="17"/>
      <c r="H135" s="528"/>
      <c r="I135" s="17"/>
      <c r="J135" s="528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1:36" s="2" customFormat="1">
      <c r="A136" s="14"/>
      <c r="B136" s="15"/>
      <c r="C136" s="16"/>
      <c r="D136" s="16"/>
      <c r="E136" s="14"/>
      <c r="F136" s="538"/>
      <c r="G136" s="14"/>
      <c r="H136" s="527"/>
      <c r="I136" s="14"/>
      <c r="J136" s="527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</row>
    <row r="139" spans="1:36" s="3" customFormat="1">
      <c r="A139" s="17"/>
      <c r="B139" s="10"/>
      <c r="C139" s="18"/>
      <c r="D139" s="18"/>
      <c r="E139" s="17"/>
      <c r="F139" s="539"/>
      <c r="G139" s="17"/>
      <c r="H139" s="528"/>
      <c r="I139" s="17"/>
      <c r="J139" s="528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1:36" s="2" customFormat="1">
      <c r="A140" s="14"/>
      <c r="B140" s="15"/>
      <c r="C140" s="16"/>
      <c r="D140" s="16"/>
      <c r="E140" s="14"/>
      <c r="F140" s="538"/>
      <c r="G140" s="14"/>
      <c r="H140" s="527"/>
      <c r="I140" s="14"/>
      <c r="J140" s="527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</row>
    <row r="143" spans="1:36" s="3" customFormat="1">
      <c r="A143" s="17"/>
      <c r="B143" s="10"/>
      <c r="C143" s="18"/>
      <c r="D143" s="18"/>
      <c r="E143" s="17"/>
      <c r="F143" s="539"/>
      <c r="G143" s="17"/>
      <c r="H143" s="528"/>
      <c r="I143" s="17"/>
      <c r="J143" s="528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spans="1:36" s="2" customFormat="1">
      <c r="A144" s="14"/>
      <c r="B144" s="15"/>
      <c r="C144" s="16"/>
      <c r="D144" s="16"/>
      <c r="E144" s="14"/>
      <c r="F144" s="538"/>
      <c r="G144" s="14"/>
      <c r="H144" s="527"/>
      <c r="I144" s="14"/>
      <c r="J144" s="527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</row>
    <row r="147" spans="1:36" s="3" customFormat="1">
      <c r="A147" s="17"/>
      <c r="B147" s="10"/>
      <c r="C147" s="18"/>
      <c r="D147" s="18"/>
      <c r="E147" s="17"/>
      <c r="F147" s="539"/>
      <c r="G147" s="17"/>
      <c r="H147" s="528"/>
      <c r="I147" s="17"/>
      <c r="J147" s="528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</row>
    <row r="148" spans="1:36" s="2" customFormat="1">
      <c r="A148" s="14"/>
      <c r="B148" s="15"/>
      <c r="C148" s="16"/>
      <c r="D148" s="16"/>
      <c r="E148" s="14"/>
      <c r="F148" s="538"/>
      <c r="G148" s="14"/>
      <c r="H148" s="527"/>
      <c r="I148" s="14"/>
      <c r="J148" s="527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</row>
    <row r="151" spans="1:36" s="3" customFormat="1">
      <c r="A151" s="17"/>
      <c r="B151" s="10"/>
      <c r="C151" s="18"/>
      <c r="D151" s="18"/>
      <c r="E151" s="17"/>
      <c r="F151" s="539"/>
      <c r="G151" s="17"/>
      <c r="H151" s="528"/>
      <c r="I151" s="17"/>
      <c r="J151" s="528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</row>
    <row r="152" spans="1:36" s="2" customFormat="1">
      <c r="A152" s="14"/>
      <c r="B152" s="15"/>
      <c r="C152" s="16"/>
      <c r="D152" s="16"/>
      <c r="E152" s="14"/>
      <c r="F152" s="538"/>
      <c r="G152" s="14"/>
      <c r="H152" s="527"/>
      <c r="I152" s="14"/>
      <c r="J152" s="527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</row>
    <row r="155" spans="1:36" s="3" customFormat="1">
      <c r="A155" s="17"/>
      <c r="B155" s="10"/>
      <c r="C155" s="18"/>
      <c r="D155" s="18"/>
      <c r="E155" s="17"/>
      <c r="F155" s="539"/>
      <c r="G155" s="17"/>
      <c r="H155" s="528"/>
      <c r="I155" s="17"/>
      <c r="J155" s="528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s="2" customFormat="1">
      <c r="A156" s="14"/>
      <c r="B156" s="15"/>
      <c r="C156" s="16"/>
      <c r="D156" s="16"/>
      <c r="E156" s="14"/>
      <c r="F156" s="538"/>
      <c r="G156" s="14"/>
      <c r="H156" s="527"/>
      <c r="I156" s="14"/>
      <c r="J156" s="527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</row>
    <row r="159" spans="1:36" s="3" customFormat="1">
      <c r="A159" s="17"/>
      <c r="B159" s="10"/>
      <c r="C159" s="18"/>
      <c r="D159" s="18"/>
      <c r="E159" s="17"/>
      <c r="F159" s="539"/>
      <c r="G159" s="17"/>
      <c r="H159" s="528"/>
      <c r="I159" s="17"/>
      <c r="J159" s="528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1:36" s="2" customFormat="1">
      <c r="A160" s="14"/>
      <c r="B160" s="15"/>
      <c r="C160" s="16"/>
      <c r="D160" s="16"/>
      <c r="E160" s="14"/>
      <c r="F160" s="538"/>
      <c r="G160" s="14"/>
      <c r="H160" s="527"/>
      <c r="I160" s="14"/>
      <c r="J160" s="527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</row>
    <row r="163" spans="1:36" s="3" customFormat="1">
      <c r="A163" s="17"/>
      <c r="B163" s="10"/>
      <c r="C163" s="18"/>
      <c r="D163" s="18"/>
      <c r="E163" s="17"/>
      <c r="F163" s="539"/>
      <c r="G163" s="17"/>
      <c r="H163" s="528"/>
      <c r="I163" s="17"/>
      <c r="J163" s="528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36" s="2" customFormat="1">
      <c r="A164" s="14"/>
      <c r="B164" s="15"/>
      <c r="C164" s="16"/>
      <c r="D164" s="16"/>
      <c r="E164" s="14"/>
      <c r="F164" s="538"/>
      <c r="G164" s="14"/>
      <c r="H164" s="527"/>
      <c r="I164" s="14"/>
      <c r="J164" s="527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</row>
    <row r="167" spans="1:36" s="3" customFormat="1">
      <c r="A167" s="17"/>
      <c r="B167" s="10"/>
      <c r="C167" s="18"/>
      <c r="D167" s="18"/>
      <c r="E167" s="17"/>
      <c r="F167" s="539"/>
      <c r="G167" s="17"/>
      <c r="H167" s="528"/>
      <c r="I167" s="17"/>
      <c r="J167" s="528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</row>
    <row r="168" spans="1:36" s="2" customFormat="1">
      <c r="A168" s="14"/>
      <c r="B168" s="15"/>
      <c r="C168" s="16"/>
      <c r="D168" s="16"/>
      <c r="E168" s="14"/>
      <c r="F168" s="538"/>
      <c r="G168" s="14"/>
      <c r="H168" s="527"/>
      <c r="I168" s="14"/>
      <c r="J168" s="527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</row>
    <row r="171" spans="1:36" s="3" customFormat="1">
      <c r="A171" s="17"/>
      <c r="B171" s="10"/>
      <c r="C171" s="18"/>
      <c r="D171" s="18"/>
      <c r="E171" s="17"/>
      <c r="F171" s="539"/>
      <c r="G171" s="17"/>
      <c r="H171" s="528"/>
      <c r="I171" s="17"/>
      <c r="J171" s="528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</row>
    <row r="172" spans="1:36" s="2" customFormat="1">
      <c r="A172" s="14"/>
      <c r="B172" s="15"/>
      <c r="C172" s="16"/>
      <c r="D172" s="16"/>
      <c r="E172" s="14"/>
      <c r="F172" s="538"/>
      <c r="G172" s="14"/>
      <c r="H172" s="527"/>
      <c r="I172" s="14"/>
      <c r="J172" s="527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</row>
    <row r="175" spans="1:36" s="3" customFormat="1">
      <c r="A175" s="17"/>
      <c r="B175" s="10"/>
      <c r="C175" s="18"/>
      <c r="D175" s="18"/>
      <c r="E175" s="17"/>
      <c r="F175" s="539"/>
      <c r="G175" s="17"/>
      <c r="H175" s="528"/>
      <c r="I175" s="17"/>
      <c r="J175" s="528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</row>
    <row r="176" spans="1:36" s="2" customFormat="1">
      <c r="A176" s="14"/>
      <c r="B176" s="15"/>
      <c r="C176" s="16"/>
      <c r="D176" s="16"/>
      <c r="E176" s="14"/>
      <c r="F176" s="538"/>
      <c r="G176" s="14"/>
      <c r="H176" s="527"/>
      <c r="I176" s="14"/>
      <c r="J176" s="527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</row>
    <row r="179" spans="1:36" s="3" customFormat="1">
      <c r="A179" s="17"/>
      <c r="B179" s="10"/>
      <c r="C179" s="18"/>
      <c r="D179" s="18"/>
      <c r="E179" s="17"/>
      <c r="F179" s="539"/>
      <c r="G179" s="17"/>
      <c r="H179" s="528"/>
      <c r="I179" s="17"/>
      <c r="J179" s="528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:36" s="2" customFormat="1">
      <c r="A180" s="14"/>
      <c r="B180" s="15"/>
      <c r="C180" s="16"/>
      <c r="D180" s="16"/>
      <c r="E180" s="14"/>
      <c r="F180" s="538"/>
      <c r="G180" s="14"/>
      <c r="H180" s="527"/>
      <c r="I180" s="14"/>
      <c r="J180" s="527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</row>
    <row r="183" spans="1:36" s="3" customFormat="1">
      <c r="A183" s="17"/>
      <c r="B183" s="10"/>
      <c r="C183" s="18"/>
      <c r="D183" s="18"/>
      <c r="E183" s="17"/>
      <c r="F183" s="539"/>
      <c r="G183" s="17"/>
      <c r="H183" s="528"/>
      <c r="I183" s="17"/>
      <c r="J183" s="528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:36" s="2" customFormat="1">
      <c r="A184" s="14"/>
      <c r="B184" s="15"/>
      <c r="C184" s="16"/>
      <c r="D184" s="16"/>
      <c r="E184" s="14"/>
      <c r="F184" s="538"/>
      <c r="G184" s="14"/>
      <c r="H184" s="527"/>
      <c r="I184" s="14"/>
      <c r="J184" s="527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</row>
    <row r="187" spans="1:36" s="3" customFormat="1">
      <c r="A187" s="17"/>
      <c r="B187" s="10"/>
      <c r="C187" s="18"/>
      <c r="D187" s="18"/>
      <c r="E187" s="17"/>
      <c r="F187" s="539"/>
      <c r="G187" s="17"/>
      <c r="H187" s="528"/>
      <c r="I187" s="17"/>
      <c r="J187" s="528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36" s="2" customFormat="1">
      <c r="A188" s="14"/>
      <c r="B188" s="15"/>
      <c r="C188" s="16"/>
      <c r="D188" s="16"/>
      <c r="E188" s="14"/>
      <c r="F188" s="538"/>
      <c r="G188" s="14"/>
      <c r="H188" s="527"/>
      <c r="I188" s="14"/>
      <c r="J188" s="527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</row>
    <row r="191" spans="1:36" s="3" customFormat="1">
      <c r="A191" s="17"/>
      <c r="B191" s="10"/>
      <c r="C191" s="18"/>
      <c r="D191" s="18"/>
      <c r="E191" s="17"/>
      <c r="F191" s="539"/>
      <c r="G191" s="17"/>
      <c r="H191" s="528"/>
      <c r="I191" s="17"/>
      <c r="J191" s="528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5" spans="1:36" s="6" customFormat="1">
      <c r="A195" s="17"/>
      <c r="B195" s="10"/>
      <c r="C195" s="18"/>
      <c r="D195" s="18"/>
      <c r="E195" s="17"/>
      <c r="F195" s="539"/>
      <c r="G195" s="17"/>
      <c r="H195" s="528"/>
      <c r="I195" s="17"/>
      <c r="J195" s="528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7" spans="1:36" s="7" customFormat="1">
      <c r="A197" s="9"/>
      <c r="B197" s="10"/>
      <c r="C197" s="682"/>
      <c r="D197" s="682"/>
      <c r="E197" s="9"/>
      <c r="F197" s="529"/>
      <c r="G197" s="9"/>
      <c r="H197" s="519"/>
      <c r="I197" s="9"/>
      <c r="J197" s="51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1:36" s="7" customFormat="1">
      <c r="A198" s="9"/>
      <c r="B198" s="10"/>
      <c r="C198" s="682"/>
      <c r="D198" s="682"/>
      <c r="E198" s="9"/>
      <c r="F198" s="529"/>
      <c r="G198" s="9"/>
      <c r="H198" s="519"/>
      <c r="I198" s="9"/>
      <c r="J198" s="51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1:36" s="6" customFormat="1">
      <c r="A199" s="17"/>
      <c r="B199" s="10"/>
      <c r="C199" s="18"/>
      <c r="D199" s="18"/>
      <c r="E199" s="17"/>
      <c r="F199" s="539"/>
      <c r="G199" s="17"/>
      <c r="H199" s="528"/>
      <c r="I199" s="17"/>
      <c r="J199" s="528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1" spans="1:36" s="7" customFormat="1">
      <c r="A201" s="9"/>
      <c r="B201" s="10"/>
      <c r="C201" s="682"/>
      <c r="D201" s="682"/>
      <c r="E201" s="9"/>
      <c r="F201" s="529"/>
      <c r="G201" s="9"/>
      <c r="H201" s="519"/>
      <c r="I201" s="9"/>
      <c r="J201" s="51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1:36" s="7" customFormat="1">
      <c r="A202" s="9"/>
      <c r="B202" s="10"/>
      <c r="C202" s="682"/>
      <c r="D202" s="682"/>
      <c r="E202" s="9"/>
      <c r="F202" s="529"/>
      <c r="G202" s="9"/>
      <c r="H202" s="519"/>
      <c r="I202" s="9"/>
      <c r="J202" s="51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1:36" s="6" customFormat="1">
      <c r="A203" s="17"/>
      <c r="B203" s="10"/>
      <c r="C203" s="18"/>
      <c r="D203" s="18"/>
      <c r="E203" s="17"/>
      <c r="F203" s="539"/>
      <c r="G203" s="17"/>
      <c r="H203" s="528"/>
      <c r="I203" s="17"/>
      <c r="J203" s="528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:36" s="2" customFormat="1">
      <c r="A204" s="14"/>
      <c r="B204" s="15"/>
      <c r="C204" s="16"/>
      <c r="D204" s="16"/>
      <c r="E204" s="14"/>
      <c r="F204" s="538"/>
      <c r="G204" s="14"/>
      <c r="H204" s="527"/>
      <c r="I204" s="14"/>
      <c r="J204" s="527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</row>
    <row r="205" spans="1:36" s="7" customFormat="1">
      <c r="A205" s="9"/>
      <c r="B205" s="10"/>
      <c r="C205" s="682"/>
      <c r="D205" s="682"/>
      <c r="E205" s="9"/>
      <c r="F205" s="529"/>
      <c r="G205" s="9"/>
      <c r="H205" s="519"/>
      <c r="I205" s="9"/>
      <c r="J205" s="51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1:36" s="7" customFormat="1">
      <c r="A206" s="9"/>
      <c r="B206" s="10"/>
      <c r="C206" s="682"/>
      <c r="D206" s="682"/>
      <c r="E206" s="9"/>
      <c r="F206" s="529"/>
      <c r="G206" s="9"/>
      <c r="H206" s="519"/>
      <c r="I206" s="9"/>
      <c r="J206" s="51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1:36" s="6" customFormat="1">
      <c r="A207" s="17"/>
      <c r="B207" s="10"/>
      <c r="C207" s="18"/>
      <c r="D207" s="18"/>
      <c r="E207" s="17"/>
      <c r="F207" s="539"/>
      <c r="G207" s="17"/>
      <c r="H207" s="528"/>
      <c r="I207" s="17"/>
      <c r="J207" s="528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:36" s="2" customFormat="1">
      <c r="A208" s="14"/>
      <c r="B208" s="15"/>
      <c r="C208" s="16"/>
      <c r="D208" s="16"/>
      <c r="E208" s="14"/>
      <c r="F208" s="538"/>
      <c r="G208" s="14"/>
      <c r="H208" s="527"/>
      <c r="I208" s="14"/>
      <c r="J208" s="527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</row>
    <row r="211" spans="1:36" s="6" customFormat="1">
      <c r="A211" s="17"/>
      <c r="B211" s="10"/>
      <c r="C211" s="18"/>
      <c r="D211" s="18"/>
      <c r="E211" s="17"/>
      <c r="F211" s="539"/>
      <c r="G211" s="17"/>
      <c r="H211" s="528"/>
      <c r="I211" s="17"/>
      <c r="J211" s="528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1:36" s="2" customFormat="1">
      <c r="A212" s="14"/>
      <c r="B212" s="15"/>
      <c r="C212" s="16"/>
      <c r="D212" s="16"/>
      <c r="E212" s="14"/>
      <c r="F212" s="538"/>
      <c r="G212" s="14"/>
      <c r="H212" s="527"/>
      <c r="I212" s="14"/>
      <c r="J212" s="527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</row>
    <row r="213" spans="1:36" s="7" customFormat="1">
      <c r="A213" s="9"/>
      <c r="B213" s="10"/>
      <c r="C213" s="682"/>
      <c r="D213" s="682"/>
      <c r="E213" s="9"/>
      <c r="F213" s="529"/>
      <c r="G213" s="9"/>
      <c r="H213" s="519"/>
      <c r="I213" s="9"/>
      <c r="J213" s="51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1:36" s="7" customFormat="1">
      <c r="A214" s="9"/>
      <c r="B214" s="10"/>
      <c r="C214" s="682"/>
      <c r="D214" s="682"/>
      <c r="E214" s="9"/>
      <c r="F214" s="529"/>
      <c r="G214" s="9"/>
      <c r="H214" s="519"/>
      <c r="I214" s="9"/>
      <c r="J214" s="51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1:36" s="6" customFormat="1">
      <c r="A215" s="17"/>
      <c r="B215" s="10"/>
      <c r="C215" s="18"/>
      <c r="D215" s="18"/>
      <c r="E215" s="17"/>
      <c r="F215" s="539"/>
      <c r="G215" s="17"/>
      <c r="H215" s="528"/>
      <c r="I215" s="17"/>
      <c r="J215" s="528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1:36" s="2" customFormat="1">
      <c r="A216" s="14"/>
      <c r="B216" s="15"/>
      <c r="C216" s="16"/>
      <c r="D216" s="16"/>
      <c r="E216" s="14"/>
      <c r="F216" s="538"/>
      <c r="G216" s="14"/>
      <c r="H216" s="527"/>
      <c r="I216" s="14"/>
      <c r="J216" s="527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</row>
    <row r="217" spans="1:36" s="7" customFormat="1">
      <c r="A217" s="9"/>
      <c r="B217" s="10"/>
      <c r="C217" s="682"/>
      <c r="D217" s="682"/>
      <c r="E217" s="9"/>
      <c r="F217" s="529"/>
      <c r="G217" s="9"/>
      <c r="H217" s="519"/>
      <c r="I217" s="9"/>
      <c r="J217" s="51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1:36" s="7" customFormat="1">
      <c r="A218" s="9"/>
      <c r="B218" s="10"/>
      <c r="C218" s="682"/>
      <c r="D218" s="682"/>
      <c r="E218" s="9"/>
      <c r="F218" s="529"/>
      <c r="G218" s="9"/>
      <c r="H218" s="519"/>
      <c r="I218" s="9"/>
      <c r="J218" s="51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1:36" s="6" customFormat="1">
      <c r="A219" s="17"/>
      <c r="B219" s="10"/>
      <c r="C219" s="18"/>
      <c r="D219" s="18"/>
      <c r="E219" s="17"/>
      <c r="F219" s="539"/>
      <c r="G219" s="17"/>
      <c r="H219" s="528"/>
      <c r="I219" s="17"/>
      <c r="J219" s="528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1:36" s="2" customFormat="1">
      <c r="A220" s="14"/>
      <c r="B220" s="15"/>
      <c r="C220" s="16"/>
      <c r="D220" s="16"/>
      <c r="E220" s="14"/>
      <c r="F220" s="538"/>
      <c r="G220" s="14"/>
      <c r="H220" s="527"/>
      <c r="I220" s="14"/>
      <c r="J220" s="527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</row>
    <row r="221" spans="1:36" s="7" customFormat="1">
      <c r="A221" s="9"/>
      <c r="B221" s="10"/>
      <c r="C221" s="682"/>
      <c r="D221" s="682"/>
      <c r="E221" s="9"/>
      <c r="F221" s="529"/>
      <c r="G221" s="9"/>
      <c r="H221" s="519"/>
      <c r="I221" s="9"/>
      <c r="J221" s="51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1:36" s="7" customFormat="1">
      <c r="A222" s="9"/>
      <c r="B222" s="10"/>
      <c r="C222" s="682"/>
      <c r="D222" s="682"/>
      <c r="E222" s="9"/>
      <c r="F222" s="529"/>
      <c r="G222" s="9"/>
      <c r="H222" s="519"/>
      <c r="I222" s="9"/>
      <c r="J222" s="51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1:36" s="6" customFormat="1">
      <c r="A223" s="17"/>
      <c r="B223" s="10"/>
      <c r="C223" s="18"/>
      <c r="D223" s="18"/>
      <c r="E223" s="17"/>
      <c r="F223" s="539"/>
      <c r="G223" s="17"/>
      <c r="H223" s="528"/>
      <c r="I223" s="17"/>
      <c r="J223" s="528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spans="1:36" s="2" customFormat="1">
      <c r="A224" s="14"/>
      <c r="B224" s="15"/>
      <c r="C224" s="16"/>
      <c r="D224" s="16"/>
      <c r="E224" s="14"/>
      <c r="F224" s="538"/>
      <c r="G224" s="14"/>
      <c r="H224" s="527"/>
      <c r="I224" s="14"/>
      <c r="J224" s="527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</row>
    <row r="225" spans="1:36" s="7" customFormat="1">
      <c r="A225" s="9"/>
      <c r="B225" s="10"/>
      <c r="C225" s="682"/>
      <c r="D225" s="682"/>
      <c r="E225" s="9"/>
      <c r="F225" s="529"/>
      <c r="G225" s="9"/>
      <c r="H225" s="519"/>
      <c r="I225" s="9"/>
      <c r="J225" s="51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1:36" s="7" customFormat="1">
      <c r="A226" s="9"/>
      <c r="B226" s="10"/>
      <c r="C226" s="682"/>
      <c r="D226" s="682"/>
      <c r="E226" s="9"/>
      <c r="F226" s="529"/>
      <c r="G226" s="9"/>
      <c r="H226" s="519"/>
      <c r="I226" s="9"/>
      <c r="J226" s="51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1:36" s="6" customFormat="1">
      <c r="A227" s="17"/>
      <c r="B227" s="10"/>
      <c r="C227" s="18"/>
      <c r="D227" s="18"/>
      <c r="E227" s="17"/>
      <c r="F227" s="539"/>
      <c r="G227" s="17"/>
      <c r="H227" s="528"/>
      <c r="I227" s="17"/>
      <c r="J227" s="528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</row>
    <row r="228" spans="1:36" s="2" customFormat="1">
      <c r="A228" s="14"/>
      <c r="B228" s="15"/>
      <c r="C228" s="16"/>
      <c r="D228" s="16"/>
      <c r="E228" s="14"/>
      <c r="F228" s="538"/>
      <c r="G228" s="14"/>
      <c r="H228" s="527"/>
      <c r="I228" s="14"/>
      <c r="J228" s="527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</row>
    <row r="229" spans="1:36" s="8" customFormat="1">
      <c r="A229" s="9"/>
      <c r="B229" s="10"/>
      <c r="C229" s="682"/>
      <c r="D229" s="682"/>
      <c r="E229" s="9"/>
      <c r="F229" s="529"/>
      <c r="G229" s="9"/>
      <c r="H229" s="519"/>
      <c r="I229" s="9"/>
      <c r="J229" s="51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1:36" s="8" customFormat="1">
      <c r="A230" s="9"/>
      <c r="B230" s="10"/>
      <c r="C230" s="682"/>
      <c r="D230" s="682"/>
      <c r="E230" s="9"/>
      <c r="F230" s="529"/>
      <c r="G230" s="9"/>
      <c r="H230" s="519"/>
      <c r="I230" s="9"/>
      <c r="J230" s="51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1:36" s="3" customFormat="1">
      <c r="A231" s="17"/>
      <c r="B231" s="10"/>
      <c r="C231" s="18"/>
      <c r="D231" s="18"/>
      <c r="E231" s="17"/>
      <c r="F231" s="539"/>
      <c r="G231" s="17"/>
      <c r="H231" s="528"/>
      <c r="I231" s="17"/>
      <c r="J231" s="528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</row>
    <row r="232" spans="1:36" s="2" customFormat="1">
      <c r="A232" s="14"/>
      <c r="B232" s="15"/>
      <c r="C232" s="16"/>
      <c r="D232" s="16"/>
      <c r="E232" s="14"/>
      <c r="F232" s="538"/>
      <c r="G232" s="14"/>
      <c r="H232" s="527"/>
      <c r="I232" s="14"/>
      <c r="J232" s="527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</row>
    <row r="233" spans="1:36" s="7" customFormat="1">
      <c r="A233" s="9"/>
      <c r="B233" s="10"/>
      <c r="C233" s="682"/>
      <c r="D233" s="682"/>
      <c r="E233" s="9"/>
      <c r="F233" s="529"/>
      <c r="G233" s="9"/>
      <c r="H233" s="519"/>
      <c r="I233" s="9"/>
      <c r="J233" s="51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1:36" s="7" customFormat="1">
      <c r="A234" s="9"/>
      <c r="B234" s="10"/>
      <c r="C234" s="682"/>
      <c r="D234" s="682"/>
      <c r="E234" s="9"/>
      <c r="F234" s="529"/>
      <c r="G234" s="9"/>
      <c r="H234" s="519"/>
      <c r="I234" s="9"/>
      <c r="J234" s="51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1:36" s="6" customFormat="1">
      <c r="A235" s="17"/>
      <c r="B235" s="10"/>
      <c r="C235" s="18"/>
      <c r="D235" s="18"/>
      <c r="E235" s="17"/>
      <c r="F235" s="539"/>
      <c r="G235" s="17"/>
      <c r="H235" s="528"/>
      <c r="I235" s="17"/>
      <c r="J235" s="528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</row>
    <row r="236" spans="1:36" s="2" customFormat="1">
      <c r="A236" s="14"/>
      <c r="B236" s="15"/>
      <c r="C236" s="16"/>
      <c r="D236" s="16"/>
      <c r="E236" s="14"/>
      <c r="F236" s="538"/>
      <c r="G236" s="14"/>
      <c r="H236" s="527"/>
      <c r="I236" s="14"/>
      <c r="J236" s="527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</row>
    <row r="237" spans="1:36" s="2" customFormat="1" ht="15" customHeight="1">
      <c r="A237" s="14"/>
      <c r="B237" s="15"/>
      <c r="C237" s="16"/>
      <c r="D237" s="16"/>
      <c r="E237" s="14"/>
      <c r="F237" s="538"/>
      <c r="G237" s="14"/>
      <c r="H237" s="527"/>
      <c r="I237" s="14"/>
      <c r="J237" s="527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</row>
    <row r="238" spans="1:36" s="2" customFormat="1">
      <c r="A238" s="14"/>
      <c r="B238" s="15"/>
      <c r="C238" s="16"/>
      <c r="D238" s="16"/>
      <c r="E238" s="14"/>
      <c r="F238" s="538"/>
      <c r="G238" s="14"/>
      <c r="H238" s="527"/>
      <c r="I238" s="14"/>
      <c r="J238" s="527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</row>
    <row r="239" spans="1:36" s="2" customFormat="1" ht="18" customHeight="1">
      <c r="A239" s="14"/>
      <c r="B239" s="15"/>
      <c r="C239" s="16"/>
      <c r="D239" s="16"/>
      <c r="E239" s="14"/>
      <c r="F239" s="538"/>
      <c r="G239" s="14"/>
      <c r="H239" s="527"/>
      <c r="I239" s="14"/>
      <c r="J239" s="527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</row>
    <row r="240" spans="1:36" ht="20.25" customHeight="1"/>
    <row r="241" spans="1:36" s="6" customFormat="1">
      <c r="A241" s="17"/>
      <c r="B241" s="10"/>
      <c r="C241" s="18"/>
      <c r="D241" s="18"/>
      <c r="E241" s="17"/>
      <c r="F241" s="539"/>
      <c r="G241" s="17"/>
      <c r="H241" s="528"/>
      <c r="I241" s="17"/>
      <c r="J241" s="528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</row>
  </sheetData>
  <mergeCells count="41">
    <mergeCell ref="W1:X1"/>
    <mergeCell ref="AK1:DJ99"/>
    <mergeCell ref="D2:W2"/>
    <mergeCell ref="A3:AB3"/>
    <mergeCell ref="A4:A7"/>
    <mergeCell ref="B4:B7"/>
    <mergeCell ref="C4:C7"/>
    <mergeCell ref="D4:D7"/>
    <mergeCell ref="E4:K5"/>
    <mergeCell ref="L4:V4"/>
    <mergeCell ref="W4:X5"/>
    <mergeCell ref="Y4:AB5"/>
    <mergeCell ref="AC4:AH5"/>
    <mergeCell ref="AJ4:AJ7"/>
    <mergeCell ref="L5:N5"/>
    <mergeCell ref="O5:O7"/>
    <mergeCell ref="P5:P7"/>
    <mergeCell ref="Q5:Q7"/>
    <mergeCell ref="R5:R7"/>
    <mergeCell ref="S5:S7"/>
    <mergeCell ref="I6:I7"/>
    <mergeCell ref="K6:K7"/>
    <mergeCell ref="L6:L7"/>
    <mergeCell ref="M6:M7"/>
    <mergeCell ref="N6:N7"/>
    <mergeCell ref="AC6:AC7"/>
    <mergeCell ref="AD6:AF6"/>
    <mergeCell ref="AG6:AG7"/>
    <mergeCell ref="AH6:AH7"/>
    <mergeCell ref="A67:AH99"/>
    <mergeCell ref="W6:W7"/>
    <mergeCell ref="X6:X7"/>
    <mergeCell ref="Y6:Y7"/>
    <mergeCell ref="Z6:Z7"/>
    <mergeCell ref="AA6:AA7"/>
    <mergeCell ref="AB6:AB7"/>
    <mergeCell ref="T5:T7"/>
    <mergeCell ref="U5:U7"/>
    <mergeCell ref="V5:V7"/>
    <mergeCell ref="E6:E7"/>
    <mergeCell ref="G6:G7"/>
  </mergeCells>
  <pageMargins left="0.27" right="0.16" top="0.22" bottom="0.2" header="0.17" footer="0.17"/>
  <pageSetup paperSize="9" scale="65" orientation="landscape" r:id="rId1"/>
  <headerFooter alignWithMargins="0"/>
  <rowBreaks count="2" manualBreakCount="2">
    <brk id="34" max="109" man="1"/>
    <brk id="66" max="106" man="1"/>
  </rowBreaks>
  <colBreaks count="3" manualBreakCount="3">
    <brk id="20" max="65" man="1"/>
    <brk id="36" max="65" man="1"/>
    <brk id="88" max="6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1"/>
  <sheetViews>
    <sheetView workbookViewId="0">
      <selection activeCell="C2" sqref="C2"/>
    </sheetView>
  </sheetViews>
  <sheetFormatPr defaultRowHeight="15"/>
  <cols>
    <col min="1" max="1" width="3.42578125" style="627" customWidth="1"/>
    <col min="2" max="2" width="50.85546875" style="659" customWidth="1"/>
  </cols>
  <sheetData>
    <row r="1" spans="1:3" s="669" customFormat="1" ht="38.25" customHeight="1">
      <c r="A1" s="625" t="s">
        <v>85</v>
      </c>
      <c r="B1" s="625" t="s">
        <v>0</v>
      </c>
      <c r="C1" s="670" t="s">
        <v>295</v>
      </c>
    </row>
    <row r="2" spans="1:3" ht="15" customHeight="1">
      <c r="A2" s="637">
        <v>1</v>
      </c>
      <c r="B2" s="668" t="s">
        <v>10</v>
      </c>
      <c r="C2" s="667">
        <f>'май (2)'!AJ18</f>
        <v>105.2</v>
      </c>
    </row>
    <row r="3" spans="1:3" ht="15" customHeight="1">
      <c r="A3" s="637">
        <v>2</v>
      </c>
      <c r="B3" s="668" t="s">
        <v>14</v>
      </c>
      <c r="C3" s="667">
        <f>'май (2)'!AJ22</f>
        <v>104</v>
      </c>
    </row>
    <row r="4" spans="1:3">
      <c r="A4" s="637">
        <v>3</v>
      </c>
      <c r="B4" s="668" t="s">
        <v>15</v>
      </c>
      <c r="C4" s="667">
        <f>'май (2)'!AJ32</f>
        <v>98</v>
      </c>
    </row>
    <row r="5" spans="1:3">
      <c r="A5" s="637">
        <v>4</v>
      </c>
      <c r="B5" s="668" t="s">
        <v>9</v>
      </c>
      <c r="C5" s="667">
        <v>96.2</v>
      </c>
    </row>
    <row r="6" spans="1:3">
      <c r="A6" s="637">
        <v>5</v>
      </c>
      <c r="B6" s="668" t="s">
        <v>59</v>
      </c>
      <c r="C6" s="667">
        <f>'май (2)'!AJ28</f>
        <v>95</v>
      </c>
    </row>
    <row r="7" spans="1:3">
      <c r="A7" s="637">
        <v>6</v>
      </c>
      <c r="B7" s="668" t="s">
        <v>13</v>
      </c>
      <c r="C7" s="667">
        <f>'май (2)'!AJ24</f>
        <v>89</v>
      </c>
    </row>
    <row r="8" spans="1:3">
      <c r="A8" s="637">
        <v>7</v>
      </c>
      <c r="B8" s="668" t="s">
        <v>11</v>
      </c>
      <c r="C8" s="667">
        <f>'май (2)'!AJ26</f>
        <v>85.2</v>
      </c>
    </row>
    <row r="9" spans="1:3">
      <c r="A9" s="637">
        <v>8</v>
      </c>
      <c r="B9" s="668" t="s">
        <v>6</v>
      </c>
      <c r="C9" s="667">
        <f>'май (2)'!AJ8</f>
        <v>65.3</v>
      </c>
    </row>
    <row r="10" spans="1:3">
      <c r="A10" s="637">
        <v>9</v>
      </c>
      <c r="B10" s="668" t="s">
        <v>60</v>
      </c>
      <c r="C10" s="667">
        <f>'май (2)'!AJ34</f>
        <v>65</v>
      </c>
    </row>
    <row r="11" spans="1:3">
      <c r="A11" s="637">
        <v>10</v>
      </c>
      <c r="B11" s="668" t="s">
        <v>58</v>
      </c>
      <c r="C11" s="667">
        <f>'май (2)'!AJ20</f>
        <v>57</v>
      </c>
    </row>
    <row r="12" spans="1:3">
      <c r="A12" s="637">
        <v>11</v>
      </c>
      <c r="B12" s="668" t="s">
        <v>8</v>
      </c>
      <c r="C12" s="667">
        <f>'май (2)'!AJ12</f>
        <v>56.6</v>
      </c>
    </row>
    <row r="13" spans="1:3">
      <c r="A13" s="637">
        <v>12</v>
      </c>
      <c r="B13" s="668" t="s">
        <v>63</v>
      </c>
      <c r="C13" s="667">
        <f>'май (2)'!AJ44</f>
        <v>55.4</v>
      </c>
    </row>
    <row r="14" spans="1:3">
      <c r="A14" s="637">
        <v>13</v>
      </c>
      <c r="B14" s="668" t="s">
        <v>20</v>
      </c>
      <c r="C14" s="667">
        <f>'май (2)'!AJ52</f>
        <v>53.5</v>
      </c>
    </row>
    <row r="15" spans="1:3">
      <c r="A15" s="637">
        <v>14</v>
      </c>
      <c r="B15" s="668" t="s">
        <v>57</v>
      </c>
      <c r="C15" s="667">
        <f>'май (2)'!AJ14</f>
        <v>49</v>
      </c>
    </row>
    <row r="16" spans="1:3">
      <c r="A16" s="637">
        <v>15</v>
      </c>
      <c r="B16" s="668" t="s">
        <v>56</v>
      </c>
      <c r="C16" s="667">
        <f>'май (2)'!AJ10</f>
        <v>39</v>
      </c>
    </row>
    <row r="17" spans="1:3">
      <c r="A17" s="671">
        <v>16</v>
      </c>
      <c r="B17" s="672" t="s">
        <v>7</v>
      </c>
      <c r="C17" s="673">
        <f>'май (2)'!AJ6</f>
        <v>39</v>
      </c>
    </row>
    <row r="18" spans="1:3">
      <c r="A18" s="629"/>
      <c r="B18" s="627"/>
    </row>
    <row r="19" spans="1:3">
      <c r="A19" s="629"/>
      <c r="B19" s="627"/>
    </row>
    <row r="20" spans="1:3">
      <c r="A20" s="629"/>
      <c r="B20" s="627"/>
    </row>
    <row r="21" spans="1:3">
      <c r="A21" s="629"/>
      <c r="B21" s="627"/>
    </row>
    <row r="22" spans="1:3">
      <c r="A22" s="629"/>
      <c r="B22" s="627"/>
    </row>
    <row r="23" spans="1:3">
      <c r="A23" s="629"/>
      <c r="B23" s="627"/>
    </row>
    <row r="24" spans="1:3">
      <c r="A24" s="629"/>
      <c r="B24" s="627"/>
    </row>
    <row r="25" spans="1:3">
      <c r="A25" s="629"/>
      <c r="B25" s="627"/>
    </row>
    <row r="26" spans="1:3">
      <c r="A26" s="629"/>
      <c r="B26" s="627"/>
    </row>
    <row r="27" spans="1:3">
      <c r="A27" s="629"/>
      <c r="B27" s="627"/>
    </row>
    <row r="28" spans="1:3">
      <c r="A28" s="629"/>
      <c r="B28" s="627"/>
    </row>
    <row r="29" spans="1:3">
      <c r="A29" s="629"/>
      <c r="B29" s="627"/>
    </row>
    <row r="30" spans="1:3">
      <c r="A30" s="629"/>
      <c r="B30" s="627"/>
    </row>
    <row r="31" spans="1:3">
      <c r="A31" s="629"/>
      <c r="B31" s="627"/>
    </row>
    <row r="32" spans="1:3">
      <c r="A32" s="629"/>
      <c r="B32" s="627"/>
    </row>
    <row r="33" spans="1:2">
      <c r="A33" s="629"/>
      <c r="B33" s="627"/>
    </row>
    <row r="34" spans="1:2">
      <c r="A34" s="629"/>
      <c r="B34" s="627"/>
    </row>
    <row r="35" spans="1:2">
      <c r="A35" s="629"/>
      <c r="B35" s="627"/>
    </row>
    <row r="36" spans="1:2">
      <c r="A36" s="629"/>
      <c r="B36" s="627"/>
    </row>
    <row r="37" spans="1:2">
      <c r="A37" s="629"/>
      <c r="B37" s="627"/>
    </row>
    <row r="38" spans="1:2">
      <c r="A38" s="629"/>
      <c r="B38" s="627"/>
    </row>
    <row r="39" spans="1:2">
      <c r="A39" s="629"/>
      <c r="B39" s="627"/>
    </row>
    <row r="40" spans="1:2">
      <c r="A40" s="629"/>
      <c r="B40" s="627"/>
    </row>
    <row r="41" spans="1:2">
      <c r="A41" s="629"/>
      <c r="B41" s="627"/>
    </row>
    <row r="42" spans="1:2">
      <c r="A42" s="629"/>
      <c r="B42" s="627"/>
    </row>
    <row r="43" spans="1:2">
      <c r="A43" s="629"/>
      <c r="B43" s="627"/>
    </row>
    <row r="44" spans="1:2">
      <c r="A44" s="629"/>
      <c r="B44" s="627"/>
    </row>
    <row r="45" spans="1:2">
      <c r="A45" s="629"/>
      <c r="B45" s="627"/>
    </row>
    <row r="46" spans="1:2">
      <c r="A46" s="629"/>
      <c r="B46" s="627"/>
    </row>
    <row r="47" spans="1:2">
      <c r="A47" s="629"/>
      <c r="B47" s="627"/>
    </row>
    <row r="48" spans="1:2">
      <c r="A48" s="629"/>
      <c r="B48" s="627"/>
    </row>
    <row r="49" spans="1:2">
      <c r="A49" s="629"/>
      <c r="B49" s="627"/>
    </row>
    <row r="53" spans="1:2">
      <c r="A53" s="662"/>
    </row>
    <row r="57" spans="1:2">
      <c r="A57" s="662"/>
    </row>
    <row r="61" spans="1:2">
      <c r="A61" s="662"/>
    </row>
    <row r="65" spans="1:1">
      <c r="A65" s="662"/>
    </row>
    <row r="69" spans="1:1">
      <c r="A69" s="662"/>
    </row>
    <row r="73" spans="1:1">
      <c r="A73" s="662"/>
    </row>
    <row r="77" spans="1:1">
      <c r="A77" s="662"/>
    </row>
    <row r="81" spans="1:1">
      <c r="A81" s="662"/>
    </row>
    <row r="85" spans="1:1">
      <c r="A85" s="662"/>
    </row>
    <row r="89" spans="1:1">
      <c r="A89" s="662"/>
    </row>
    <row r="93" spans="1:1">
      <c r="A93" s="662"/>
    </row>
    <row r="97" spans="1:1">
      <c r="A97" s="662"/>
    </row>
    <row r="101" spans="1:1">
      <c r="A101" s="662"/>
    </row>
    <row r="105" spans="1:1">
      <c r="A105" s="662"/>
    </row>
    <row r="109" spans="1:1">
      <c r="A109" s="662"/>
    </row>
    <row r="113" spans="1:1">
      <c r="A113" s="662"/>
    </row>
    <row r="117" spans="1:1">
      <c r="A117" s="662"/>
    </row>
    <row r="121" spans="1:1">
      <c r="A121" s="662"/>
    </row>
    <row r="125" spans="1:1">
      <c r="A125" s="662"/>
    </row>
    <row r="129" spans="1:1">
      <c r="A129" s="662"/>
    </row>
    <row r="133" spans="1:1">
      <c r="A133" s="662"/>
    </row>
    <row r="137" spans="1:1">
      <c r="A137" s="662"/>
    </row>
    <row r="141" spans="1:1">
      <c r="A141" s="662"/>
    </row>
    <row r="145" spans="1:1">
      <c r="A145" s="662"/>
    </row>
    <row r="149" spans="1:1">
      <c r="A149" s="662"/>
    </row>
    <row r="153" spans="1:1">
      <c r="A153" s="662"/>
    </row>
    <row r="157" spans="1:1">
      <c r="A157" s="662"/>
    </row>
    <row r="161" spans="1:1">
      <c r="A161" s="662"/>
    </row>
    <row r="165" spans="1:1">
      <c r="A165" s="662"/>
    </row>
    <row r="169" spans="1:1">
      <c r="A169" s="662"/>
    </row>
    <row r="173" spans="1:1">
      <c r="A173" s="662"/>
    </row>
    <row r="177" spans="1:1">
      <c r="A177" s="662"/>
    </row>
    <row r="181" spans="1:1">
      <c r="A181" s="662"/>
    </row>
    <row r="185" spans="1:1">
      <c r="A185" s="662"/>
    </row>
    <row r="191" spans="1:1">
      <c r="A191" s="662"/>
    </row>
  </sheetData>
  <sortState ref="B3:C22">
    <sortCondition descending="1" ref="C3:C2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70"/>
  <sheetViews>
    <sheetView workbookViewId="0">
      <selection activeCell="D12" sqref="D12"/>
    </sheetView>
  </sheetViews>
  <sheetFormatPr defaultRowHeight="15"/>
  <cols>
    <col min="1" max="1" width="4.42578125" customWidth="1"/>
    <col min="2" max="2" width="41.140625" customWidth="1"/>
    <col min="3" max="35" width="9.140625" customWidth="1"/>
    <col min="36" max="36" width="11.7109375" customWidth="1"/>
  </cols>
  <sheetData>
    <row r="1" spans="1:36">
      <c r="A1" s="913" t="s">
        <v>23</v>
      </c>
      <c r="B1" s="916" t="s">
        <v>0</v>
      </c>
      <c r="C1" s="919" t="s">
        <v>29</v>
      </c>
      <c r="D1" s="861" t="s">
        <v>30</v>
      </c>
      <c r="E1" s="854" t="s">
        <v>24</v>
      </c>
      <c r="F1" s="854"/>
      <c r="G1" s="854"/>
      <c r="H1" s="854"/>
      <c r="I1" s="854"/>
      <c r="J1" s="854"/>
      <c r="K1" s="854"/>
      <c r="L1" s="854" t="s">
        <v>25</v>
      </c>
      <c r="M1" s="854"/>
      <c r="N1" s="854"/>
      <c r="O1" s="854"/>
      <c r="P1" s="854"/>
      <c r="Q1" s="854"/>
      <c r="R1" s="854"/>
      <c r="S1" s="854"/>
      <c r="T1" s="854"/>
      <c r="U1" s="854"/>
      <c r="V1" s="854"/>
      <c r="W1" s="854" t="s">
        <v>26</v>
      </c>
      <c r="X1" s="855"/>
      <c r="Y1" s="854" t="s">
        <v>27</v>
      </c>
      <c r="Z1" s="855"/>
      <c r="AA1" s="870"/>
      <c r="AB1" s="871"/>
      <c r="AC1" s="873" t="s">
        <v>28</v>
      </c>
      <c r="AD1" s="874"/>
      <c r="AE1" s="875"/>
      <c r="AF1" s="871"/>
      <c r="AG1" s="871"/>
      <c r="AH1" s="871"/>
      <c r="AI1" s="683"/>
      <c r="AJ1" s="922" t="s">
        <v>74</v>
      </c>
    </row>
    <row r="2" spans="1:36" ht="9" customHeight="1">
      <c r="A2" s="914"/>
      <c r="B2" s="917"/>
      <c r="C2" s="920"/>
      <c r="D2" s="841"/>
      <c r="E2" s="864"/>
      <c r="F2" s="864"/>
      <c r="G2" s="864"/>
      <c r="H2" s="864"/>
      <c r="I2" s="864"/>
      <c r="J2" s="864"/>
      <c r="K2" s="864"/>
      <c r="L2" s="841" t="s">
        <v>1</v>
      </c>
      <c r="M2" s="841"/>
      <c r="N2" s="841"/>
      <c r="O2" s="841" t="s">
        <v>2</v>
      </c>
      <c r="P2" s="841" t="s">
        <v>33</v>
      </c>
      <c r="Q2" s="841" t="s">
        <v>34</v>
      </c>
      <c r="R2" s="841" t="s">
        <v>35</v>
      </c>
      <c r="S2" s="841" t="s">
        <v>36</v>
      </c>
      <c r="T2" s="841" t="s">
        <v>37</v>
      </c>
      <c r="U2" s="841" t="s">
        <v>38</v>
      </c>
      <c r="V2" s="841" t="s">
        <v>39</v>
      </c>
      <c r="W2" s="856"/>
      <c r="X2" s="856"/>
      <c r="Y2" s="856"/>
      <c r="Z2" s="856"/>
      <c r="AA2" s="872"/>
      <c r="AB2" s="843"/>
      <c r="AC2" s="877"/>
      <c r="AD2" s="877"/>
      <c r="AE2" s="878"/>
      <c r="AF2" s="843"/>
      <c r="AG2" s="843"/>
      <c r="AH2" s="843"/>
      <c r="AI2" s="679"/>
      <c r="AJ2" s="923"/>
    </row>
    <row r="3" spans="1:36" ht="10.5" customHeight="1" thickBot="1">
      <c r="A3" s="914"/>
      <c r="B3" s="917"/>
      <c r="C3" s="920"/>
      <c r="D3" s="841"/>
      <c r="E3" s="841" t="s">
        <v>31</v>
      </c>
      <c r="F3" s="530"/>
      <c r="G3" s="841" t="s">
        <v>3</v>
      </c>
      <c r="H3" s="520"/>
      <c r="I3" s="841" t="s">
        <v>32</v>
      </c>
      <c r="J3" s="520"/>
      <c r="K3" s="841" t="s">
        <v>21</v>
      </c>
      <c r="L3" s="844" t="s">
        <v>3</v>
      </c>
      <c r="M3" s="844" t="s">
        <v>4</v>
      </c>
      <c r="N3" s="844" t="s">
        <v>22</v>
      </c>
      <c r="O3" s="841"/>
      <c r="P3" s="841"/>
      <c r="Q3" s="841"/>
      <c r="R3" s="841"/>
      <c r="S3" s="841"/>
      <c r="T3" s="841"/>
      <c r="U3" s="841"/>
      <c r="V3" s="841"/>
      <c r="W3" s="841" t="s">
        <v>40</v>
      </c>
      <c r="X3" s="841" t="s">
        <v>82</v>
      </c>
      <c r="Y3" s="841" t="s">
        <v>42</v>
      </c>
      <c r="Z3" s="841" t="s">
        <v>5</v>
      </c>
      <c r="AA3" s="841" t="s">
        <v>43</v>
      </c>
      <c r="AB3" s="841" t="s">
        <v>44</v>
      </c>
      <c r="AC3" s="841" t="s">
        <v>45</v>
      </c>
      <c r="AD3" s="841" t="s">
        <v>46</v>
      </c>
      <c r="AE3" s="843"/>
      <c r="AF3" s="843"/>
      <c r="AG3" s="841" t="s">
        <v>47</v>
      </c>
      <c r="AH3" s="841" t="s">
        <v>48</v>
      </c>
      <c r="AI3" s="677"/>
      <c r="AJ3" s="923"/>
    </row>
    <row r="4" spans="1:36" ht="9.75" hidden="1" customHeight="1" thickBot="1">
      <c r="A4" s="915"/>
      <c r="B4" s="918"/>
      <c r="C4" s="921"/>
      <c r="D4" s="842"/>
      <c r="E4" s="842"/>
      <c r="F4" s="531"/>
      <c r="G4" s="842"/>
      <c r="H4" s="521"/>
      <c r="I4" s="865"/>
      <c r="J4" s="540"/>
      <c r="K4" s="842"/>
      <c r="L4" s="845"/>
      <c r="M4" s="845"/>
      <c r="N4" s="845"/>
      <c r="O4" s="842"/>
      <c r="P4" s="842"/>
      <c r="Q4" s="842"/>
      <c r="R4" s="842"/>
      <c r="S4" s="842"/>
      <c r="T4" s="842"/>
      <c r="U4" s="842"/>
      <c r="V4" s="842"/>
      <c r="W4" s="842"/>
      <c r="X4" s="865"/>
      <c r="Y4" s="842"/>
      <c r="Z4" s="842"/>
      <c r="AA4" s="865"/>
      <c r="AB4" s="842"/>
      <c r="AC4" s="842"/>
      <c r="AD4" s="678" t="s">
        <v>49</v>
      </c>
      <c r="AE4" s="678" t="s">
        <v>50</v>
      </c>
      <c r="AF4" s="678" t="s">
        <v>51</v>
      </c>
      <c r="AG4" s="842"/>
      <c r="AH4" s="865"/>
      <c r="AI4" s="681"/>
      <c r="AJ4" s="924"/>
    </row>
    <row r="5" spans="1:36" ht="15.75" thickBot="1">
      <c r="A5" s="834">
        <v>1</v>
      </c>
      <c r="B5" s="835">
        <v>2</v>
      </c>
      <c r="C5" s="836" t="s">
        <v>52</v>
      </c>
      <c r="D5" s="837" t="s">
        <v>53</v>
      </c>
      <c r="E5" s="837" t="s">
        <v>52</v>
      </c>
      <c r="F5" s="838"/>
      <c r="G5" s="837" t="s">
        <v>52</v>
      </c>
      <c r="H5" s="839"/>
      <c r="I5" s="837" t="s">
        <v>52</v>
      </c>
      <c r="J5" s="839"/>
      <c r="K5" s="837"/>
      <c r="L5" s="837" t="s">
        <v>52</v>
      </c>
      <c r="M5" s="837" t="s">
        <v>52</v>
      </c>
      <c r="N5" s="837"/>
      <c r="O5" s="837" t="s">
        <v>52</v>
      </c>
      <c r="P5" s="837" t="s">
        <v>52</v>
      </c>
      <c r="Q5" s="837" t="s">
        <v>54</v>
      </c>
      <c r="R5" s="837" t="s">
        <v>55</v>
      </c>
      <c r="S5" s="837" t="s">
        <v>55</v>
      </c>
      <c r="T5" s="837" t="s">
        <v>54</v>
      </c>
      <c r="U5" s="837" t="s">
        <v>54</v>
      </c>
      <c r="V5" s="837" t="s">
        <v>54</v>
      </c>
      <c r="W5" s="837" t="s">
        <v>54</v>
      </c>
      <c r="X5" s="837" t="s">
        <v>54</v>
      </c>
      <c r="Y5" s="837" t="s">
        <v>54</v>
      </c>
      <c r="Z5" s="837" t="s">
        <v>54</v>
      </c>
      <c r="AA5" s="837" t="s">
        <v>54</v>
      </c>
      <c r="AB5" s="837" t="s">
        <v>54</v>
      </c>
      <c r="AC5" s="837"/>
      <c r="AD5" s="837"/>
      <c r="AE5" s="837"/>
      <c r="AF5" s="837"/>
      <c r="AG5" s="837"/>
      <c r="AH5" s="837"/>
      <c r="AI5" s="837"/>
      <c r="AJ5" s="840">
        <v>3</v>
      </c>
    </row>
    <row r="6" spans="1:36" ht="18.75">
      <c r="A6" s="236">
        <v>1</v>
      </c>
      <c r="B6" s="827" t="s">
        <v>62</v>
      </c>
      <c r="C6" s="825">
        <v>8</v>
      </c>
      <c r="D6" s="40"/>
      <c r="E6" s="56">
        <v>0</v>
      </c>
      <c r="F6" s="617">
        <f t="shared" ref="F6:F14" si="0">E6/AI6*100</f>
        <v>0</v>
      </c>
      <c r="G6" s="56">
        <v>0</v>
      </c>
      <c r="H6" s="574">
        <f t="shared" ref="H6:H14" si="1">G6/AI6*100</f>
        <v>0</v>
      </c>
      <c r="I6" s="56">
        <v>6</v>
      </c>
      <c r="J6" s="574">
        <f t="shared" ref="J6:J14" si="2">I6/AI6*100</f>
        <v>0.42342978122794639</v>
      </c>
      <c r="K6" s="40"/>
      <c r="L6" s="56">
        <v>0</v>
      </c>
      <c r="M6" s="44">
        <v>0</v>
      </c>
      <c r="N6" s="116"/>
      <c r="O6" s="40">
        <v>0</v>
      </c>
      <c r="P6" s="40"/>
      <c r="Q6" s="56">
        <v>0</v>
      </c>
      <c r="R6" s="40" t="s">
        <v>81</v>
      </c>
      <c r="S6" s="40" t="s">
        <v>81</v>
      </c>
      <c r="T6" s="40">
        <v>0</v>
      </c>
      <c r="U6" s="250">
        <v>0</v>
      </c>
      <c r="V6" s="40">
        <v>0</v>
      </c>
      <c r="W6" s="40"/>
      <c r="X6" s="40"/>
      <c r="Y6" s="69">
        <v>100</v>
      </c>
      <c r="Z6" s="69">
        <v>100</v>
      </c>
      <c r="AA6" s="69">
        <v>100</v>
      </c>
      <c r="AB6" s="69">
        <v>100</v>
      </c>
      <c r="AC6" s="823"/>
      <c r="AD6" s="40"/>
      <c r="AE6" s="40"/>
      <c r="AF6" s="34"/>
      <c r="AG6" s="40"/>
      <c r="AH6" s="40"/>
      <c r="AI6" s="44">
        <v>1417</v>
      </c>
      <c r="AJ6" s="824">
        <f>SUM(C38:AH38)</f>
        <v>107</v>
      </c>
    </row>
    <row r="7" spans="1:36" ht="18.75">
      <c r="A7" s="832">
        <v>2</v>
      </c>
      <c r="B7" s="828" t="s">
        <v>20</v>
      </c>
      <c r="C7" s="768">
        <v>62</v>
      </c>
      <c r="D7" s="732"/>
      <c r="E7" s="733">
        <v>0</v>
      </c>
      <c r="F7" s="697">
        <f t="shared" si="0"/>
        <v>0</v>
      </c>
      <c r="G7" s="733">
        <v>0</v>
      </c>
      <c r="H7" s="699">
        <f t="shared" si="1"/>
        <v>0</v>
      </c>
      <c r="I7" s="733">
        <v>0</v>
      </c>
      <c r="J7" s="699">
        <f t="shared" si="2"/>
        <v>0</v>
      </c>
      <c r="K7" s="637"/>
      <c r="L7" s="733">
        <v>0</v>
      </c>
      <c r="M7" s="734">
        <v>0</v>
      </c>
      <c r="N7" s="696"/>
      <c r="O7" s="732">
        <v>0</v>
      </c>
      <c r="P7" s="732"/>
      <c r="Q7" s="733">
        <v>23</v>
      </c>
      <c r="R7" s="732" t="s">
        <v>81</v>
      </c>
      <c r="S7" s="732" t="s">
        <v>81</v>
      </c>
      <c r="T7" s="732">
        <v>11.54</v>
      </c>
      <c r="U7" s="735">
        <v>0</v>
      </c>
      <c r="V7" s="732">
        <v>1.61</v>
      </c>
      <c r="W7" s="732"/>
      <c r="X7" s="732"/>
      <c r="Y7" s="736">
        <v>0.02</v>
      </c>
      <c r="Z7" s="736">
        <v>0</v>
      </c>
      <c r="AA7" s="736">
        <v>0</v>
      </c>
      <c r="AB7" s="736">
        <v>0.12</v>
      </c>
      <c r="AC7" s="737"/>
      <c r="AD7" s="732"/>
      <c r="AE7" s="732"/>
      <c r="AF7" s="732"/>
      <c r="AG7" s="732"/>
      <c r="AH7" s="732"/>
      <c r="AI7" s="734">
        <v>1322</v>
      </c>
      <c r="AJ7" s="789">
        <f>SUM(C52:AH52)</f>
        <v>105</v>
      </c>
    </row>
    <row r="8" spans="1:36" ht="18.75" hidden="1">
      <c r="A8" s="832">
        <v>3</v>
      </c>
      <c r="B8" s="829" t="s">
        <v>17</v>
      </c>
      <c r="C8" s="766">
        <v>34</v>
      </c>
      <c r="D8" s="711"/>
      <c r="E8" s="714">
        <v>5</v>
      </c>
      <c r="F8" s="697">
        <f t="shared" si="0"/>
        <v>6.4160143718721932E-2</v>
      </c>
      <c r="G8" s="714">
        <v>11</v>
      </c>
      <c r="H8" s="699">
        <f t="shared" si="1"/>
        <v>0.14115231618118826</v>
      </c>
      <c r="I8" s="714">
        <v>7</v>
      </c>
      <c r="J8" s="699">
        <f t="shared" si="2"/>
        <v>8.9824201206210708E-2</v>
      </c>
      <c r="K8" s="738"/>
      <c r="L8" s="714">
        <v>11</v>
      </c>
      <c r="M8" s="713">
        <v>0</v>
      </c>
      <c r="N8" s="696"/>
      <c r="O8" s="711">
        <v>0</v>
      </c>
      <c r="P8" s="711"/>
      <c r="Q8" s="714">
        <v>21</v>
      </c>
      <c r="R8" s="711" t="s">
        <v>81</v>
      </c>
      <c r="S8" s="711" t="s">
        <v>81</v>
      </c>
      <c r="T8" s="711">
        <v>34.549999999999997</v>
      </c>
      <c r="U8" s="715">
        <v>0</v>
      </c>
      <c r="V8" s="711">
        <v>0</v>
      </c>
      <c r="W8" s="711"/>
      <c r="X8" s="711"/>
      <c r="Y8" s="716">
        <v>30.3</v>
      </c>
      <c r="Z8" s="716">
        <v>3</v>
      </c>
      <c r="AA8" s="716">
        <v>3</v>
      </c>
      <c r="AB8" s="716">
        <v>73</v>
      </c>
      <c r="AC8" s="717"/>
      <c r="AD8" s="711"/>
      <c r="AE8" s="711"/>
      <c r="AF8" s="712"/>
      <c r="AG8" s="711"/>
      <c r="AH8" s="711"/>
      <c r="AI8" s="713">
        <v>7793</v>
      </c>
      <c r="AJ8" s="789">
        <f>SUM(C42:AH42)</f>
        <v>104</v>
      </c>
    </row>
    <row r="9" spans="1:36" ht="18.75" hidden="1">
      <c r="A9" s="832">
        <v>4</v>
      </c>
      <c r="B9" s="829" t="s">
        <v>13</v>
      </c>
      <c r="C9" s="766">
        <v>8</v>
      </c>
      <c r="D9" s="723"/>
      <c r="E9" s="714">
        <v>1</v>
      </c>
      <c r="F9" s="697">
        <f t="shared" si="0"/>
        <v>7.0571630204657732E-2</v>
      </c>
      <c r="G9" s="714">
        <v>2</v>
      </c>
      <c r="H9" s="699">
        <f t="shared" si="1"/>
        <v>0.14114326040931546</v>
      </c>
      <c r="I9" s="714">
        <v>1</v>
      </c>
      <c r="J9" s="699">
        <f t="shared" si="2"/>
        <v>7.0571630204657732E-2</v>
      </c>
      <c r="K9" s="723"/>
      <c r="L9" s="714">
        <v>2</v>
      </c>
      <c r="M9" s="713">
        <v>0</v>
      </c>
      <c r="N9" s="722"/>
      <c r="O9" s="711">
        <v>0</v>
      </c>
      <c r="P9" s="725"/>
      <c r="Q9" s="714">
        <v>7</v>
      </c>
      <c r="R9" s="711" t="s">
        <v>81</v>
      </c>
      <c r="S9" s="711" t="s">
        <v>81</v>
      </c>
      <c r="T9" s="712">
        <v>73.319999999999993</v>
      </c>
      <c r="U9" s="715">
        <v>0</v>
      </c>
      <c r="V9" s="711">
        <v>0</v>
      </c>
      <c r="W9" s="712"/>
      <c r="X9" s="712"/>
      <c r="Y9" s="716">
        <v>100</v>
      </c>
      <c r="Z9" s="716">
        <v>100</v>
      </c>
      <c r="AA9" s="716">
        <v>100</v>
      </c>
      <c r="AB9" s="716">
        <v>100</v>
      </c>
      <c r="AC9" s="717"/>
      <c r="AD9" s="712"/>
      <c r="AE9" s="712"/>
      <c r="AF9" s="712"/>
      <c r="AG9" s="712"/>
      <c r="AH9" s="712"/>
      <c r="AI9" s="713">
        <v>1417</v>
      </c>
      <c r="AJ9" s="789">
        <f>SUM(C36:AH36)</f>
        <v>97</v>
      </c>
    </row>
    <row r="10" spans="1:36" ht="18.75">
      <c r="A10" s="832">
        <v>3</v>
      </c>
      <c r="B10" s="830" t="s">
        <v>6</v>
      </c>
      <c r="C10" s="797">
        <v>291</v>
      </c>
      <c r="D10" s="696">
        <v>674255</v>
      </c>
      <c r="E10" s="637">
        <v>15</v>
      </c>
      <c r="F10" s="697">
        <f t="shared" si="0"/>
        <v>4.1866696438539686E-2</v>
      </c>
      <c r="G10" s="698">
        <v>43</v>
      </c>
      <c r="H10" s="699">
        <f t="shared" si="1"/>
        <v>0.12001786312381378</v>
      </c>
      <c r="I10" s="698">
        <v>47</v>
      </c>
      <c r="J10" s="699">
        <f t="shared" si="2"/>
        <v>0.13118231550742435</v>
      </c>
      <c r="K10" s="637"/>
      <c r="L10" s="698">
        <v>19</v>
      </c>
      <c r="M10" s="637">
        <v>0</v>
      </c>
      <c r="N10" s="637"/>
      <c r="O10" s="637">
        <v>0</v>
      </c>
      <c r="P10" s="637"/>
      <c r="Q10" s="698">
        <v>127</v>
      </c>
      <c r="R10" s="637" t="s">
        <v>81</v>
      </c>
      <c r="S10" s="637" t="s">
        <v>81</v>
      </c>
      <c r="T10" s="637">
        <v>50.23</v>
      </c>
      <c r="U10" s="701">
        <f>107*100/C10</f>
        <v>36.769759450171819</v>
      </c>
      <c r="V10" s="637">
        <v>0</v>
      </c>
      <c r="W10" s="637"/>
      <c r="X10" s="637"/>
      <c r="Y10" s="826">
        <v>19</v>
      </c>
      <c r="Z10" s="699">
        <v>16</v>
      </c>
      <c r="AA10" s="699">
        <v>20</v>
      </c>
      <c r="AB10" s="699">
        <v>40</v>
      </c>
      <c r="AC10" s="703"/>
      <c r="AD10" s="637"/>
      <c r="AE10" s="637"/>
      <c r="AF10" s="637"/>
      <c r="AG10" s="637"/>
      <c r="AH10" s="637"/>
      <c r="AI10" s="696">
        <v>35828</v>
      </c>
      <c r="AJ10" s="789">
        <f>SUM(C48:AH48)</f>
        <v>95</v>
      </c>
    </row>
    <row r="11" spans="1:36" ht="18.75">
      <c r="A11" s="832">
        <v>4</v>
      </c>
      <c r="B11" s="829" t="s">
        <v>57</v>
      </c>
      <c r="C11" s="765">
        <v>12</v>
      </c>
      <c r="D11" s="712"/>
      <c r="E11" s="714">
        <v>2</v>
      </c>
      <c r="F11" s="697">
        <f t="shared" si="0"/>
        <v>8.3056478405315617E-2</v>
      </c>
      <c r="G11" s="714">
        <v>4</v>
      </c>
      <c r="H11" s="699">
        <f t="shared" si="1"/>
        <v>0.16611295681063123</v>
      </c>
      <c r="I11" s="714">
        <v>2</v>
      </c>
      <c r="J11" s="699">
        <f t="shared" si="2"/>
        <v>8.3056478405315617E-2</v>
      </c>
      <c r="K11" s="724"/>
      <c r="L11" s="714">
        <v>4</v>
      </c>
      <c r="M11" s="713">
        <v>0</v>
      </c>
      <c r="N11" s="696"/>
      <c r="O11" s="712">
        <v>0</v>
      </c>
      <c r="P11" s="712"/>
      <c r="Q11" s="714">
        <v>0</v>
      </c>
      <c r="R11" s="712" t="s">
        <v>81</v>
      </c>
      <c r="S11" s="712" t="s">
        <v>81</v>
      </c>
      <c r="T11" s="712">
        <v>0</v>
      </c>
      <c r="U11" s="715">
        <v>0</v>
      </c>
      <c r="V11" s="712">
        <v>0</v>
      </c>
      <c r="W11" s="712"/>
      <c r="X11" s="712"/>
      <c r="Y11" s="695"/>
      <c r="Z11" s="716"/>
      <c r="AA11" s="716"/>
      <c r="AB11" s="716"/>
      <c r="AC11" s="717"/>
      <c r="AD11" s="712"/>
      <c r="AE11" s="712"/>
      <c r="AF11" s="712"/>
      <c r="AG11" s="712"/>
      <c r="AH11" s="712"/>
      <c r="AI11" s="713">
        <v>2408</v>
      </c>
      <c r="AJ11" s="789">
        <f>SUM(C62:AH62)</f>
        <v>94</v>
      </c>
    </row>
    <row r="12" spans="1:36" ht="18.75">
      <c r="A12" s="832">
        <v>5</v>
      </c>
      <c r="B12" s="829" t="s">
        <v>60</v>
      </c>
      <c r="C12" s="766">
        <v>11</v>
      </c>
      <c r="D12" s="712"/>
      <c r="E12" s="714">
        <v>2</v>
      </c>
      <c r="F12" s="697">
        <f t="shared" si="0"/>
        <v>7.130124777183601E-2</v>
      </c>
      <c r="G12" s="714">
        <v>7</v>
      </c>
      <c r="H12" s="699">
        <f t="shared" si="1"/>
        <v>0.24955436720142604</v>
      </c>
      <c r="I12" s="714">
        <v>3</v>
      </c>
      <c r="J12" s="699">
        <f t="shared" si="2"/>
        <v>0.10695187165775401</v>
      </c>
      <c r="K12" s="637"/>
      <c r="L12" s="714">
        <v>7</v>
      </c>
      <c r="M12" s="713">
        <v>0</v>
      </c>
      <c r="N12" s="696"/>
      <c r="O12" s="712">
        <v>0</v>
      </c>
      <c r="P12" s="712"/>
      <c r="Q12" s="714">
        <v>10</v>
      </c>
      <c r="R12" s="712" t="s">
        <v>81</v>
      </c>
      <c r="S12" s="712" t="s">
        <v>81</v>
      </c>
      <c r="T12" s="712">
        <v>0.87</v>
      </c>
      <c r="U12" s="715">
        <v>0</v>
      </c>
      <c r="V12" s="712">
        <v>0</v>
      </c>
      <c r="W12" s="712"/>
      <c r="X12" s="712"/>
      <c r="Y12" s="716">
        <v>45</v>
      </c>
      <c r="Z12" s="716">
        <v>18</v>
      </c>
      <c r="AA12" s="716">
        <v>18</v>
      </c>
      <c r="AB12" s="716">
        <v>18</v>
      </c>
      <c r="AC12" s="717"/>
      <c r="AD12" s="712"/>
      <c r="AE12" s="712"/>
      <c r="AF12" s="712"/>
      <c r="AG12" s="712"/>
      <c r="AH12" s="712"/>
      <c r="AI12" s="713">
        <v>2805</v>
      </c>
      <c r="AJ12" s="789">
        <f>SUM(C44:AH44)</f>
        <v>94</v>
      </c>
    </row>
    <row r="13" spans="1:36" ht="18.75">
      <c r="A13" s="832">
        <v>6</v>
      </c>
      <c r="B13" s="829" t="s">
        <v>63</v>
      </c>
      <c r="C13" s="766">
        <v>107</v>
      </c>
      <c r="D13" s="725"/>
      <c r="E13" s="714">
        <v>9</v>
      </c>
      <c r="F13" s="697">
        <f t="shared" si="0"/>
        <v>5.4928288068355202E-2</v>
      </c>
      <c r="G13" s="714">
        <v>30</v>
      </c>
      <c r="H13" s="699">
        <f t="shared" si="1"/>
        <v>0.18309429356118401</v>
      </c>
      <c r="I13" s="714">
        <v>24</v>
      </c>
      <c r="J13" s="699">
        <f t="shared" si="2"/>
        <v>0.14647543484894721</v>
      </c>
      <c r="K13" s="718"/>
      <c r="L13" s="714">
        <v>7</v>
      </c>
      <c r="M13" s="713">
        <v>0</v>
      </c>
      <c r="N13" s="696"/>
      <c r="O13" s="711">
        <v>0</v>
      </c>
      <c r="P13" s="725"/>
      <c r="Q13" s="714">
        <v>58</v>
      </c>
      <c r="R13" s="711" t="s">
        <v>81</v>
      </c>
      <c r="S13" s="711" t="s">
        <v>81</v>
      </c>
      <c r="T13" s="711">
        <v>67.8</v>
      </c>
      <c r="U13" s="715">
        <v>0</v>
      </c>
      <c r="V13" s="711">
        <v>0</v>
      </c>
      <c r="W13" s="712"/>
      <c r="X13" s="712"/>
      <c r="Y13" s="716"/>
      <c r="Z13" s="716"/>
      <c r="AA13" s="716"/>
      <c r="AB13" s="716"/>
      <c r="AC13" s="717"/>
      <c r="AD13" s="712"/>
      <c r="AE13" s="712"/>
      <c r="AF13" s="712"/>
      <c r="AG13" s="712"/>
      <c r="AH13" s="712"/>
      <c r="AI13" s="713">
        <f>13697+2688</f>
        <v>16385</v>
      </c>
      <c r="AJ13" s="789">
        <f>SUM(C46:AH46)</f>
        <v>84.6</v>
      </c>
    </row>
    <row r="14" spans="1:36" ht="18.75">
      <c r="A14" s="832">
        <v>7</v>
      </c>
      <c r="B14" s="829" t="s">
        <v>12</v>
      </c>
      <c r="C14" s="766">
        <v>30</v>
      </c>
      <c r="D14" s="725"/>
      <c r="E14" s="714">
        <v>2</v>
      </c>
      <c r="F14" s="697">
        <f t="shared" si="0"/>
        <v>2.9218407596785973E-2</v>
      </c>
      <c r="G14" s="714">
        <v>9</v>
      </c>
      <c r="H14" s="699">
        <f t="shared" si="1"/>
        <v>0.13148283418553688</v>
      </c>
      <c r="I14" s="714">
        <v>16</v>
      </c>
      <c r="J14" s="699">
        <f t="shared" si="2"/>
        <v>0.23374726077428779</v>
      </c>
      <c r="K14" s="738"/>
      <c r="L14" s="714">
        <v>4</v>
      </c>
      <c r="M14" s="713">
        <v>0</v>
      </c>
      <c r="N14" s="722"/>
      <c r="O14" s="679">
        <v>0</v>
      </c>
      <c r="P14" s="723"/>
      <c r="Q14" s="714">
        <v>29</v>
      </c>
      <c r="R14" s="711" t="s">
        <v>81</v>
      </c>
      <c r="S14" s="711" t="s">
        <v>81</v>
      </c>
      <c r="T14" s="711">
        <v>1.4</v>
      </c>
      <c r="U14" s="715">
        <v>0</v>
      </c>
      <c r="V14" s="711">
        <v>0</v>
      </c>
      <c r="W14" s="712"/>
      <c r="X14" s="712"/>
      <c r="Y14" s="716"/>
      <c r="Z14" s="716"/>
      <c r="AA14" s="716"/>
      <c r="AB14" s="716"/>
      <c r="AC14" s="717"/>
      <c r="AD14" s="712"/>
      <c r="AE14" s="712"/>
      <c r="AF14" s="712"/>
      <c r="AG14" s="712"/>
      <c r="AH14" s="712"/>
      <c r="AI14" s="713">
        <f>6170+675</f>
        <v>6845</v>
      </c>
      <c r="AJ14" s="789">
        <f>SUM(C56:AH56)</f>
        <v>65</v>
      </c>
    </row>
    <row r="15" spans="1:36" ht="18.75" hidden="1">
      <c r="A15" s="832">
        <v>10</v>
      </c>
      <c r="B15" s="829"/>
      <c r="C15" s="766"/>
      <c r="D15" s="725"/>
      <c r="E15" s="714"/>
      <c r="F15" s="697"/>
      <c r="G15" s="714"/>
      <c r="H15" s="699"/>
      <c r="I15" s="714"/>
      <c r="J15" s="699"/>
      <c r="K15" s="718"/>
      <c r="L15" s="714"/>
      <c r="M15" s="713"/>
      <c r="N15" s="696"/>
      <c r="O15" s="711"/>
      <c r="P15" s="725"/>
      <c r="Q15" s="714"/>
      <c r="R15" s="711"/>
      <c r="S15" s="711"/>
      <c r="T15" s="711"/>
      <c r="U15" s="715"/>
      <c r="V15" s="711"/>
      <c r="W15" s="712"/>
      <c r="X15" s="712"/>
      <c r="Y15" s="716"/>
      <c r="Z15" s="716"/>
      <c r="AA15" s="716"/>
      <c r="AB15" s="716"/>
      <c r="AC15" s="717"/>
      <c r="AD15" s="712"/>
      <c r="AE15" s="712"/>
      <c r="AF15" s="712"/>
      <c r="AG15" s="712"/>
      <c r="AH15" s="712"/>
      <c r="AI15" s="713"/>
      <c r="AJ15" s="789"/>
    </row>
    <row r="16" spans="1:36" ht="18.75">
      <c r="A16" s="832">
        <v>8</v>
      </c>
      <c r="B16" s="829" t="s">
        <v>58</v>
      </c>
      <c r="C16" s="766">
        <v>158</v>
      </c>
      <c r="D16" s="712"/>
      <c r="E16" s="714">
        <v>19</v>
      </c>
      <c r="F16" s="697">
        <f t="shared" ref="F16:F25" si="3">E16/AI16*100</f>
        <v>3.5457684053373142E-2</v>
      </c>
      <c r="G16" s="714">
        <v>37</v>
      </c>
      <c r="H16" s="699">
        <f t="shared" ref="H16:H25" si="4">G16/AI16*100</f>
        <v>6.9049174209200342E-2</v>
      </c>
      <c r="I16" s="714">
        <v>82</v>
      </c>
      <c r="J16" s="699">
        <f t="shared" ref="J16:J25" si="5">I16/AI16*100</f>
        <v>0.15302789959876831</v>
      </c>
      <c r="K16" s="728"/>
      <c r="L16" s="714">
        <v>31</v>
      </c>
      <c r="M16" s="713">
        <v>0</v>
      </c>
      <c r="N16" s="696"/>
      <c r="O16" s="712" t="s">
        <v>297</v>
      </c>
      <c r="P16" s="712"/>
      <c r="Q16" s="714">
        <v>80</v>
      </c>
      <c r="R16" s="712" t="s">
        <v>81</v>
      </c>
      <c r="S16" s="712" t="s">
        <v>81</v>
      </c>
      <c r="T16" s="712">
        <v>0.69</v>
      </c>
      <c r="U16" s="715">
        <f>66*100/C16</f>
        <v>41.77215189873418</v>
      </c>
      <c r="V16" s="712">
        <v>0</v>
      </c>
      <c r="W16" s="712"/>
      <c r="X16" s="712"/>
      <c r="Y16" s="716"/>
      <c r="Z16" s="716"/>
      <c r="AA16" s="716"/>
      <c r="AB16" s="716"/>
      <c r="AC16" s="717"/>
      <c r="AD16" s="712"/>
      <c r="AE16" s="712"/>
      <c r="AF16" s="712"/>
      <c r="AG16" s="712"/>
      <c r="AH16" s="712"/>
      <c r="AI16" s="713">
        <v>53585</v>
      </c>
      <c r="AJ16" s="789">
        <f>SUM(C54:AH54)</f>
        <v>63</v>
      </c>
    </row>
    <row r="17" spans="1:36" ht="18.75">
      <c r="A17" s="832">
        <v>9</v>
      </c>
      <c r="B17" s="829" t="s">
        <v>56</v>
      </c>
      <c r="C17" s="766">
        <v>526</v>
      </c>
      <c r="D17" s="711">
        <v>1269182</v>
      </c>
      <c r="E17" s="714">
        <v>55</v>
      </c>
      <c r="F17" s="697">
        <f t="shared" si="3"/>
        <v>8.5215828452790424E-2</v>
      </c>
      <c r="G17" s="714">
        <v>234</v>
      </c>
      <c r="H17" s="699">
        <f t="shared" si="4"/>
        <v>0.36255461559914476</v>
      </c>
      <c r="I17" s="714">
        <v>144</v>
      </c>
      <c r="J17" s="699">
        <f t="shared" si="5"/>
        <v>0.22311053267639677</v>
      </c>
      <c r="K17" s="718"/>
      <c r="L17" s="714">
        <v>30</v>
      </c>
      <c r="M17" s="713">
        <v>0</v>
      </c>
      <c r="N17" s="696"/>
      <c r="O17" s="711">
        <v>0</v>
      </c>
      <c r="P17" s="711"/>
      <c r="Q17" s="714">
        <v>141</v>
      </c>
      <c r="R17" s="711" t="s">
        <v>81</v>
      </c>
      <c r="S17" s="711" t="s">
        <v>81</v>
      </c>
      <c r="T17" s="711">
        <v>14.82</v>
      </c>
      <c r="U17" s="715">
        <f>10*100/C17</f>
        <v>1.9011406844106464</v>
      </c>
      <c r="V17" s="711">
        <v>0</v>
      </c>
      <c r="W17" s="711"/>
      <c r="X17" s="711"/>
      <c r="Y17" s="695">
        <v>32.619999999999997</v>
      </c>
      <c r="Z17" s="716">
        <v>49.36</v>
      </c>
      <c r="AA17" s="716">
        <v>50.65</v>
      </c>
      <c r="AB17" s="716">
        <v>64.510000000000005</v>
      </c>
      <c r="AC17" s="717"/>
      <c r="AD17" s="711"/>
      <c r="AE17" s="711"/>
      <c r="AF17" s="712"/>
      <c r="AG17" s="711"/>
      <c r="AH17" s="711"/>
      <c r="AI17" s="713">
        <v>64542</v>
      </c>
      <c r="AJ17" s="789">
        <f>SUM(C64:AH64)</f>
        <v>59.1</v>
      </c>
    </row>
    <row r="18" spans="1:36" ht="18.75">
      <c r="A18" s="832">
        <v>10</v>
      </c>
      <c r="B18" s="828" t="s">
        <v>15</v>
      </c>
      <c r="C18" s="768">
        <v>112</v>
      </c>
      <c r="D18" s="732"/>
      <c r="E18" s="733">
        <v>3</v>
      </c>
      <c r="F18" s="697">
        <f t="shared" si="3"/>
        <v>1.9583523728702919E-2</v>
      </c>
      <c r="G18" s="733">
        <v>7</v>
      </c>
      <c r="H18" s="699">
        <f t="shared" si="4"/>
        <v>4.5694888700306809E-2</v>
      </c>
      <c r="I18" s="733">
        <v>18</v>
      </c>
      <c r="J18" s="699">
        <f t="shared" si="5"/>
        <v>0.11750114237221751</v>
      </c>
      <c r="K18" s="732"/>
      <c r="L18" s="733">
        <v>2</v>
      </c>
      <c r="M18" s="734">
        <v>0</v>
      </c>
      <c r="N18" s="696"/>
      <c r="O18" s="732">
        <v>0</v>
      </c>
      <c r="P18" s="732"/>
      <c r="Q18" s="733">
        <v>76</v>
      </c>
      <c r="R18" s="732" t="s">
        <v>81</v>
      </c>
      <c r="S18" s="732" t="s">
        <v>81</v>
      </c>
      <c r="T18" s="732">
        <v>82.01</v>
      </c>
      <c r="U18" s="735">
        <f>35*100/C18</f>
        <v>31.25</v>
      </c>
      <c r="V18" s="732">
        <v>0</v>
      </c>
      <c r="W18" s="732"/>
      <c r="X18" s="732"/>
      <c r="Y18" s="736">
        <v>72.099999999999994</v>
      </c>
      <c r="Z18" s="736">
        <v>91.6</v>
      </c>
      <c r="AA18" s="736">
        <v>91.1</v>
      </c>
      <c r="AB18" s="736">
        <v>96.6</v>
      </c>
      <c r="AC18" s="737"/>
      <c r="AD18" s="732"/>
      <c r="AE18" s="732"/>
      <c r="AF18" s="732"/>
      <c r="AG18" s="732"/>
      <c r="AH18" s="732"/>
      <c r="AI18" s="734">
        <v>15319</v>
      </c>
      <c r="AJ18" s="789">
        <f>SUM(C28:AH28)</f>
        <v>58</v>
      </c>
    </row>
    <row r="19" spans="1:36" ht="18.75">
      <c r="A19" s="832">
        <v>11</v>
      </c>
      <c r="B19" s="829" t="s">
        <v>9</v>
      </c>
      <c r="C19" s="765">
        <v>120</v>
      </c>
      <c r="D19" s="712"/>
      <c r="E19" s="714">
        <v>46</v>
      </c>
      <c r="F19" s="697">
        <f t="shared" si="3"/>
        <v>0.21064200018316698</v>
      </c>
      <c r="G19" s="714">
        <v>23</v>
      </c>
      <c r="H19" s="699">
        <f t="shared" si="4"/>
        <v>0.10532100009158349</v>
      </c>
      <c r="I19" s="714">
        <v>75</v>
      </c>
      <c r="J19" s="699">
        <f t="shared" si="5"/>
        <v>0.34343804377690268</v>
      </c>
      <c r="K19" s="724"/>
      <c r="L19" s="714">
        <v>1</v>
      </c>
      <c r="M19" s="713">
        <v>0</v>
      </c>
      <c r="N19" s="696"/>
      <c r="O19" s="711">
        <v>0</v>
      </c>
      <c r="P19" s="711"/>
      <c r="Q19" s="714">
        <v>110</v>
      </c>
      <c r="R19" s="711" t="s">
        <v>81</v>
      </c>
      <c r="S19" s="711" t="s">
        <v>81</v>
      </c>
      <c r="T19" s="711">
        <v>65.319999999999993</v>
      </c>
      <c r="U19" s="715">
        <f>117*100/C19</f>
        <v>97.5</v>
      </c>
      <c r="V19" s="711">
        <v>0</v>
      </c>
      <c r="W19" s="712"/>
      <c r="X19" s="712"/>
      <c r="Y19" s="695">
        <v>80.56</v>
      </c>
      <c r="Z19" s="716">
        <v>77.78</v>
      </c>
      <c r="AA19" s="716">
        <v>77.78</v>
      </c>
      <c r="AB19" s="716">
        <v>100</v>
      </c>
      <c r="AC19" s="717"/>
      <c r="AD19" s="712"/>
      <c r="AE19" s="712"/>
      <c r="AF19" s="712"/>
      <c r="AG19" s="712"/>
      <c r="AH19" s="712"/>
      <c r="AI19" s="713">
        <f>21838</f>
        <v>21838</v>
      </c>
      <c r="AJ19" s="789">
        <f>SUM(C32:AH32)</f>
        <v>54.3</v>
      </c>
    </row>
    <row r="20" spans="1:36" ht="18.75">
      <c r="A20" s="832">
        <v>12</v>
      </c>
      <c r="B20" s="830" t="s">
        <v>7</v>
      </c>
      <c r="C20" s="797">
        <v>384</v>
      </c>
      <c r="D20" s="696">
        <v>1086589</v>
      </c>
      <c r="E20" s="637">
        <v>34</v>
      </c>
      <c r="F20" s="697">
        <f t="shared" si="3"/>
        <v>8.2904586574333722E-2</v>
      </c>
      <c r="G20" s="698">
        <v>166</v>
      </c>
      <c r="H20" s="699">
        <f t="shared" si="4"/>
        <v>0.40476945209821757</v>
      </c>
      <c r="I20" s="698">
        <v>132</v>
      </c>
      <c r="J20" s="699">
        <f t="shared" si="5"/>
        <v>0.32186486552388383</v>
      </c>
      <c r="K20" s="700"/>
      <c r="L20" s="698">
        <v>26</v>
      </c>
      <c r="M20" s="637">
        <v>0</v>
      </c>
      <c r="N20" s="637"/>
      <c r="O20" s="637" t="s">
        <v>296</v>
      </c>
      <c r="P20" s="637"/>
      <c r="Q20" s="698">
        <v>71</v>
      </c>
      <c r="R20" s="637" t="s">
        <v>81</v>
      </c>
      <c r="S20" s="637" t="s">
        <v>81</v>
      </c>
      <c r="T20" s="637">
        <v>36.24</v>
      </c>
      <c r="U20" s="701">
        <f>26*100/C20</f>
        <v>6.770833333333333</v>
      </c>
      <c r="V20" s="637">
        <v>5.73</v>
      </c>
      <c r="W20" s="637"/>
      <c r="X20" s="637"/>
      <c r="Y20" s="702">
        <v>5.6</v>
      </c>
      <c r="Z20" s="701">
        <v>6</v>
      </c>
      <c r="AA20" s="701">
        <v>11.3</v>
      </c>
      <c r="AB20" s="701">
        <v>7</v>
      </c>
      <c r="AC20" s="703"/>
      <c r="AD20" s="637"/>
      <c r="AE20" s="637"/>
      <c r="AF20" s="637"/>
      <c r="AG20" s="637"/>
      <c r="AH20" s="637"/>
      <c r="AI20" s="696">
        <v>41011</v>
      </c>
      <c r="AJ20" s="789">
        <v>54</v>
      </c>
    </row>
    <row r="21" spans="1:36" ht="18.75">
      <c r="A21" s="832">
        <v>13</v>
      </c>
      <c r="B21" s="828" t="s">
        <v>11</v>
      </c>
      <c r="C21" s="768">
        <v>18</v>
      </c>
      <c r="D21" s="732"/>
      <c r="E21" s="733">
        <v>2</v>
      </c>
      <c r="F21" s="697">
        <f t="shared" si="3"/>
        <v>1.8463810930576072E-2</v>
      </c>
      <c r="G21" s="733">
        <v>9</v>
      </c>
      <c r="H21" s="699">
        <f t="shared" si="4"/>
        <v>8.3087149187592316E-2</v>
      </c>
      <c r="I21" s="733">
        <v>20</v>
      </c>
      <c r="J21" s="699">
        <f t="shared" si="5"/>
        <v>0.18463810930576069</v>
      </c>
      <c r="K21" s="700"/>
      <c r="L21" s="733">
        <v>1</v>
      </c>
      <c r="M21" s="734">
        <v>0</v>
      </c>
      <c r="N21" s="696"/>
      <c r="O21" s="732">
        <v>0</v>
      </c>
      <c r="P21" s="732"/>
      <c r="Q21" s="733">
        <v>0</v>
      </c>
      <c r="R21" s="732" t="s">
        <v>81</v>
      </c>
      <c r="S21" s="732" t="s">
        <v>81</v>
      </c>
      <c r="T21" s="732">
        <v>0</v>
      </c>
      <c r="U21" s="735">
        <f>2*100/C21</f>
        <v>11.111111111111111</v>
      </c>
      <c r="V21" s="732">
        <v>0</v>
      </c>
      <c r="W21" s="732"/>
      <c r="X21" s="732"/>
      <c r="Y21" s="736">
        <v>100</v>
      </c>
      <c r="Z21" s="736">
        <v>66.599999999999994</v>
      </c>
      <c r="AA21" s="736">
        <v>66.599999999999994</v>
      </c>
      <c r="AB21" s="736">
        <v>100</v>
      </c>
      <c r="AC21" s="737"/>
      <c r="AD21" s="732"/>
      <c r="AE21" s="732"/>
      <c r="AF21" s="732"/>
      <c r="AG21" s="732"/>
      <c r="AH21" s="732"/>
      <c r="AI21" s="734">
        <v>10832</v>
      </c>
      <c r="AJ21" s="789">
        <f>SUM(C40:AH40)</f>
        <v>52.9</v>
      </c>
    </row>
    <row r="22" spans="1:36" ht="18.75">
      <c r="A22" s="832">
        <v>14</v>
      </c>
      <c r="B22" s="829" t="s">
        <v>8</v>
      </c>
      <c r="C22" s="766">
        <v>561</v>
      </c>
      <c r="D22" s="711">
        <v>1190658</v>
      </c>
      <c r="E22" s="714">
        <v>24</v>
      </c>
      <c r="F22" s="697">
        <f t="shared" si="3"/>
        <v>4.189944134078212E-2</v>
      </c>
      <c r="G22" s="714">
        <v>167</v>
      </c>
      <c r="H22" s="699">
        <f t="shared" si="4"/>
        <v>0.29155027932960892</v>
      </c>
      <c r="I22" s="714">
        <v>91</v>
      </c>
      <c r="J22" s="699">
        <f t="shared" si="5"/>
        <v>0.15886871508379888</v>
      </c>
      <c r="K22" s="720"/>
      <c r="L22" s="714">
        <v>17</v>
      </c>
      <c r="M22" s="721">
        <v>0</v>
      </c>
      <c r="N22" s="722"/>
      <c r="O22" s="712" t="s">
        <v>298</v>
      </c>
      <c r="P22" s="723"/>
      <c r="Q22" s="714">
        <v>179</v>
      </c>
      <c r="R22" s="711" t="s">
        <v>81</v>
      </c>
      <c r="S22" s="711" t="s">
        <v>81</v>
      </c>
      <c r="T22" s="711">
        <v>87.14</v>
      </c>
      <c r="U22" s="715">
        <f>23*100/C22</f>
        <v>4.0998217468805702</v>
      </c>
      <c r="V22" s="711">
        <v>16.22</v>
      </c>
      <c r="W22" s="712"/>
      <c r="X22" s="712"/>
      <c r="Y22" s="695">
        <v>7.3</v>
      </c>
      <c r="Z22" s="716">
        <v>6.8</v>
      </c>
      <c r="AA22" s="716">
        <v>6.8</v>
      </c>
      <c r="AB22" s="716">
        <v>59.3</v>
      </c>
      <c r="AC22" s="717"/>
      <c r="AD22" s="712"/>
      <c r="AE22" s="712"/>
      <c r="AF22" s="712"/>
      <c r="AG22" s="712"/>
      <c r="AH22" s="712"/>
      <c r="AI22" s="713">
        <v>57280</v>
      </c>
      <c r="AJ22" s="789">
        <f>SUM(C50:AH50)</f>
        <v>50</v>
      </c>
    </row>
    <row r="23" spans="1:36" ht="18.75">
      <c r="A23" s="832">
        <v>15</v>
      </c>
      <c r="B23" s="829" t="s">
        <v>59</v>
      </c>
      <c r="C23" s="766">
        <v>6</v>
      </c>
      <c r="D23" s="712"/>
      <c r="E23" s="714">
        <v>0</v>
      </c>
      <c r="F23" s="697">
        <f t="shared" si="3"/>
        <v>0</v>
      </c>
      <c r="G23" s="714">
        <v>1</v>
      </c>
      <c r="H23" s="699">
        <f t="shared" si="4"/>
        <v>9.2250922509225092E-2</v>
      </c>
      <c r="I23" s="714">
        <v>1</v>
      </c>
      <c r="J23" s="699">
        <f t="shared" si="5"/>
        <v>9.2250922509225092E-2</v>
      </c>
      <c r="K23" s="637"/>
      <c r="L23" s="714">
        <v>1</v>
      </c>
      <c r="M23" s="713">
        <v>0</v>
      </c>
      <c r="N23" s="696"/>
      <c r="O23" s="712">
        <v>0</v>
      </c>
      <c r="P23" s="712"/>
      <c r="Q23" s="714">
        <v>2</v>
      </c>
      <c r="R23" s="712" t="s">
        <v>81</v>
      </c>
      <c r="S23" s="712" t="s">
        <v>81</v>
      </c>
      <c r="T23" s="712">
        <v>87.6</v>
      </c>
      <c r="U23" s="715">
        <v>0</v>
      </c>
      <c r="V23" s="712">
        <v>0</v>
      </c>
      <c r="W23" s="712"/>
      <c r="X23" s="712"/>
      <c r="Y23" s="716">
        <v>100</v>
      </c>
      <c r="Z23" s="716">
        <v>33.299999999999997</v>
      </c>
      <c r="AA23" s="716">
        <v>50</v>
      </c>
      <c r="AB23" s="716">
        <v>100</v>
      </c>
      <c r="AC23" s="717"/>
      <c r="AD23" s="712"/>
      <c r="AE23" s="712"/>
      <c r="AF23" s="712"/>
      <c r="AG23" s="712"/>
      <c r="AH23" s="712"/>
      <c r="AI23" s="713">
        <v>1084</v>
      </c>
      <c r="AJ23" s="789">
        <f>SUM(C34:AH34)</f>
        <v>43</v>
      </c>
    </row>
    <row r="24" spans="1:36" ht="18.75">
      <c r="A24" s="832">
        <v>16</v>
      </c>
      <c r="B24" s="829" t="s">
        <v>14</v>
      </c>
      <c r="C24" s="766">
        <v>34</v>
      </c>
      <c r="D24" s="712"/>
      <c r="E24" s="714">
        <v>4</v>
      </c>
      <c r="F24" s="697">
        <f t="shared" si="3"/>
        <v>1.8294914013904134E-2</v>
      </c>
      <c r="G24" s="714">
        <v>0</v>
      </c>
      <c r="H24" s="699">
        <f t="shared" si="4"/>
        <v>0</v>
      </c>
      <c r="I24" s="714">
        <v>22</v>
      </c>
      <c r="J24" s="699">
        <f t="shared" si="5"/>
        <v>0.10062202707647275</v>
      </c>
      <c r="K24" s="637"/>
      <c r="L24" s="714">
        <v>0</v>
      </c>
      <c r="M24" s="713">
        <v>0</v>
      </c>
      <c r="N24" s="696"/>
      <c r="O24" s="711">
        <v>0</v>
      </c>
      <c r="P24" s="711"/>
      <c r="Q24" s="714">
        <v>27</v>
      </c>
      <c r="R24" s="711" t="s">
        <v>81</v>
      </c>
      <c r="S24" s="711" t="s">
        <v>81</v>
      </c>
      <c r="T24" s="711">
        <v>0</v>
      </c>
      <c r="U24" s="715">
        <f>27*100/C24</f>
        <v>79.411764705882348</v>
      </c>
      <c r="V24" s="711">
        <v>0</v>
      </c>
      <c r="W24" s="712"/>
      <c r="X24" s="712"/>
      <c r="Y24" s="716">
        <v>96.67</v>
      </c>
      <c r="Z24" s="716">
        <v>93.33</v>
      </c>
      <c r="AA24" s="716">
        <v>93.33</v>
      </c>
      <c r="AB24" s="716">
        <v>66.900000000000006</v>
      </c>
      <c r="AC24" s="717"/>
      <c r="AD24" s="712"/>
      <c r="AE24" s="712"/>
      <c r="AF24" s="712"/>
      <c r="AG24" s="712"/>
      <c r="AH24" s="712"/>
      <c r="AI24" s="713">
        <v>21864</v>
      </c>
      <c r="AJ24" s="789">
        <f>SUM(C30:AH30)</f>
        <v>37.4</v>
      </c>
    </row>
    <row r="25" spans="1:36" ht="19.5" thickBot="1">
      <c r="A25" s="833">
        <v>17</v>
      </c>
      <c r="B25" s="831" t="s">
        <v>10</v>
      </c>
      <c r="C25" s="803">
        <v>20</v>
      </c>
      <c r="D25" s="804"/>
      <c r="E25" s="805">
        <v>3</v>
      </c>
      <c r="F25" s="619">
        <f t="shared" si="3"/>
        <v>2.3317270324887299E-2</v>
      </c>
      <c r="G25" s="805">
        <v>6</v>
      </c>
      <c r="H25" s="620">
        <f t="shared" si="4"/>
        <v>4.6634540649774597E-2</v>
      </c>
      <c r="I25" s="805">
        <v>9</v>
      </c>
      <c r="J25" s="620">
        <f t="shared" si="5"/>
        <v>6.9951810974661896E-2</v>
      </c>
      <c r="K25" s="820"/>
      <c r="L25" s="821">
        <v>0</v>
      </c>
      <c r="M25" s="822">
        <v>0</v>
      </c>
      <c r="N25" s="601"/>
      <c r="O25" s="809">
        <v>0</v>
      </c>
      <c r="P25" s="809"/>
      <c r="Q25" s="805">
        <v>18</v>
      </c>
      <c r="R25" s="809" t="s">
        <v>81</v>
      </c>
      <c r="S25" s="809" t="s">
        <v>81</v>
      </c>
      <c r="T25" s="807">
        <v>40.5</v>
      </c>
      <c r="U25" s="808">
        <f>17*100/C25</f>
        <v>85</v>
      </c>
      <c r="V25" s="807">
        <v>0</v>
      </c>
      <c r="W25" s="809"/>
      <c r="X25" s="809"/>
      <c r="Y25" s="540">
        <v>95</v>
      </c>
      <c r="Z25" s="810">
        <v>85</v>
      </c>
      <c r="AA25" s="810">
        <v>85</v>
      </c>
      <c r="AB25" s="810">
        <v>100</v>
      </c>
      <c r="AC25" s="811"/>
      <c r="AD25" s="809"/>
      <c r="AE25" s="809"/>
      <c r="AF25" s="809"/>
      <c r="AG25" s="809"/>
      <c r="AH25" s="809"/>
      <c r="AI25" s="806">
        <v>12866</v>
      </c>
      <c r="AJ25" s="790">
        <f>SUM(C26:AH26)</f>
        <v>30.4</v>
      </c>
    </row>
    <row r="26" spans="1:36" ht="18.75" hidden="1">
      <c r="A26" s="816"/>
      <c r="B26" s="817"/>
      <c r="C26" s="818"/>
      <c r="D26" s="755"/>
      <c r="E26" s="751"/>
      <c r="F26" s="754">
        <v>4</v>
      </c>
      <c r="G26" s="754"/>
      <c r="H26" s="754">
        <v>0</v>
      </c>
      <c r="I26" s="754"/>
      <c r="J26" s="754">
        <v>2</v>
      </c>
      <c r="K26" s="751">
        <v>-0.6</v>
      </c>
      <c r="L26" s="754"/>
      <c r="M26" s="751">
        <v>10</v>
      </c>
      <c r="N26" s="751"/>
      <c r="O26" s="751">
        <v>1</v>
      </c>
      <c r="P26" s="751"/>
      <c r="Q26" s="754">
        <v>8</v>
      </c>
      <c r="R26" s="751">
        <v>0</v>
      </c>
      <c r="S26" s="751">
        <v>0</v>
      </c>
      <c r="T26" s="751">
        <v>6</v>
      </c>
      <c r="U26" s="756">
        <v>0</v>
      </c>
      <c r="V26" s="751">
        <v>0</v>
      </c>
      <c r="W26" s="751"/>
      <c r="X26" s="751"/>
      <c r="Y26" s="819"/>
      <c r="Z26" s="751"/>
      <c r="AA26" s="751"/>
      <c r="AB26" s="751"/>
      <c r="AC26" s="757"/>
      <c r="AD26" s="751"/>
      <c r="AE26" s="751"/>
      <c r="AF26" s="751"/>
      <c r="AG26" s="751"/>
      <c r="AH26" s="751"/>
      <c r="AI26" s="755"/>
      <c r="AJ26" s="788"/>
    </row>
    <row r="28" spans="1:36" ht="18.75" hidden="1">
      <c r="A28" s="760"/>
      <c r="B28" s="771"/>
      <c r="C28" s="764"/>
      <c r="D28" s="706"/>
      <c r="E28" s="705"/>
      <c r="F28" s="707">
        <v>7</v>
      </c>
      <c r="G28" s="707"/>
      <c r="H28" s="707">
        <f>7</f>
        <v>7</v>
      </c>
      <c r="I28" s="707"/>
      <c r="J28" s="707">
        <v>6</v>
      </c>
      <c r="K28" s="705">
        <v>-2</v>
      </c>
      <c r="L28" s="707"/>
      <c r="M28" s="705">
        <v>10</v>
      </c>
      <c r="N28" s="705"/>
      <c r="O28" s="705">
        <v>10</v>
      </c>
      <c r="P28" s="705"/>
      <c r="Q28" s="707">
        <v>10</v>
      </c>
      <c r="R28" s="705">
        <v>0</v>
      </c>
      <c r="S28" s="705">
        <v>0</v>
      </c>
      <c r="T28" s="705">
        <v>6</v>
      </c>
      <c r="U28" s="708">
        <v>4</v>
      </c>
      <c r="V28" s="705">
        <v>0</v>
      </c>
      <c r="W28" s="705"/>
      <c r="X28" s="705"/>
      <c r="Y28" s="709"/>
      <c r="Z28" s="705"/>
      <c r="AA28" s="705"/>
      <c r="AB28" s="705"/>
      <c r="AC28" s="710"/>
      <c r="AD28" s="705"/>
      <c r="AE28" s="705"/>
      <c r="AF28" s="705"/>
      <c r="AG28" s="705"/>
      <c r="AH28" s="705"/>
      <c r="AI28" s="706"/>
      <c r="AJ28" s="789"/>
    </row>
    <row r="30" spans="1:36" ht="18.75" hidden="1">
      <c r="A30" s="760"/>
      <c r="B30" s="771"/>
      <c r="C30" s="767"/>
      <c r="D30" s="704"/>
      <c r="E30" s="707"/>
      <c r="F30" s="707">
        <v>3</v>
      </c>
      <c r="G30" s="707"/>
      <c r="H30" s="707">
        <v>0</v>
      </c>
      <c r="I30" s="707"/>
      <c r="J30" s="707">
        <v>3</v>
      </c>
      <c r="K30" s="704">
        <v>-0.6</v>
      </c>
      <c r="L30" s="707">
        <v>0</v>
      </c>
      <c r="M30" s="706">
        <v>10</v>
      </c>
      <c r="N30" s="706"/>
      <c r="O30" s="704">
        <v>10</v>
      </c>
      <c r="P30" s="704"/>
      <c r="Q30" s="707">
        <v>10</v>
      </c>
      <c r="R30" s="704">
        <v>0</v>
      </c>
      <c r="S30" s="704">
        <v>0</v>
      </c>
      <c r="T30" s="704">
        <v>2</v>
      </c>
      <c r="U30" s="708">
        <v>0</v>
      </c>
      <c r="V30" s="704">
        <v>0</v>
      </c>
      <c r="W30" s="704"/>
      <c r="X30" s="704"/>
      <c r="Y30" s="709"/>
      <c r="Z30" s="704"/>
      <c r="AA30" s="704"/>
      <c r="AB30" s="704"/>
      <c r="AC30" s="719"/>
      <c r="AD30" s="704"/>
      <c r="AE30" s="704"/>
      <c r="AF30" s="705"/>
      <c r="AG30" s="704"/>
      <c r="AH30" s="704"/>
      <c r="AI30" s="706"/>
      <c r="AJ30" s="789"/>
    </row>
    <row r="32" spans="1:36" ht="18.75" hidden="1">
      <c r="A32" s="760"/>
      <c r="B32" s="773"/>
      <c r="C32" s="767"/>
      <c r="D32" s="704"/>
      <c r="E32" s="707"/>
      <c r="F32" s="707">
        <v>7</v>
      </c>
      <c r="G32" s="707"/>
      <c r="H32" s="707">
        <v>4</v>
      </c>
      <c r="I32" s="707"/>
      <c r="J32" s="707">
        <v>6</v>
      </c>
      <c r="K32" s="704">
        <v>-1.7</v>
      </c>
      <c r="L32" s="707">
        <v>1</v>
      </c>
      <c r="M32" s="706">
        <v>10</v>
      </c>
      <c r="N32" s="706"/>
      <c r="O32" s="705">
        <v>7</v>
      </c>
      <c r="P32" s="705"/>
      <c r="Q32" s="707">
        <v>10</v>
      </c>
      <c r="R32" s="704">
        <v>0</v>
      </c>
      <c r="S32" s="704">
        <v>0</v>
      </c>
      <c r="T32" s="704">
        <v>9</v>
      </c>
      <c r="U32" s="708">
        <v>0</v>
      </c>
      <c r="V32" s="704">
        <v>2</v>
      </c>
      <c r="W32" s="705"/>
      <c r="X32" s="705"/>
      <c r="Y32" s="709"/>
      <c r="Z32" s="705"/>
      <c r="AA32" s="705"/>
      <c r="AB32" s="705"/>
      <c r="AC32" s="710"/>
      <c r="AD32" s="705"/>
      <c r="AE32" s="705"/>
      <c r="AF32" s="705"/>
      <c r="AG32" s="705"/>
      <c r="AH32" s="705"/>
      <c r="AI32" s="706"/>
      <c r="AJ32" s="789"/>
    </row>
    <row r="34" spans="1:36" ht="18.75" hidden="1">
      <c r="A34" s="760"/>
      <c r="B34" s="771"/>
      <c r="C34" s="764"/>
      <c r="D34" s="705"/>
      <c r="E34" s="707"/>
      <c r="F34" s="707">
        <v>4</v>
      </c>
      <c r="G34" s="707"/>
      <c r="H34" s="707">
        <v>0</v>
      </c>
      <c r="I34" s="707"/>
      <c r="J34" s="707">
        <v>9</v>
      </c>
      <c r="K34" s="705"/>
      <c r="L34" s="707">
        <v>10</v>
      </c>
      <c r="M34" s="706">
        <v>10</v>
      </c>
      <c r="N34" s="706"/>
      <c r="O34" s="705">
        <v>10</v>
      </c>
      <c r="P34" s="705"/>
      <c r="Q34" s="707">
        <v>0</v>
      </c>
      <c r="R34" s="705">
        <v>0</v>
      </c>
      <c r="S34" s="705">
        <v>0</v>
      </c>
      <c r="T34" s="705">
        <v>0</v>
      </c>
      <c r="U34" s="708">
        <v>0</v>
      </c>
      <c r="V34" s="705">
        <v>0</v>
      </c>
      <c r="W34" s="705"/>
      <c r="X34" s="705"/>
      <c r="Y34" s="709"/>
      <c r="Z34" s="705"/>
      <c r="AA34" s="705"/>
      <c r="AB34" s="705"/>
      <c r="AC34" s="710"/>
      <c r="AD34" s="705"/>
      <c r="AE34" s="705"/>
      <c r="AF34" s="705"/>
      <c r="AG34" s="705"/>
      <c r="AH34" s="705"/>
      <c r="AI34" s="706"/>
      <c r="AJ34" s="789"/>
    </row>
    <row r="36" spans="1:36" ht="18.75" hidden="1">
      <c r="A36" s="760"/>
      <c r="B36" s="771"/>
      <c r="C36" s="764"/>
      <c r="D36" s="705"/>
      <c r="E36" s="707"/>
      <c r="F36" s="707">
        <v>0</v>
      </c>
      <c r="G36" s="707"/>
      <c r="H36" s="707">
        <v>5</v>
      </c>
      <c r="I36" s="707"/>
      <c r="J36" s="707">
        <v>0</v>
      </c>
      <c r="K36" s="705"/>
      <c r="L36" s="707">
        <v>10</v>
      </c>
      <c r="M36" s="706">
        <v>10</v>
      </c>
      <c r="N36" s="706"/>
      <c r="O36" s="704">
        <v>10</v>
      </c>
      <c r="P36" s="704"/>
      <c r="Q36" s="707">
        <v>10</v>
      </c>
      <c r="R36" s="704">
        <v>0</v>
      </c>
      <c r="S36" s="704">
        <v>0</v>
      </c>
      <c r="T36" s="704">
        <v>7</v>
      </c>
      <c r="U36" s="708">
        <v>10</v>
      </c>
      <c r="V36" s="704">
        <v>0</v>
      </c>
      <c r="W36" s="705"/>
      <c r="X36" s="705"/>
      <c r="Y36" s="709">
        <v>9</v>
      </c>
      <c r="Z36" s="705">
        <v>8</v>
      </c>
      <c r="AA36" s="705">
        <v>8</v>
      </c>
      <c r="AB36" s="705">
        <v>10</v>
      </c>
      <c r="AC36" s="710"/>
      <c r="AD36" s="705"/>
      <c r="AE36" s="705"/>
      <c r="AF36" s="705"/>
      <c r="AG36" s="705"/>
      <c r="AH36" s="705"/>
      <c r="AI36" s="706"/>
      <c r="AJ36" s="789"/>
    </row>
    <row r="38" spans="1:36" ht="18.75" hidden="1">
      <c r="A38" s="760"/>
      <c r="B38" s="773"/>
      <c r="C38" s="767"/>
      <c r="D38" s="704"/>
      <c r="E38" s="707"/>
      <c r="F38" s="707">
        <v>9</v>
      </c>
      <c r="G38" s="707"/>
      <c r="H38" s="707">
        <v>8</v>
      </c>
      <c r="I38" s="707"/>
      <c r="J38" s="707">
        <v>8</v>
      </c>
      <c r="K38" s="704"/>
      <c r="L38" s="726">
        <v>8</v>
      </c>
      <c r="M38" s="727">
        <v>10</v>
      </c>
      <c r="N38" s="727"/>
      <c r="O38" s="705">
        <v>10</v>
      </c>
      <c r="P38" s="705"/>
      <c r="Q38" s="707">
        <v>2</v>
      </c>
      <c r="R38" s="705">
        <v>0</v>
      </c>
      <c r="S38" s="705">
        <v>0</v>
      </c>
      <c r="T38" s="704">
        <v>5</v>
      </c>
      <c r="U38" s="708">
        <v>9</v>
      </c>
      <c r="V38" s="704">
        <v>0</v>
      </c>
      <c r="W38" s="705"/>
      <c r="X38" s="705"/>
      <c r="Y38" s="709">
        <v>10</v>
      </c>
      <c r="Z38" s="705">
        <v>9</v>
      </c>
      <c r="AA38" s="705">
        <v>9</v>
      </c>
      <c r="AB38" s="705">
        <v>10</v>
      </c>
      <c r="AC38" s="710"/>
      <c r="AD38" s="705"/>
      <c r="AE38" s="705"/>
      <c r="AF38" s="705"/>
      <c r="AG38" s="705"/>
      <c r="AH38" s="705"/>
      <c r="AI38" s="706"/>
      <c r="AJ38" s="789"/>
    </row>
    <row r="40" spans="1:36" ht="18.75" hidden="1">
      <c r="A40" s="760"/>
      <c r="B40" s="771"/>
      <c r="C40" s="767"/>
      <c r="D40" s="705"/>
      <c r="E40" s="707"/>
      <c r="F40" s="707">
        <v>8</v>
      </c>
      <c r="G40" s="707"/>
      <c r="H40" s="707">
        <v>9</v>
      </c>
      <c r="I40" s="707"/>
      <c r="J40" s="707">
        <v>4</v>
      </c>
      <c r="K40" s="705">
        <v>-2.1</v>
      </c>
      <c r="L40" s="707">
        <v>3</v>
      </c>
      <c r="M40" s="706">
        <v>10</v>
      </c>
      <c r="N40" s="706"/>
      <c r="O40" s="705">
        <v>7</v>
      </c>
      <c r="P40" s="705"/>
      <c r="Q40" s="707">
        <v>9</v>
      </c>
      <c r="R40" s="705">
        <v>0</v>
      </c>
      <c r="S40" s="705">
        <v>0</v>
      </c>
      <c r="T40" s="705">
        <v>0</v>
      </c>
      <c r="U40" s="708">
        <v>5</v>
      </c>
      <c r="V40" s="705">
        <v>0</v>
      </c>
      <c r="W40" s="705"/>
      <c r="X40" s="705"/>
      <c r="Y40" s="705"/>
      <c r="Z40" s="705"/>
      <c r="AA40" s="705"/>
      <c r="AB40" s="705"/>
      <c r="AC40" s="710"/>
      <c r="AD40" s="705"/>
      <c r="AE40" s="705"/>
      <c r="AF40" s="705"/>
      <c r="AG40" s="705"/>
      <c r="AH40" s="705"/>
      <c r="AI40" s="706"/>
      <c r="AJ40" s="789"/>
    </row>
    <row r="42" spans="1:36" ht="18.75" hidden="1">
      <c r="A42" s="760"/>
      <c r="B42" s="771"/>
      <c r="C42" s="767"/>
      <c r="D42" s="705"/>
      <c r="E42" s="707"/>
      <c r="F42" s="707">
        <v>9</v>
      </c>
      <c r="G42" s="707"/>
      <c r="H42" s="707">
        <v>9</v>
      </c>
      <c r="I42" s="707"/>
      <c r="J42" s="707">
        <v>8</v>
      </c>
      <c r="K42" s="705"/>
      <c r="L42" s="707">
        <v>10</v>
      </c>
      <c r="M42" s="706">
        <v>10</v>
      </c>
      <c r="N42" s="706"/>
      <c r="O42" s="704">
        <v>10</v>
      </c>
      <c r="P42" s="704"/>
      <c r="Q42" s="707">
        <v>3</v>
      </c>
      <c r="R42" s="704">
        <v>0</v>
      </c>
      <c r="S42" s="704">
        <v>0</v>
      </c>
      <c r="T42" s="704">
        <v>0</v>
      </c>
      <c r="U42" s="708">
        <v>8</v>
      </c>
      <c r="V42" s="704">
        <v>0</v>
      </c>
      <c r="W42" s="705"/>
      <c r="X42" s="705"/>
      <c r="Y42" s="705">
        <v>10</v>
      </c>
      <c r="Z42" s="705">
        <v>10</v>
      </c>
      <c r="AA42" s="705">
        <v>10</v>
      </c>
      <c r="AB42" s="705">
        <v>7</v>
      </c>
      <c r="AC42" s="710"/>
      <c r="AD42" s="705"/>
      <c r="AE42" s="705"/>
      <c r="AF42" s="705"/>
      <c r="AG42" s="705"/>
      <c r="AH42" s="705"/>
      <c r="AI42" s="706"/>
      <c r="AJ42" s="789"/>
    </row>
    <row r="44" spans="1:36" ht="18.75" hidden="1">
      <c r="A44" s="760"/>
      <c r="B44" s="771"/>
      <c r="C44" s="767"/>
      <c r="D44" s="729"/>
      <c r="E44" s="707"/>
      <c r="F44" s="707">
        <v>5</v>
      </c>
      <c r="G44" s="707"/>
      <c r="H44" s="707">
        <v>1</v>
      </c>
      <c r="I44" s="707"/>
      <c r="J44" s="707">
        <v>10</v>
      </c>
      <c r="K44" s="729"/>
      <c r="L44" s="707">
        <v>10</v>
      </c>
      <c r="M44" s="706">
        <v>10</v>
      </c>
      <c r="N44" s="730"/>
      <c r="O44" s="704">
        <v>10</v>
      </c>
      <c r="P44" s="731"/>
      <c r="Q44" s="707">
        <v>0</v>
      </c>
      <c r="R44" s="704">
        <v>0</v>
      </c>
      <c r="S44" s="704">
        <v>0</v>
      </c>
      <c r="T44" s="705">
        <v>8</v>
      </c>
      <c r="U44" s="708">
        <v>0</v>
      </c>
      <c r="V44" s="704">
        <v>0</v>
      </c>
      <c r="W44" s="705"/>
      <c r="X44" s="705"/>
      <c r="Y44" s="705">
        <v>10</v>
      </c>
      <c r="Z44" s="705">
        <v>10</v>
      </c>
      <c r="AA44" s="705">
        <v>10</v>
      </c>
      <c r="AB44" s="705">
        <v>10</v>
      </c>
      <c r="AC44" s="710"/>
      <c r="AD44" s="705"/>
      <c r="AE44" s="705"/>
      <c r="AF44" s="705"/>
      <c r="AG44" s="705"/>
      <c r="AH44" s="705"/>
      <c r="AI44" s="706"/>
      <c r="AJ44" s="789"/>
    </row>
    <row r="46" spans="1:36" ht="18.75" hidden="1">
      <c r="A46" s="760"/>
      <c r="B46" s="771"/>
      <c r="C46" s="767"/>
      <c r="D46" s="705"/>
      <c r="E46" s="707"/>
      <c r="F46" s="707">
        <v>9</v>
      </c>
      <c r="G46" s="707"/>
      <c r="H46" s="707">
        <v>8</v>
      </c>
      <c r="I46" s="707"/>
      <c r="J46" s="707">
        <v>7</v>
      </c>
      <c r="K46" s="705">
        <v>-2.4</v>
      </c>
      <c r="L46" s="707">
        <v>8</v>
      </c>
      <c r="M46" s="706">
        <v>10</v>
      </c>
      <c r="N46" s="706"/>
      <c r="O46" s="705">
        <v>10</v>
      </c>
      <c r="P46" s="705"/>
      <c r="Q46" s="707">
        <v>0</v>
      </c>
      <c r="R46" s="705">
        <v>0</v>
      </c>
      <c r="S46" s="705">
        <v>0</v>
      </c>
      <c r="T46" s="705">
        <v>0</v>
      </c>
      <c r="U46" s="708">
        <v>1</v>
      </c>
      <c r="V46" s="705">
        <v>0</v>
      </c>
      <c r="W46" s="705"/>
      <c r="X46" s="705"/>
      <c r="Y46" s="705">
        <v>10</v>
      </c>
      <c r="Z46" s="705">
        <v>7</v>
      </c>
      <c r="AA46" s="705">
        <v>7</v>
      </c>
      <c r="AB46" s="705">
        <v>10</v>
      </c>
      <c r="AC46" s="710"/>
      <c r="AD46" s="705"/>
      <c r="AE46" s="705"/>
      <c r="AF46" s="705"/>
      <c r="AG46" s="705"/>
      <c r="AH46" s="705"/>
      <c r="AI46" s="706"/>
      <c r="AJ46" s="789"/>
    </row>
    <row r="48" spans="1:36" ht="18.75" hidden="1">
      <c r="A48" s="760"/>
      <c r="B48" s="771"/>
      <c r="C48" s="767"/>
      <c r="D48" s="705"/>
      <c r="E48" s="707"/>
      <c r="F48" s="707">
        <v>10</v>
      </c>
      <c r="G48" s="707"/>
      <c r="H48" s="707">
        <v>6</v>
      </c>
      <c r="I48" s="707"/>
      <c r="J48" s="707">
        <v>10</v>
      </c>
      <c r="K48" s="705"/>
      <c r="L48" s="707">
        <v>10</v>
      </c>
      <c r="M48" s="706">
        <v>10</v>
      </c>
      <c r="N48" s="706"/>
      <c r="O48" s="705">
        <v>10</v>
      </c>
      <c r="P48" s="705"/>
      <c r="Q48" s="707">
        <v>0</v>
      </c>
      <c r="R48" s="705">
        <v>0</v>
      </c>
      <c r="S48" s="705">
        <v>0</v>
      </c>
      <c r="T48" s="705">
        <v>9</v>
      </c>
      <c r="U48" s="708">
        <v>0</v>
      </c>
      <c r="V48" s="705">
        <v>0</v>
      </c>
      <c r="W48" s="705"/>
      <c r="X48" s="705"/>
      <c r="Y48" s="705">
        <v>10</v>
      </c>
      <c r="Z48" s="705">
        <v>4</v>
      </c>
      <c r="AA48" s="705">
        <v>6</v>
      </c>
      <c r="AB48" s="705">
        <v>10</v>
      </c>
      <c r="AC48" s="710"/>
      <c r="AD48" s="705"/>
      <c r="AE48" s="705"/>
      <c r="AF48" s="705"/>
      <c r="AG48" s="705"/>
      <c r="AH48" s="705"/>
      <c r="AI48" s="706"/>
      <c r="AJ48" s="789"/>
    </row>
    <row r="50" spans="1:36" ht="18.75" hidden="1">
      <c r="A50" s="760"/>
      <c r="B50" s="771"/>
      <c r="C50" s="767"/>
      <c r="D50" s="731"/>
      <c r="E50" s="707"/>
      <c r="F50" s="707">
        <v>8</v>
      </c>
      <c r="G50" s="707"/>
      <c r="H50" s="707">
        <v>4</v>
      </c>
      <c r="I50" s="707"/>
      <c r="J50" s="707">
        <v>6</v>
      </c>
      <c r="K50" s="704"/>
      <c r="L50" s="707">
        <v>9</v>
      </c>
      <c r="M50" s="706">
        <v>10</v>
      </c>
      <c r="N50" s="730"/>
      <c r="O50" s="705">
        <v>10</v>
      </c>
      <c r="P50" s="729"/>
      <c r="Q50" s="707">
        <v>3</v>
      </c>
      <c r="R50" s="704">
        <v>0</v>
      </c>
      <c r="S50" s="704">
        <v>0</v>
      </c>
      <c r="T50" s="704">
        <v>0</v>
      </c>
      <c r="U50" s="708">
        <v>0</v>
      </c>
      <c r="V50" s="704">
        <v>0</v>
      </c>
      <c r="W50" s="705"/>
      <c r="X50" s="705"/>
      <c r="Y50" s="705"/>
      <c r="Z50" s="705"/>
      <c r="AA50" s="705"/>
      <c r="AB50" s="705"/>
      <c r="AC50" s="710"/>
      <c r="AD50" s="705"/>
      <c r="AE50" s="705"/>
      <c r="AF50" s="705"/>
      <c r="AG50" s="705"/>
      <c r="AH50" s="705"/>
      <c r="AI50" s="706"/>
      <c r="AJ50" s="789"/>
    </row>
    <row r="52" spans="1:36" ht="18.75" hidden="1">
      <c r="A52" s="760"/>
      <c r="B52" s="771"/>
      <c r="C52" s="767"/>
      <c r="D52" s="705"/>
      <c r="E52" s="707"/>
      <c r="F52" s="707">
        <v>9</v>
      </c>
      <c r="G52" s="707"/>
      <c r="H52" s="707">
        <v>8</v>
      </c>
      <c r="I52" s="707"/>
      <c r="J52" s="707">
        <v>3</v>
      </c>
      <c r="K52" s="705"/>
      <c r="L52" s="707">
        <v>6</v>
      </c>
      <c r="M52" s="706">
        <v>10</v>
      </c>
      <c r="N52" s="706"/>
      <c r="O52" s="705">
        <v>10</v>
      </c>
      <c r="P52" s="705"/>
      <c r="Q52" s="707">
        <v>8</v>
      </c>
      <c r="R52" s="705">
        <v>0</v>
      </c>
      <c r="S52" s="705">
        <v>0</v>
      </c>
      <c r="T52" s="705">
        <v>9</v>
      </c>
      <c r="U52" s="708">
        <v>4</v>
      </c>
      <c r="V52" s="705">
        <v>0</v>
      </c>
      <c r="W52" s="705"/>
      <c r="X52" s="705"/>
      <c r="Y52" s="705">
        <v>8</v>
      </c>
      <c r="Z52" s="705">
        <v>10</v>
      </c>
      <c r="AA52" s="705">
        <v>10</v>
      </c>
      <c r="AB52" s="705">
        <v>10</v>
      </c>
      <c r="AC52" s="719"/>
      <c r="AD52" s="705"/>
      <c r="AE52" s="705"/>
      <c r="AF52" s="705"/>
      <c r="AG52" s="705"/>
      <c r="AH52" s="705"/>
      <c r="AI52" s="706"/>
      <c r="AJ52" s="789"/>
    </row>
    <row r="54" spans="1:36" ht="18.75" hidden="1">
      <c r="A54" s="760"/>
      <c r="B54" s="771"/>
      <c r="C54" s="767"/>
      <c r="D54" s="705"/>
      <c r="E54" s="707"/>
      <c r="F54" s="707">
        <v>5</v>
      </c>
      <c r="G54" s="707"/>
      <c r="H54" s="707">
        <v>7</v>
      </c>
      <c r="I54" s="707"/>
      <c r="J54" s="707">
        <v>9</v>
      </c>
      <c r="K54" s="705"/>
      <c r="L54" s="707">
        <v>10</v>
      </c>
      <c r="M54" s="706">
        <v>10</v>
      </c>
      <c r="N54" s="706"/>
      <c r="O54" s="705">
        <v>10</v>
      </c>
      <c r="P54" s="705"/>
      <c r="Q54" s="707">
        <v>1</v>
      </c>
      <c r="R54" s="705">
        <v>0</v>
      </c>
      <c r="S54" s="705">
        <v>0</v>
      </c>
      <c r="T54" s="705">
        <v>0</v>
      </c>
      <c r="U54" s="708">
        <v>0</v>
      </c>
      <c r="V54" s="705">
        <v>0</v>
      </c>
      <c r="W54" s="705"/>
      <c r="X54" s="705"/>
      <c r="Y54" s="705">
        <v>5</v>
      </c>
      <c r="Z54" s="705">
        <v>2</v>
      </c>
      <c r="AA54" s="705">
        <v>2</v>
      </c>
      <c r="AB54" s="705">
        <v>2</v>
      </c>
      <c r="AC54" s="710"/>
      <c r="AD54" s="705"/>
      <c r="AE54" s="705"/>
      <c r="AF54" s="705"/>
      <c r="AG54" s="705"/>
      <c r="AH54" s="705"/>
      <c r="AI54" s="706"/>
      <c r="AJ54" s="789"/>
    </row>
    <row r="56" spans="1:36" ht="18.75" hidden="1">
      <c r="A56" s="760"/>
      <c r="B56" s="771"/>
      <c r="C56" s="767"/>
      <c r="D56" s="704"/>
      <c r="E56" s="707"/>
      <c r="F56" s="707">
        <v>5</v>
      </c>
      <c r="G56" s="707"/>
      <c r="H56" s="707">
        <v>7</v>
      </c>
      <c r="I56" s="707"/>
      <c r="J56" s="707">
        <v>4</v>
      </c>
      <c r="K56" s="704"/>
      <c r="L56" s="707">
        <v>10</v>
      </c>
      <c r="M56" s="706">
        <v>10</v>
      </c>
      <c r="N56" s="706"/>
      <c r="O56" s="707">
        <v>10</v>
      </c>
      <c r="P56" s="704"/>
      <c r="Q56" s="707">
        <v>3</v>
      </c>
      <c r="R56" s="704">
        <v>0</v>
      </c>
      <c r="S56" s="704">
        <v>0</v>
      </c>
      <c r="T56" s="704">
        <v>4</v>
      </c>
      <c r="U56" s="708">
        <v>0</v>
      </c>
      <c r="V56" s="704">
        <v>0</v>
      </c>
      <c r="W56" s="704"/>
      <c r="X56" s="704"/>
      <c r="Y56" s="707">
        <v>4</v>
      </c>
      <c r="Z56" s="707">
        <v>0</v>
      </c>
      <c r="AA56" s="707">
        <v>0</v>
      </c>
      <c r="AB56" s="707">
        <v>8</v>
      </c>
      <c r="AC56" s="710"/>
      <c r="AD56" s="704"/>
      <c r="AE56" s="704"/>
      <c r="AF56" s="705"/>
      <c r="AG56" s="704"/>
      <c r="AH56" s="704"/>
      <c r="AI56" s="706"/>
      <c r="AJ56" s="789"/>
    </row>
    <row r="57" spans="1:36" ht="18.75" hidden="1">
      <c r="A57" s="761">
        <v>17</v>
      </c>
      <c r="B57" s="772" t="s">
        <v>18</v>
      </c>
      <c r="C57" s="766">
        <v>15</v>
      </c>
      <c r="D57" s="725"/>
      <c r="E57" s="714"/>
      <c r="F57" s="697" t="e">
        <f>E57/AI57*100</f>
        <v>#DIV/0!</v>
      </c>
      <c r="G57" s="714"/>
      <c r="H57" s="699" t="e">
        <f>G57/AI57*100</f>
        <v>#DIV/0!</v>
      </c>
      <c r="I57" s="714"/>
      <c r="J57" s="699" t="e">
        <f>I57/AI57*100</f>
        <v>#DIV/0!</v>
      </c>
      <c r="K57" s="725"/>
      <c r="L57" s="714"/>
      <c r="M57" s="713"/>
      <c r="N57" s="722"/>
      <c r="O57" s="723"/>
      <c r="P57" s="723"/>
      <c r="Q57" s="714">
        <v>10</v>
      </c>
      <c r="R57" s="711"/>
      <c r="S57" s="711"/>
      <c r="T57" s="711">
        <v>0.11</v>
      </c>
      <c r="U57" s="715"/>
      <c r="V57" s="711"/>
      <c r="W57" s="712"/>
      <c r="X57" s="712"/>
      <c r="Y57" s="716"/>
      <c r="Z57" s="716"/>
      <c r="AA57" s="716"/>
      <c r="AB57" s="716"/>
      <c r="AC57" s="717"/>
      <c r="AD57" s="712"/>
      <c r="AE57" s="712"/>
      <c r="AF57" s="712"/>
      <c r="AG57" s="712"/>
      <c r="AH57" s="712"/>
      <c r="AI57" s="713"/>
      <c r="AJ57" s="789">
        <f>SUM(C58:AH58)</f>
        <v>51</v>
      </c>
    </row>
    <row r="58" spans="1:36" ht="18.75" hidden="1">
      <c r="A58" s="760"/>
      <c r="B58" s="771"/>
      <c r="C58" s="767"/>
      <c r="D58" s="731"/>
      <c r="E58" s="707"/>
      <c r="F58" s="707">
        <v>16</v>
      </c>
      <c r="G58" s="707"/>
      <c r="H58" s="707">
        <v>16</v>
      </c>
      <c r="I58" s="707"/>
      <c r="J58" s="707">
        <v>18</v>
      </c>
      <c r="K58" s="731"/>
      <c r="L58" s="707"/>
      <c r="M58" s="706"/>
      <c r="N58" s="730"/>
      <c r="O58" s="729"/>
      <c r="P58" s="729"/>
      <c r="Q58" s="707">
        <v>1</v>
      </c>
      <c r="R58" s="704"/>
      <c r="S58" s="704"/>
      <c r="T58" s="704">
        <v>0</v>
      </c>
      <c r="U58" s="708"/>
      <c r="V58" s="704"/>
      <c r="W58" s="705"/>
      <c r="X58" s="705"/>
      <c r="Y58" s="707"/>
      <c r="Z58" s="707"/>
      <c r="AA58" s="707"/>
      <c r="AB58" s="707"/>
      <c r="AC58" s="710"/>
      <c r="AD58" s="705"/>
      <c r="AE58" s="705"/>
      <c r="AF58" s="705"/>
      <c r="AG58" s="705"/>
      <c r="AH58" s="705"/>
      <c r="AI58" s="706"/>
      <c r="AJ58" s="789"/>
    </row>
    <row r="59" spans="1:36" ht="18.75" hidden="1">
      <c r="A59" s="761">
        <v>18</v>
      </c>
      <c r="B59" s="772" t="s">
        <v>61</v>
      </c>
      <c r="C59" s="766">
        <v>5</v>
      </c>
      <c r="D59" s="712"/>
      <c r="E59" s="714">
        <v>0</v>
      </c>
      <c r="F59" s="697" t="e">
        <f>E59/AI59*100</f>
        <v>#DIV/0!</v>
      </c>
      <c r="G59" s="714"/>
      <c r="H59" s="699" t="e">
        <f>G59/AI59*100</f>
        <v>#DIV/0!</v>
      </c>
      <c r="I59" s="714"/>
      <c r="J59" s="699" t="e">
        <f>I59/AI59*100</f>
        <v>#DIV/0!</v>
      </c>
      <c r="K59" s="712"/>
      <c r="L59" s="714"/>
      <c r="M59" s="713"/>
      <c r="N59" s="696"/>
      <c r="O59" s="712"/>
      <c r="P59" s="712"/>
      <c r="Q59" s="714">
        <v>5</v>
      </c>
      <c r="R59" s="712"/>
      <c r="S59" s="712"/>
      <c r="T59" s="712">
        <v>0</v>
      </c>
      <c r="U59" s="715"/>
      <c r="V59" s="712"/>
      <c r="W59" s="712"/>
      <c r="X59" s="712"/>
      <c r="Y59" s="716"/>
      <c r="Z59" s="716"/>
      <c r="AA59" s="716"/>
      <c r="AB59" s="716"/>
      <c r="AC59" s="717"/>
      <c r="AD59" s="712"/>
      <c r="AE59" s="712"/>
      <c r="AF59" s="712"/>
      <c r="AG59" s="712"/>
      <c r="AH59" s="712"/>
      <c r="AI59" s="713"/>
      <c r="AJ59" s="789">
        <f>SUM(C60:AH60)</f>
        <v>63</v>
      </c>
    </row>
    <row r="60" spans="1:36" ht="18.75" hidden="1">
      <c r="A60" s="762"/>
      <c r="B60" s="775"/>
      <c r="C60" s="769"/>
      <c r="D60" s="740"/>
      <c r="E60" s="741">
        <v>10</v>
      </c>
      <c r="F60" s="707">
        <v>17</v>
      </c>
      <c r="G60" s="741"/>
      <c r="H60" s="707">
        <v>17</v>
      </c>
      <c r="I60" s="741"/>
      <c r="J60" s="707">
        <v>19</v>
      </c>
      <c r="K60" s="740"/>
      <c r="L60" s="741"/>
      <c r="M60" s="742"/>
      <c r="N60" s="696"/>
      <c r="O60" s="740"/>
      <c r="P60" s="740"/>
      <c r="Q60" s="741"/>
      <c r="R60" s="740"/>
      <c r="S60" s="740"/>
      <c r="T60" s="740"/>
      <c r="U60" s="743"/>
      <c r="V60" s="740"/>
      <c r="W60" s="740"/>
      <c r="X60" s="740"/>
      <c r="Y60" s="741"/>
      <c r="Z60" s="741"/>
      <c r="AA60" s="741"/>
      <c r="AB60" s="741"/>
      <c r="AC60" s="744"/>
      <c r="AD60" s="740"/>
      <c r="AE60" s="740"/>
      <c r="AF60" s="740"/>
      <c r="AG60" s="740"/>
      <c r="AH60" s="740"/>
      <c r="AI60" s="742"/>
      <c r="AJ60" s="789"/>
    </row>
    <row r="62" spans="1:36" ht="18.75" hidden="1">
      <c r="A62" s="760"/>
      <c r="B62" s="771"/>
      <c r="C62" s="767"/>
      <c r="D62" s="704"/>
      <c r="E62" s="707"/>
      <c r="F62" s="707">
        <v>10</v>
      </c>
      <c r="G62" s="707"/>
      <c r="H62" s="707">
        <v>10</v>
      </c>
      <c r="I62" s="707"/>
      <c r="J62" s="707">
        <v>4</v>
      </c>
      <c r="K62" s="704"/>
      <c r="L62" s="707">
        <v>10</v>
      </c>
      <c r="M62" s="706">
        <v>10</v>
      </c>
      <c r="N62" s="706"/>
      <c r="O62" s="704">
        <v>10</v>
      </c>
      <c r="P62" s="704"/>
      <c r="Q62" s="707">
        <v>0</v>
      </c>
      <c r="R62" s="704">
        <v>0</v>
      </c>
      <c r="S62" s="704">
        <v>0</v>
      </c>
      <c r="T62" s="704">
        <v>0</v>
      </c>
      <c r="U62" s="708">
        <v>0</v>
      </c>
      <c r="V62" s="704">
        <v>0</v>
      </c>
      <c r="W62" s="704"/>
      <c r="X62" s="704"/>
      <c r="Y62" s="707">
        <v>10</v>
      </c>
      <c r="Z62" s="707">
        <v>10</v>
      </c>
      <c r="AA62" s="707">
        <v>10</v>
      </c>
      <c r="AB62" s="707">
        <v>10</v>
      </c>
      <c r="AC62" s="710"/>
      <c r="AD62" s="704"/>
      <c r="AE62" s="704"/>
      <c r="AF62" s="705"/>
      <c r="AG62" s="704"/>
      <c r="AH62" s="704"/>
      <c r="AI62" s="706"/>
      <c r="AJ62" s="789"/>
    </row>
    <row r="64" spans="1:36" ht="18.75" hidden="1">
      <c r="A64" s="760"/>
      <c r="B64" s="771"/>
      <c r="C64" s="767"/>
      <c r="D64" s="731"/>
      <c r="E64" s="707"/>
      <c r="F64" s="707">
        <v>6</v>
      </c>
      <c r="G64" s="707"/>
      <c r="H64" s="707">
        <v>6</v>
      </c>
      <c r="I64" s="707"/>
      <c r="J64" s="707">
        <v>7</v>
      </c>
      <c r="K64" s="704">
        <v>-1.9</v>
      </c>
      <c r="L64" s="707">
        <v>9</v>
      </c>
      <c r="M64" s="706">
        <v>10</v>
      </c>
      <c r="N64" s="706"/>
      <c r="O64" s="704">
        <v>10</v>
      </c>
      <c r="P64" s="731"/>
      <c r="Q64" s="707">
        <v>6</v>
      </c>
      <c r="R64" s="704">
        <v>0</v>
      </c>
      <c r="S64" s="704">
        <v>0</v>
      </c>
      <c r="T64" s="704">
        <v>7</v>
      </c>
      <c r="U64" s="708">
        <v>0</v>
      </c>
      <c r="V64" s="704">
        <v>0</v>
      </c>
      <c r="W64" s="705"/>
      <c r="X64" s="705"/>
      <c r="Y64" s="707"/>
      <c r="Z64" s="707"/>
      <c r="AA64" s="707"/>
      <c r="AB64" s="707"/>
      <c r="AC64" s="710"/>
      <c r="AD64" s="705"/>
      <c r="AE64" s="705"/>
      <c r="AF64" s="705"/>
      <c r="AG64" s="705"/>
      <c r="AH64" s="705"/>
      <c r="AI64" s="706"/>
      <c r="AJ64" s="789"/>
    </row>
    <row r="65" spans="1:36" ht="18.75" hidden="1">
      <c r="A65" s="761">
        <v>21</v>
      </c>
      <c r="B65" s="774" t="s">
        <v>64</v>
      </c>
      <c r="C65" s="768">
        <v>6</v>
      </c>
      <c r="D65" s="732"/>
      <c r="E65" s="733">
        <v>0</v>
      </c>
      <c r="F65" s="697" t="e">
        <f>E65/AI65*100</f>
        <v>#DIV/0!</v>
      </c>
      <c r="G65" s="733"/>
      <c r="H65" s="699" t="e">
        <f>G65/AI65*100</f>
        <v>#DIV/0!</v>
      </c>
      <c r="I65" s="733"/>
      <c r="J65" s="699" t="e">
        <f>I65/AI65*100</f>
        <v>#DIV/0!</v>
      </c>
      <c r="K65" s="732"/>
      <c r="L65" s="733"/>
      <c r="M65" s="734"/>
      <c r="N65" s="696"/>
      <c r="O65" s="732"/>
      <c r="P65" s="732"/>
      <c r="Q65" s="733">
        <v>2</v>
      </c>
      <c r="R65" s="732"/>
      <c r="S65" s="732"/>
      <c r="T65" s="732">
        <v>51.01</v>
      </c>
      <c r="U65" s="735"/>
      <c r="V65" s="732"/>
      <c r="W65" s="732"/>
      <c r="X65" s="732"/>
      <c r="Y65" s="736"/>
      <c r="Z65" s="736"/>
      <c r="AA65" s="736"/>
      <c r="AB65" s="736"/>
      <c r="AC65" s="737"/>
      <c r="AD65" s="732"/>
      <c r="AE65" s="732"/>
      <c r="AF65" s="732"/>
      <c r="AG65" s="732"/>
      <c r="AH65" s="732"/>
      <c r="AI65" s="734"/>
      <c r="AJ65" s="789">
        <f>SUM(C66:AH66)</f>
        <v>78</v>
      </c>
    </row>
    <row r="66" spans="1:36" ht="18.75" hidden="1">
      <c r="A66" s="762"/>
      <c r="B66" s="775"/>
      <c r="C66" s="769"/>
      <c r="D66" s="740"/>
      <c r="E66" s="741">
        <v>10</v>
      </c>
      <c r="F66" s="707">
        <v>20</v>
      </c>
      <c r="G66" s="741"/>
      <c r="H66" s="707">
        <v>20</v>
      </c>
      <c r="I66" s="741"/>
      <c r="J66" s="707">
        <v>22</v>
      </c>
      <c r="K66" s="740"/>
      <c r="L66" s="741"/>
      <c r="M66" s="742"/>
      <c r="N66" s="696"/>
      <c r="O66" s="740"/>
      <c r="P66" s="740"/>
      <c r="Q66" s="741"/>
      <c r="R66" s="740"/>
      <c r="S66" s="740"/>
      <c r="T66" s="740">
        <v>6</v>
      </c>
      <c r="U66" s="743"/>
      <c r="V66" s="740"/>
      <c r="W66" s="740"/>
      <c r="X66" s="740"/>
      <c r="Y66" s="741"/>
      <c r="Z66" s="741"/>
      <c r="AA66" s="741"/>
      <c r="AB66" s="741"/>
      <c r="AC66" s="744"/>
      <c r="AD66" s="740"/>
      <c r="AE66" s="740"/>
      <c r="AF66" s="740"/>
      <c r="AG66" s="740"/>
      <c r="AH66" s="740"/>
      <c r="AI66" s="742"/>
      <c r="AJ66" s="789"/>
    </row>
    <row r="67" spans="1:36" ht="18.75" hidden="1">
      <c r="A67" s="761">
        <v>22</v>
      </c>
      <c r="B67" s="772" t="s">
        <v>65</v>
      </c>
      <c r="C67" s="766">
        <v>4</v>
      </c>
      <c r="D67" s="714"/>
      <c r="E67" s="714">
        <v>0</v>
      </c>
      <c r="F67" s="697" t="e">
        <f>E67/AI67*100</f>
        <v>#DIV/0!</v>
      </c>
      <c r="G67" s="714"/>
      <c r="H67" s="699" t="e">
        <f>G67/AI67*100</f>
        <v>#DIV/0!</v>
      </c>
      <c r="I67" s="714"/>
      <c r="J67" s="699" t="e">
        <f>I67/AI67*100</f>
        <v>#DIV/0!</v>
      </c>
      <c r="K67" s="714"/>
      <c r="L67" s="714"/>
      <c r="M67" s="713"/>
      <c r="N67" s="696"/>
      <c r="O67" s="711"/>
      <c r="P67" s="711"/>
      <c r="Q67" s="714">
        <v>0</v>
      </c>
      <c r="R67" s="711"/>
      <c r="S67" s="711"/>
      <c r="T67" s="711">
        <v>100</v>
      </c>
      <c r="U67" s="715"/>
      <c r="V67" s="711"/>
      <c r="W67" s="712"/>
      <c r="X67" s="711"/>
      <c r="Y67" s="716"/>
      <c r="Z67" s="716"/>
      <c r="AA67" s="716"/>
      <c r="AB67" s="716"/>
      <c r="AC67" s="717"/>
      <c r="AD67" s="711"/>
      <c r="AE67" s="711"/>
      <c r="AF67" s="712"/>
      <c r="AG67" s="711"/>
      <c r="AH67" s="711"/>
      <c r="AI67" s="713"/>
      <c r="AJ67" s="789">
        <f>SUM(C68:AH68)</f>
        <v>85</v>
      </c>
    </row>
    <row r="68" spans="1:36" ht="18.75" hidden="1">
      <c r="A68" s="762"/>
      <c r="B68" s="775"/>
      <c r="C68" s="769"/>
      <c r="D68" s="741"/>
      <c r="E68" s="741">
        <v>10</v>
      </c>
      <c r="F68" s="707">
        <v>21</v>
      </c>
      <c r="G68" s="741"/>
      <c r="H68" s="707">
        <v>21</v>
      </c>
      <c r="I68" s="741"/>
      <c r="J68" s="707">
        <v>23</v>
      </c>
      <c r="K68" s="741"/>
      <c r="L68" s="741"/>
      <c r="M68" s="742"/>
      <c r="N68" s="696"/>
      <c r="O68" s="739"/>
      <c r="P68" s="739"/>
      <c r="Q68" s="741"/>
      <c r="R68" s="739"/>
      <c r="S68" s="739"/>
      <c r="T68" s="739">
        <v>10</v>
      </c>
      <c r="U68" s="743"/>
      <c r="V68" s="739"/>
      <c r="W68" s="740"/>
      <c r="X68" s="739"/>
      <c r="Y68" s="741"/>
      <c r="Z68" s="741"/>
      <c r="AA68" s="741"/>
      <c r="AB68" s="741"/>
      <c r="AC68" s="744"/>
      <c r="AD68" s="739"/>
      <c r="AE68" s="739"/>
      <c r="AF68" s="740"/>
      <c r="AG68" s="739"/>
      <c r="AH68" s="739"/>
      <c r="AI68" s="742"/>
      <c r="AJ68" s="789"/>
    </row>
    <row r="69" spans="1:36" ht="18.75" hidden="1">
      <c r="A69" s="761">
        <v>23</v>
      </c>
      <c r="B69" s="772" t="s">
        <v>66</v>
      </c>
      <c r="C69" s="766">
        <v>1</v>
      </c>
      <c r="D69" s="725"/>
      <c r="E69" s="745"/>
      <c r="F69" s="697" t="e">
        <f>E69/AI69*100</f>
        <v>#DIV/0!</v>
      </c>
      <c r="G69" s="745"/>
      <c r="H69" s="699" t="e">
        <f>G69/AI69*100</f>
        <v>#DIV/0!</v>
      </c>
      <c r="I69" s="745"/>
      <c r="J69" s="699" t="e">
        <f>I69/AI69*100</f>
        <v>#DIV/0!</v>
      </c>
      <c r="K69" s="725"/>
      <c r="L69" s="745"/>
      <c r="M69" s="721"/>
      <c r="N69" s="722"/>
      <c r="O69" s="723"/>
      <c r="P69" s="723"/>
      <c r="Q69" s="714">
        <v>0</v>
      </c>
      <c r="R69" s="711"/>
      <c r="S69" s="711"/>
      <c r="T69" s="711">
        <v>100</v>
      </c>
      <c r="U69" s="715"/>
      <c r="V69" s="711"/>
      <c r="W69" s="712"/>
      <c r="X69" s="712"/>
      <c r="Y69" s="716"/>
      <c r="Z69" s="716"/>
      <c r="AA69" s="716"/>
      <c r="AB69" s="716"/>
      <c r="AC69" s="717"/>
      <c r="AD69" s="712"/>
      <c r="AE69" s="712"/>
      <c r="AF69" s="712"/>
      <c r="AG69" s="712"/>
      <c r="AH69" s="712"/>
      <c r="AI69" s="713"/>
      <c r="AJ69" s="789">
        <f>SUM(C70:AH70)</f>
        <v>78</v>
      </c>
    </row>
    <row r="70" spans="1:36" ht="18.75" hidden="1">
      <c r="A70" s="762"/>
      <c r="B70" s="775"/>
      <c r="C70" s="769"/>
      <c r="D70" s="746"/>
      <c r="E70" s="747"/>
      <c r="F70" s="707">
        <v>22</v>
      </c>
      <c r="G70" s="747"/>
      <c r="H70" s="707">
        <v>22</v>
      </c>
      <c r="I70" s="747"/>
      <c r="J70" s="707">
        <v>24</v>
      </c>
      <c r="K70" s="746"/>
      <c r="L70" s="747"/>
      <c r="M70" s="748"/>
      <c r="N70" s="722"/>
      <c r="O70" s="749"/>
      <c r="P70" s="749"/>
      <c r="Q70" s="741"/>
      <c r="R70" s="739"/>
      <c r="S70" s="739"/>
      <c r="T70" s="739">
        <v>10</v>
      </c>
      <c r="U70" s="743"/>
      <c r="V70" s="739"/>
      <c r="W70" s="740"/>
      <c r="X70" s="740"/>
      <c r="Y70" s="741"/>
      <c r="Z70" s="741"/>
      <c r="AA70" s="741"/>
      <c r="AB70" s="741"/>
      <c r="AC70" s="744"/>
      <c r="AD70" s="740"/>
      <c r="AE70" s="740"/>
      <c r="AF70" s="740"/>
      <c r="AG70" s="740"/>
      <c r="AH70" s="740"/>
      <c r="AI70" s="742"/>
      <c r="AJ70" s="789"/>
    </row>
  </sheetData>
  <mergeCells count="36">
    <mergeCell ref="A1:A4"/>
    <mergeCell ref="B1:B4"/>
    <mergeCell ref="C1:C4"/>
    <mergeCell ref="D1:D4"/>
    <mergeCell ref="E1:K2"/>
    <mergeCell ref="E3:E4"/>
    <mergeCell ref="N3:N4"/>
    <mergeCell ref="W1:X2"/>
    <mergeCell ref="Y1:AB2"/>
    <mergeCell ref="AC1:AH2"/>
    <mergeCell ref="AJ1:AJ4"/>
    <mergeCell ref="L2:N2"/>
    <mergeCell ref="O2:O4"/>
    <mergeCell ref="P2:P4"/>
    <mergeCell ref="Q2:Q4"/>
    <mergeCell ref="R2:R4"/>
    <mergeCell ref="S2:S4"/>
    <mergeCell ref="L1:V1"/>
    <mergeCell ref="T2:T4"/>
    <mergeCell ref="U2:U4"/>
    <mergeCell ref="V2:V4"/>
    <mergeCell ref="G3:G4"/>
    <mergeCell ref="I3:I4"/>
    <mergeCell ref="K3:K4"/>
    <mergeCell ref="L3:L4"/>
    <mergeCell ref="M3:M4"/>
    <mergeCell ref="AC3:AC4"/>
    <mergeCell ref="AD3:AF3"/>
    <mergeCell ref="AG3:AG4"/>
    <mergeCell ref="AH3:AH4"/>
    <mergeCell ref="W3:W4"/>
    <mergeCell ref="X3:X4"/>
    <mergeCell ref="Y3:Y4"/>
    <mergeCell ref="Z3:Z4"/>
    <mergeCell ref="AA3:AA4"/>
    <mergeCell ref="AB3:A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март</vt:lpstr>
      <vt:lpstr>ИТОГ март</vt:lpstr>
      <vt:lpstr>апрель</vt:lpstr>
      <vt:lpstr>май</vt:lpstr>
      <vt:lpstr>Сводная</vt:lpstr>
      <vt:lpstr>июнь</vt:lpstr>
      <vt:lpstr>июль</vt:lpstr>
      <vt:lpstr>Лист2</vt:lpstr>
      <vt:lpstr>итог июнь</vt:lpstr>
      <vt:lpstr>май (2)</vt:lpstr>
      <vt:lpstr>август</vt:lpstr>
      <vt:lpstr>Excel_BuiltIn__FilterDatabase</vt:lpstr>
      <vt:lpstr>Сводная!Заголовки_для_печати</vt:lpstr>
      <vt:lpstr>апрель!Область_печати</vt:lpstr>
      <vt:lpstr>'ИТОГ март'!Область_печати</vt:lpstr>
      <vt:lpstr>июль!Область_печати</vt:lpstr>
      <vt:lpstr>июнь!Область_печати</vt:lpstr>
      <vt:lpstr>май!Область_печати</vt:lpstr>
      <vt:lpstr>'май (2)'!Область_печати</vt:lpstr>
      <vt:lpstr>март!Область_печати</vt:lpstr>
      <vt:lpstr>Сводная!Область_печати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Аня</cp:lastModifiedBy>
  <cp:lastPrinted>2012-05-03T11:37:52Z</cp:lastPrinted>
  <dcterms:created xsi:type="dcterms:W3CDTF">2012-04-26T04:33:55Z</dcterms:created>
  <dcterms:modified xsi:type="dcterms:W3CDTF">2012-09-07T09:18:36Z</dcterms:modified>
</cp:coreProperties>
</file>